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65" windowWidth="22995" windowHeight="9615"/>
  </bookViews>
  <sheets>
    <sheet name="Station Info for DoIT " sheetId="1" r:id="rId1"/>
    <sheet name="Transit Score" sheetId="13" r:id="rId2"/>
    <sheet name="Station Facilities Score" sheetId="9" r:id="rId3"/>
    <sheet name="Parking Score" sheetId="11" r:id="rId4"/>
    <sheet name="Bike Score" sheetId="4" r:id="rId5"/>
    <sheet name="Pedestrian Score" sheetId="10" r:id="rId6"/>
    <sheet name="TOD Zoning Score" sheetId="12" r:id="rId7"/>
    <sheet name="Alphabetical Station List" sheetId="3" r:id="rId8"/>
  </sheets>
  <calcPr calcId="145621"/>
</workbook>
</file>

<file path=xl/calcChain.xml><?xml version="1.0" encoding="utf-8"?>
<calcChain xmlns="http://schemas.openxmlformats.org/spreadsheetml/2006/main">
  <c r="BF5" i="1" l="1"/>
  <c r="O5" i="11"/>
  <c r="O6" i="11"/>
  <c r="O7" i="11"/>
  <c r="O8" i="11"/>
  <c r="O9" i="11"/>
  <c r="O10" i="11"/>
  <c r="O19" i="11"/>
  <c r="O20" i="11"/>
  <c r="O23" i="11"/>
  <c r="O24" i="11"/>
  <c r="O25" i="11"/>
  <c r="O26" i="11"/>
  <c r="O36" i="11"/>
  <c r="O39" i="11"/>
  <c r="O40" i="11"/>
  <c r="O41" i="11"/>
  <c r="O43" i="11"/>
  <c r="O44" i="11"/>
  <c r="O48" i="11"/>
  <c r="O49" i="11"/>
  <c r="O50" i="11"/>
  <c r="O51" i="11"/>
  <c r="O52" i="11"/>
  <c r="O53" i="11"/>
  <c r="O54" i="11"/>
  <c r="O56" i="11"/>
  <c r="O57" i="11"/>
  <c r="O58" i="11"/>
  <c r="O60" i="11"/>
  <c r="O61" i="11"/>
  <c r="O62" i="11"/>
  <c r="O63" i="11"/>
  <c r="O64" i="11"/>
  <c r="O65" i="11"/>
  <c r="O68" i="11"/>
  <c r="O69" i="11"/>
  <c r="O70" i="11"/>
  <c r="O71" i="11"/>
  <c r="O72" i="11"/>
  <c r="O73" i="11"/>
  <c r="O74" i="11"/>
  <c r="O75" i="11"/>
  <c r="O76" i="11"/>
  <c r="O77" i="11"/>
  <c r="O78" i="11"/>
  <c r="O80" i="11"/>
  <c r="O82" i="11"/>
  <c r="O83" i="11"/>
  <c r="BF7" i="1"/>
  <c r="BF8" i="1"/>
  <c r="BF9" i="1"/>
  <c r="BF10" i="1"/>
  <c r="BF11" i="1"/>
  <c r="BF12" i="1"/>
  <c r="BF13" i="1"/>
  <c r="BF14" i="1"/>
  <c r="BF15" i="1"/>
  <c r="BF16" i="1"/>
  <c r="BF17" i="1"/>
  <c r="BF18" i="1"/>
  <c r="BF19" i="1"/>
  <c r="BF6" i="1"/>
  <c r="BE6" i="1"/>
  <c r="BE7" i="1"/>
  <c r="BE8" i="1"/>
  <c r="BE9" i="1"/>
  <c r="BE10" i="1"/>
  <c r="BE11" i="1"/>
  <c r="BE12" i="1"/>
  <c r="BE13" i="1"/>
  <c r="BE14" i="1"/>
  <c r="BE15" i="1"/>
  <c r="BE18" i="1"/>
  <c r="BD12" i="1"/>
  <c r="BD13" i="1"/>
  <c r="BD14" i="1"/>
  <c r="BD15" i="1"/>
  <c r="BD18"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7" i="1"/>
  <c r="BD68" i="1"/>
  <c r="BD69" i="1"/>
  <c r="BD70" i="1"/>
  <c r="BD71" i="1"/>
  <c r="BD74" i="1"/>
  <c r="BD75" i="1"/>
  <c r="BD76" i="1"/>
  <c r="BD77" i="1"/>
  <c r="BD78" i="1"/>
  <c r="BD79" i="1"/>
  <c r="BD80" i="1"/>
  <c r="BD81" i="1"/>
  <c r="BD82" i="1"/>
  <c r="BD83" i="1"/>
  <c r="BD84" i="1"/>
  <c r="BD85" i="1"/>
  <c r="BD86" i="1"/>
  <c r="BD87" i="1"/>
  <c r="BD88" i="1"/>
  <c r="BD89" i="1"/>
  <c r="BD6" i="1"/>
  <c r="BD7" i="1"/>
  <c r="BD8" i="1"/>
  <c r="BD9" i="1"/>
  <c r="BD10" i="1"/>
  <c r="BD11" i="1"/>
  <c r="BC7" i="1"/>
  <c r="BC8" i="1"/>
  <c r="BC9" i="1"/>
  <c r="BC10" i="1"/>
  <c r="BC11" i="1"/>
  <c r="BC12" i="1"/>
  <c r="BC21" i="1"/>
  <c r="BC22" i="1"/>
  <c r="BC25" i="1"/>
  <c r="BC26" i="1"/>
  <c r="BC27" i="1"/>
  <c r="BC28" i="1"/>
  <c r="BC38" i="1"/>
  <c r="BC41" i="1"/>
  <c r="BC42" i="1"/>
  <c r="BC43" i="1"/>
  <c r="BC45" i="1"/>
  <c r="BC46" i="1"/>
  <c r="BC50" i="1"/>
  <c r="BC51" i="1"/>
  <c r="BC52" i="1"/>
  <c r="BC53" i="1"/>
  <c r="BC54" i="1"/>
  <c r="BC55" i="1"/>
  <c r="BC56" i="1"/>
  <c r="BC57" i="1"/>
  <c r="BC58" i="1"/>
  <c r="BC59" i="1"/>
  <c r="BC60" i="1"/>
  <c r="BC62" i="1"/>
  <c r="BC63" i="1"/>
  <c r="BC64" i="1"/>
  <c r="BC65" i="1"/>
  <c r="BC67" i="1"/>
  <c r="BC68" i="1"/>
  <c r="BC69" i="1"/>
  <c r="BC71" i="1"/>
  <c r="BC74" i="1"/>
  <c r="BC75" i="1"/>
  <c r="BC76" i="1"/>
  <c r="BC77" i="1"/>
  <c r="BC78" i="1"/>
  <c r="BC79" i="1"/>
  <c r="BC80" i="1"/>
  <c r="BC81" i="1"/>
  <c r="BC82" i="1"/>
  <c r="BC83" i="1"/>
  <c r="BC84" i="1"/>
  <c r="BC85" i="1"/>
  <c r="BC86" i="1"/>
  <c r="BC87" i="1"/>
  <c r="BC88" i="1"/>
  <c r="BC4" i="1"/>
  <c r="BC6" i="1"/>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M2" i="10" l="1"/>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L3" i="10"/>
  <c r="L7" i="10"/>
  <c r="L11" i="10"/>
  <c r="L15" i="10"/>
  <c r="L19" i="10"/>
  <c r="L23" i="10"/>
  <c r="L27" i="10"/>
  <c r="L31" i="10"/>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F2" i="10"/>
  <c r="L2" i="10"/>
  <c r="F3" i="10"/>
  <c r="F4" i="10"/>
  <c r="L4" i="10"/>
  <c r="F5" i="10"/>
  <c r="L5" i="10"/>
  <c r="F6" i="10"/>
  <c r="L6" i="10"/>
  <c r="F7" i="10"/>
  <c r="F8" i="10"/>
  <c r="L8" i="10"/>
  <c r="F9" i="10"/>
  <c r="L9" i="10"/>
  <c r="F10" i="10"/>
  <c r="L10" i="10"/>
  <c r="F11" i="10"/>
  <c r="F12" i="10"/>
  <c r="L12" i="10"/>
  <c r="F13" i="10"/>
  <c r="L13" i="10"/>
  <c r="F14" i="10"/>
  <c r="L14" i="10"/>
  <c r="F15" i="10"/>
  <c r="F16" i="10"/>
  <c r="L16" i="10"/>
  <c r="F17" i="10"/>
  <c r="L17" i="10"/>
  <c r="F18" i="10"/>
  <c r="L18" i="10"/>
  <c r="F19" i="10"/>
  <c r="F20" i="10"/>
  <c r="L20" i="10"/>
  <c r="F21" i="10"/>
  <c r="L21" i="10"/>
  <c r="F22" i="10"/>
  <c r="L22" i="10"/>
  <c r="F23" i="10"/>
  <c r="F24" i="10"/>
  <c r="L24" i="10"/>
  <c r="F25" i="10"/>
  <c r="L25" i="10"/>
  <c r="F26" i="10"/>
  <c r="L26" i="10"/>
  <c r="F27" i="10"/>
  <c r="F28" i="10"/>
  <c r="L28" i="10"/>
  <c r="F29" i="10"/>
  <c r="L29" i="10"/>
  <c r="F30" i="10"/>
  <c r="L30" i="10"/>
  <c r="F31" i="10"/>
  <c r="F32" i="10"/>
  <c r="L32" i="10"/>
  <c r="F33" i="10"/>
  <c r="L33" i="10"/>
  <c r="F34" i="10"/>
  <c r="L34" i="10"/>
  <c r="F35" i="10"/>
  <c r="L35" i="10"/>
  <c r="F36" i="10"/>
  <c r="L36" i="10"/>
  <c r="F37" i="10"/>
  <c r="L37" i="10"/>
  <c r="F38" i="10"/>
  <c r="L38" i="10"/>
  <c r="F39" i="10"/>
  <c r="L39" i="10"/>
  <c r="F40" i="10"/>
  <c r="L40" i="10"/>
  <c r="F41" i="10"/>
  <c r="L41" i="10"/>
  <c r="F42" i="10"/>
  <c r="L42" i="10"/>
  <c r="F43" i="10"/>
  <c r="L43" i="10"/>
  <c r="F44" i="10"/>
  <c r="L44" i="10"/>
  <c r="F45" i="10"/>
  <c r="L45" i="10"/>
  <c r="F46" i="10"/>
  <c r="L46" i="10"/>
  <c r="F47" i="10"/>
  <c r="L47" i="10"/>
  <c r="F48" i="10"/>
  <c r="L48" i="10"/>
  <c r="F49" i="10"/>
  <c r="L49" i="10"/>
  <c r="F50" i="10"/>
  <c r="L50" i="10"/>
  <c r="F51" i="10"/>
  <c r="L51" i="10"/>
  <c r="F52" i="10"/>
  <c r="L52" i="10"/>
  <c r="F53" i="10"/>
  <c r="L53" i="10"/>
  <c r="F54" i="10"/>
  <c r="L54" i="10"/>
  <c r="F55" i="10"/>
  <c r="L55" i="10"/>
  <c r="F56" i="10"/>
  <c r="L56" i="10"/>
  <c r="F57" i="10"/>
  <c r="L57" i="10"/>
  <c r="F58" i="10"/>
  <c r="L58" i="10"/>
  <c r="F59" i="10"/>
  <c r="L59" i="10"/>
  <c r="F60" i="10"/>
  <c r="L60" i="10"/>
  <c r="F61" i="10"/>
  <c r="L61" i="10"/>
  <c r="F62" i="10"/>
  <c r="L62" i="10"/>
  <c r="F63" i="10"/>
  <c r="L63" i="10"/>
  <c r="F64" i="10"/>
  <c r="L64" i="10"/>
  <c r="F65" i="10"/>
  <c r="L65" i="10"/>
  <c r="F66" i="10"/>
  <c r="L66" i="10"/>
  <c r="F67" i="10"/>
  <c r="L67" i="10"/>
  <c r="F68" i="10"/>
  <c r="L68" i="10"/>
  <c r="F69" i="10"/>
  <c r="L69" i="10"/>
  <c r="F70" i="10"/>
  <c r="L70" i="10"/>
  <c r="F71" i="10"/>
  <c r="L71" i="10"/>
  <c r="F72" i="10"/>
  <c r="L72" i="10"/>
  <c r="F73" i="10"/>
  <c r="L73" i="10"/>
  <c r="F74" i="10"/>
  <c r="L74" i="10"/>
  <c r="F75" i="10"/>
  <c r="L75" i="10"/>
  <c r="F76" i="10"/>
  <c r="L76" i="10"/>
  <c r="F77" i="10"/>
  <c r="L77" i="10"/>
  <c r="F78" i="10"/>
  <c r="L78" i="10"/>
  <c r="F79" i="10"/>
  <c r="L79" i="10"/>
  <c r="F80" i="10"/>
  <c r="L80" i="10"/>
  <c r="F81" i="10"/>
  <c r="L81" i="10"/>
  <c r="F82" i="10"/>
  <c r="L82" i="10"/>
  <c r="F83" i="10"/>
  <c r="L83" i="10"/>
  <c r="F84" i="10"/>
  <c r="L84" i="10"/>
  <c r="L2" i="11"/>
  <c r="L50" i="11"/>
  <c r="L25" i="11"/>
  <c r="L31" i="11"/>
  <c r="L75" i="11"/>
  <c r="L57" i="11"/>
  <c r="L76" i="11"/>
  <c r="L70" i="11"/>
  <c r="L18" i="11"/>
  <c r="L19" i="11"/>
  <c r="L55" i="11"/>
  <c r="L3" i="11"/>
  <c r="M6" i="11" s="1"/>
  <c r="L33" i="11"/>
  <c r="L15" i="11"/>
  <c r="L27" i="11"/>
  <c r="L38" i="11"/>
  <c r="L67" i="11"/>
  <c r="L20" i="11"/>
  <c r="L34" i="11"/>
  <c r="L74" i="11"/>
  <c r="L61" i="11"/>
  <c r="L51" i="11"/>
  <c r="L40" i="11"/>
  <c r="L21" i="11"/>
  <c r="L72" i="11"/>
  <c r="L79" i="11"/>
  <c r="L82" i="11"/>
  <c r="L77" i="11"/>
  <c r="L45" i="11"/>
  <c r="L66" i="11"/>
  <c r="L54" i="11"/>
  <c r="L29" i="11"/>
  <c r="L69" i="11"/>
  <c r="L48" i="11"/>
  <c r="L62" i="11"/>
  <c r="L17" i="11"/>
  <c r="L83" i="11"/>
  <c r="L64" i="11"/>
  <c r="L14" i="11"/>
  <c r="L32" i="11"/>
  <c r="L22" i="11"/>
  <c r="L41" i="11"/>
  <c r="L52" i="11"/>
  <c r="L46" i="11"/>
  <c r="L78" i="11"/>
  <c r="L6" i="11"/>
  <c r="L10" i="11"/>
  <c r="L73" i="11"/>
  <c r="L35" i="11"/>
  <c r="L39" i="11"/>
  <c r="L65" i="11"/>
  <c r="L59" i="11"/>
  <c r="L36" i="11"/>
  <c r="L23" i="11"/>
  <c r="L24" i="11"/>
  <c r="L56" i="11"/>
  <c r="L5" i="11"/>
  <c r="L4" i="11"/>
  <c r="L26" i="11"/>
  <c r="L11" i="11"/>
  <c r="L47" i="11"/>
  <c r="L49" i="11"/>
  <c r="L71" i="11"/>
  <c r="L30" i="11"/>
  <c r="L7" i="11"/>
  <c r="L68" i="11"/>
  <c r="L81" i="11"/>
  <c r="L8" i="11"/>
  <c r="L63" i="11"/>
  <c r="L58" i="11"/>
  <c r="L16" i="11"/>
  <c r="L84" i="11"/>
  <c r="L60" i="11"/>
  <c r="L13" i="11"/>
  <c r="L42" i="11"/>
  <c r="L43" i="11"/>
  <c r="L12" i="11"/>
  <c r="L44" i="11"/>
  <c r="L80" i="11"/>
  <c r="L53" i="11"/>
  <c r="L9" i="11"/>
  <c r="L28" i="11"/>
  <c r="L37" i="11"/>
  <c r="I2" i="11"/>
  <c r="G2" i="11"/>
  <c r="I11" i="11"/>
  <c r="G11" i="11"/>
  <c r="I12" i="11"/>
  <c r="G12" i="11"/>
  <c r="I13" i="11"/>
  <c r="G13" i="11"/>
  <c r="I14" i="11"/>
  <c r="G14" i="11"/>
  <c r="I15" i="11"/>
  <c r="G15" i="11"/>
  <c r="I16" i="11"/>
  <c r="G16" i="11"/>
  <c r="I17" i="11"/>
  <c r="G17" i="11"/>
  <c r="I18" i="11"/>
  <c r="G18" i="11"/>
  <c r="I21" i="11"/>
  <c r="G21" i="11"/>
  <c r="I22" i="11"/>
  <c r="G22" i="11"/>
  <c r="I27" i="11"/>
  <c r="G27" i="11"/>
  <c r="I28" i="11"/>
  <c r="G28" i="11"/>
  <c r="I29" i="11"/>
  <c r="G29" i="11"/>
  <c r="I30" i="11"/>
  <c r="G30" i="11"/>
  <c r="I31" i="11"/>
  <c r="G31" i="11"/>
  <c r="I32" i="11"/>
  <c r="G32" i="11"/>
  <c r="I33" i="11"/>
  <c r="G33" i="11"/>
  <c r="I34" i="11"/>
  <c r="G34" i="11"/>
  <c r="I35" i="11"/>
  <c r="G35" i="11"/>
  <c r="I37" i="11"/>
  <c r="G37" i="11"/>
  <c r="I38" i="11"/>
  <c r="G38" i="11"/>
  <c r="I42" i="11"/>
  <c r="G42" i="11"/>
  <c r="I45" i="11"/>
  <c r="G45" i="11"/>
  <c r="I46" i="11"/>
  <c r="G46" i="11"/>
  <c r="I47" i="11"/>
  <c r="G47" i="11"/>
  <c r="I55" i="11"/>
  <c r="G55" i="11"/>
  <c r="I59" i="11"/>
  <c r="G59" i="11"/>
  <c r="I66" i="11"/>
  <c r="G66" i="11"/>
  <c r="I67" i="11"/>
  <c r="G67" i="11"/>
  <c r="I79" i="11"/>
  <c r="G79" i="11"/>
  <c r="I81" i="11"/>
  <c r="G81" i="11"/>
  <c r="I84" i="11"/>
  <c r="G84" i="11"/>
  <c r="M65" i="11"/>
  <c r="I3" i="11"/>
  <c r="I4" i="11"/>
  <c r="I5" i="11"/>
  <c r="I6" i="11"/>
  <c r="I7" i="11"/>
  <c r="I8" i="11"/>
  <c r="I9" i="11"/>
  <c r="I10" i="11"/>
  <c r="I19" i="11"/>
  <c r="I20" i="11"/>
  <c r="I23" i="11"/>
  <c r="I24" i="11"/>
  <c r="I25" i="11"/>
  <c r="I26" i="11"/>
  <c r="I36" i="11"/>
  <c r="I39" i="11"/>
  <c r="I40" i="11"/>
  <c r="I41" i="11"/>
  <c r="I43" i="11"/>
  <c r="I44" i="11"/>
  <c r="I48" i="11"/>
  <c r="I49" i="11"/>
  <c r="I50" i="11"/>
  <c r="I51" i="11"/>
  <c r="I52" i="11"/>
  <c r="I53" i="11"/>
  <c r="I54" i="11"/>
  <c r="I56" i="11"/>
  <c r="I57" i="11"/>
  <c r="I58" i="11"/>
  <c r="I60" i="11"/>
  <c r="I61" i="11"/>
  <c r="I62" i="11"/>
  <c r="I63" i="11"/>
  <c r="I64" i="11"/>
  <c r="I65" i="11"/>
  <c r="I68" i="11"/>
  <c r="I69" i="11"/>
  <c r="I70" i="11"/>
  <c r="I71" i="11"/>
  <c r="I72" i="11"/>
  <c r="I73" i="11"/>
  <c r="I74" i="11"/>
  <c r="I75" i="11"/>
  <c r="I76" i="11"/>
  <c r="I77" i="11"/>
  <c r="I78" i="11"/>
  <c r="I80" i="11"/>
  <c r="I82" i="11"/>
  <c r="I83" i="11"/>
  <c r="G3" i="11"/>
  <c r="G4" i="11"/>
  <c r="G5" i="11"/>
  <c r="G6" i="11"/>
  <c r="G7" i="11"/>
  <c r="G8" i="11"/>
  <c r="G9" i="11"/>
  <c r="G10" i="11"/>
  <c r="G19" i="11"/>
  <c r="G20" i="11"/>
  <c r="G23" i="11"/>
  <c r="G24" i="11"/>
  <c r="G25" i="11"/>
  <c r="G26" i="11"/>
  <c r="G36" i="11"/>
  <c r="G39" i="11"/>
  <c r="G40" i="11"/>
  <c r="G41" i="11"/>
  <c r="G43" i="11"/>
  <c r="G44" i="11"/>
  <c r="G48" i="11"/>
  <c r="G49" i="11"/>
  <c r="G50" i="11"/>
  <c r="G51" i="11"/>
  <c r="G52" i="11"/>
  <c r="G53" i="11"/>
  <c r="G54" i="11"/>
  <c r="G56" i="11"/>
  <c r="G57" i="11"/>
  <c r="G58" i="11"/>
  <c r="G60" i="11"/>
  <c r="G61" i="11"/>
  <c r="G62" i="11"/>
  <c r="G63" i="11"/>
  <c r="G64" i="11"/>
  <c r="G65" i="11"/>
  <c r="G68" i="11"/>
  <c r="G69" i="11"/>
  <c r="G70" i="11"/>
  <c r="G71" i="11"/>
  <c r="G72" i="11"/>
  <c r="G73" i="11"/>
  <c r="G74" i="11"/>
  <c r="G75" i="11"/>
  <c r="G76" i="11"/>
  <c r="G77" i="11"/>
  <c r="G78" i="11"/>
  <c r="G80" i="11"/>
  <c r="G82" i="11"/>
  <c r="G83" i="11"/>
  <c r="M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K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N79" i="13" s="1"/>
  <c r="K80" i="13"/>
  <c r="K81" i="13"/>
  <c r="K82" i="13"/>
  <c r="K83" i="13"/>
  <c r="K84" i="13"/>
  <c r="I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G2"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E2" i="13"/>
  <c r="E3" i="13"/>
  <c r="E4" i="13"/>
  <c r="E5" i="13"/>
  <c r="E6" i="13"/>
  <c r="E7" i="13"/>
  <c r="E8" i="13"/>
  <c r="E9" i="13"/>
  <c r="E10" i="13"/>
  <c r="E11" i="13"/>
  <c r="E12" i="13"/>
  <c r="E13" i="13"/>
  <c r="E14" i="13"/>
  <c r="E15" i="13"/>
  <c r="E16" i="13"/>
  <c r="E17" i="13"/>
  <c r="E18" i="13"/>
  <c r="N18" i="13" s="1"/>
  <c r="E19" i="13"/>
  <c r="E20" i="13"/>
  <c r="E21" i="13"/>
  <c r="E22" i="13"/>
  <c r="E23" i="13"/>
  <c r="E24" i="13"/>
  <c r="E25" i="13"/>
  <c r="E26" i="13"/>
  <c r="E27" i="13"/>
  <c r="E28" i="13"/>
  <c r="E29" i="13"/>
  <c r="E30" i="13"/>
  <c r="E31" i="13"/>
  <c r="E32" i="13"/>
  <c r="E33" i="13"/>
  <c r="E34" i="13"/>
  <c r="N34" i="13" s="1"/>
  <c r="E35" i="13"/>
  <c r="E36" i="13"/>
  <c r="E37" i="13"/>
  <c r="E38" i="13"/>
  <c r="E39" i="13"/>
  <c r="E40" i="13"/>
  <c r="E41" i="13"/>
  <c r="E42" i="13"/>
  <c r="E43" i="13"/>
  <c r="E44" i="13"/>
  <c r="E45" i="13"/>
  <c r="E46" i="13"/>
  <c r="E47" i="13"/>
  <c r="E48" i="13"/>
  <c r="E49" i="13"/>
  <c r="E50" i="13"/>
  <c r="N50" i="13" s="1"/>
  <c r="E51" i="13"/>
  <c r="E52" i="13"/>
  <c r="E53" i="13"/>
  <c r="E54" i="13"/>
  <c r="E55" i="13"/>
  <c r="E56" i="13"/>
  <c r="E57" i="13"/>
  <c r="E58" i="13"/>
  <c r="E59" i="13"/>
  <c r="E60" i="13"/>
  <c r="E61" i="13"/>
  <c r="E62" i="13"/>
  <c r="E63" i="13"/>
  <c r="E64" i="13"/>
  <c r="E65" i="13"/>
  <c r="E66" i="13"/>
  <c r="N66" i="13" s="1"/>
  <c r="E67" i="13"/>
  <c r="E68" i="13"/>
  <c r="E69" i="13"/>
  <c r="E70" i="13"/>
  <c r="E71" i="13"/>
  <c r="E72" i="13"/>
  <c r="E73" i="13"/>
  <c r="E74" i="13"/>
  <c r="E75" i="13"/>
  <c r="E76" i="13"/>
  <c r="E77" i="13"/>
  <c r="E78" i="13"/>
  <c r="E79" i="13"/>
  <c r="E80" i="13"/>
  <c r="E81" i="13"/>
  <c r="E82" i="13"/>
  <c r="N82" i="13" s="1"/>
  <c r="E83" i="13"/>
  <c r="E84" i="13"/>
  <c r="N27" i="13"/>
  <c r="N7" i="13"/>
  <c r="N48" i="13"/>
  <c r="N60" i="13"/>
  <c r="N67" i="13"/>
  <c r="N55" i="13"/>
  <c r="N35" i="13"/>
  <c r="N24" i="13"/>
  <c r="N8" i="13"/>
  <c r="N73" i="13"/>
  <c r="N57" i="13"/>
  <c r="N41" i="13"/>
  <c r="N25" i="13"/>
  <c r="P6" i="11"/>
  <c r="P7" i="11"/>
  <c r="P8" i="11"/>
  <c r="P9" i="11"/>
  <c r="P10" i="11"/>
  <c r="P19" i="11"/>
  <c r="P20" i="11"/>
  <c r="P23" i="11"/>
  <c r="P24" i="11"/>
  <c r="P25" i="11"/>
  <c r="P26" i="11"/>
  <c r="P36" i="11"/>
  <c r="P39" i="11"/>
  <c r="P40" i="11"/>
  <c r="P41" i="11"/>
  <c r="P43" i="11"/>
  <c r="P44" i="11"/>
  <c r="P48" i="11"/>
  <c r="P49" i="11"/>
  <c r="P50" i="11"/>
  <c r="P51" i="11"/>
  <c r="P52" i="11"/>
  <c r="P53" i="11"/>
  <c r="P54" i="11"/>
  <c r="P56" i="11"/>
  <c r="P57" i="11"/>
  <c r="P58" i="11"/>
  <c r="P60" i="11"/>
  <c r="P61" i="11"/>
  <c r="P62" i="11"/>
  <c r="P63" i="11"/>
  <c r="P64" i="11"/>
  <c r="P65" i="11"/>
  <c r="P68" i="11"/>
  <c r="P69" i="11"/>
  <c r="P70" i="11"/>
  <c r="P71" i="11"/>
  <c r="P72" i="11"/>
  <c r="P73" i="11"/>
  <c r="P74" i="11"/>
  <c r="P75" i="11"/>
  <c r="P76" i="11"/>
  <c r="P77" i="11"/>
  <c r="P78" i="11"/>
  <c r="P80" i="11"/>
  <c r="O3" i="11"/>
  <c r="P3" i="11" s="1"/>
  <c r="P82" i="11"/>
  <c r="P83" i="11"/>
  <c r="P5" i="11"/>
  <c r="O4" i="11"/>
  <c r="P4" i="11" s="1"/>
  <c r="J3" i="9"/>
  <c r="J4" i="9"/>
  <c r="J5" i="9"/>
  <c r="J6" i="9"/>
  <c r="J7" i="9"/>
  <c r="J8" i="9"/>
  <c r="J9" i="9"/>
  <c r="J10" i="9"/>
  <c r="L25" i="9" s="1"/>
  <c r="J11" i="9"/>
  <c r="J12" i="9"/>
  <c r="J13" i="9"/>
  <c r="J14" i="9"/>
  <c r="J15" i="9"/>
  <c r="J16" i="9"/>
  <c r="J17" i="9"/>
  <c r="J18" i="9"/>
  <c r="J19" i="9"/>
  <c r="J20" i="9"/>
  <c r="J21" i="9"/>
  <c r="J22" i="9"/>
  <c r="J23" i="9"/>
  <c r="J24" i="9"/>
  <c r="J25" i="9"/>
  <c r="J26" i="9"/>
  <c r="L31" i="9" s="1"/>
  <c r="J27" i="9"/>
  <c r="J28" i="9"/>
  <c r="J29" i="9"/>
  <c r="J30" i="9"/>
  <c r="J31" i="9"/>
  <c r="J32" i="9"/>
  <c r="J33" i="9"/>
  <c r="J34" i="9"/>
  <c r="J35" i="9"/>
  <c r="J36" i="9"/>
  <c r="J37" i="9"/>
  <c r="J38" i="9"/>
  <c r="J39" i="9"/>
  <c r="J40" i="9"/>
  <c r="J41" i="9"/>
  <c r="J42" i="9"/>
  <c r="L42" i="9" s="1"/>
  <c r="J43" i="9"/>
  <c r="J44" i="9"/>
  <c r="J45" i="9"/>
  <c r="J46" i="9"/>
  <c r="J47" i="9"/>
  <c r="J48" i="9"/>
  <c r="J49" i="9"/>
  <c r="J50" i="9"/>
  <c r="J51" i="9"/>
  <c r="J52" i="9"/>
  <c r="J53" i="9"/>
  <c r="J54" i="9"/>
  <c r="J55" i="9"/>
  <c r="J56" i="9"/>
  <c r="J57" i="9"/>
  <c r="J58" i="9"/>
  <c r="J59" i="9"/>
  <c r="J60" i="9"/>
  <c r="J61" i="9"/>
  <c r="J62" i="9"/>
  <c r="L62" i="9" s="1"/>
  <c r="J63" i="9"/>
  <c r="J64" i="9"/>
  <c r="J65" i="9"/>
  <c r="J66" i="9"/>
  <c r="L66" i="9" s="1"/>
  <c r="J67" i="9"/>
  <c r="J68" i="9"/>
  <c r="J69" i="9"/>
  <c r="J70" i="9"/>
  <c r="J71" i="9"/>
  <c r="J72" i="9"/>
  <c r="J73" i="9"/>
  <c r="J74" i="9"/>
  <c r="L74" i="9" s="1"/>
  <c r="J75" i="9"/>
  <c r="J76" i="9"/>
  <c r="J77" i="9"/>
  <c r="J78" i="9"/>
  <c r="L78" i="9" s="1"/>
  <c r="J79" i="9"/>
  <c r="J80" i="9"/>
  <c r="J81" i="9"/>
  <c r="J82" i="9"/>
  <c r="L82" i="9" s="1"/>
  <c r="J83" i="9"/>
  <c r="J84" i="9"/>
  <c r="J2" i="9"/>
  <c r="N84" i="10"/>
  <c r="N2" i="10"/>
  <c r="N82" i="10"/>
  <c r="N76" i="10"/>
  <c r="N80" i="10"/>
  <c r="N63" i="10"/>
  <c r="N55" i="10"/>
  <c r="N47" i="10"/>
  <c r="N39" i="10"/>
  <c r="N31" i="10"/>
  <c r="N23" i="10"/>
  <c r="N15" i="10"/>
  <c r="N3" i="10"/>
  <c r="N72" i="10"/>
  <c r="N66" i="10"/>
  <c r="N59" i="10"/>
  <c r="N51" i="10"/>
  <c r="N43" i="10"/>
  <c r="N35" i="10"/>
  <c r="N27" i="10"/>
  <c r="N19" i="10"/>
  <c r="N11" i="10"/>
  <c r="N7" i="10"/>
  <c r="N83" i="10"/>
  <c r="N79" i="10"/>
  <c r="N75" i="10"/>
  <c r="N71" i="10"/>
  <c r="N65" i="10"/>
  <c r="N62" i="10"/>
  <c r="N58" i="10"/>
  <c r="N54" i="10"/>
  <c r="N50" i="10"/>
  <c r="N46" i="10"/>
  <c r="N42" i="10"/>
  <c r="N38" i="10"/>
  <c r="N34" i="10"/>
  <c r="N30" i="10"/>
  <c r="N26" i="10"/>
  <c r="N22" i="10"/>
  <c r="N18" i="10"/>
  <c r="N14" i="10"/>
  <c r="N10" i="10"/>
  <c r="N6" i="10"/>
  <c r="N74" i="10"/>
  <c r="N68" i="10"/>
  <c r="N61" i="10"/>
  <c r="N53" i="10"/>
  <c r="N45" i="10"/>
  <c r="N37" i="10"/>
  <c r="N29" i="10"/>
  <c r="N21" i="10"/>
  <c r="N9" i="10"/>
  <c r="N5" i="10"/>
  <c r="N78" i="10"/>
  <c r="N70" i="10"/>
  <c r="N64" i="10"/>
  <c r="N57" i="10"/>
  <c r="N49" i="10"/>
  <c r="N41" i="10"/>
  <c r="N33" i="10"/>
  <c r="N25" i="10"/>
  <c r="N17" i="10"/>
  <c r="N13" i="10"/>
  <c r="N81" i="10"/>
  <c r="N77" i="10"/>
  <c r="N73" i="10"/>
  <c r="N69" i="10"/>
  <c r="N67" i="10"/>
  <c r="N60" i="10"/>
  <c r="N56" i="10"/>
  <c r="N52" i="10"/>
  <c r="N48" i="10"/>
  <c r="N44" i="10"/>
  <c r="N40" i="10"/>
  <c r="N36" i="10"/>
  <c r="N32" i="10"/>
  <c r="N28" i="10"/>
  <c r="N24" i="10"/>
  <c r="N20" i="10"/>
  <c r="N16" i="10"/>
  <c r="N12" i="10"/>
  <c r="N8" i="10"/>
  <c r="N4" i="10"/>
  <c r="L57" i="9"/>
  <c r="L2" i="9"/>
  <c r="L20" i="9"/>
  <c r="L63" i="9"/>
  <c r="L58" i="9"/>
  <c r="J66" i="4"/>
  <c r="J19" i="4"/>
  <c r="J20" i="4"/>
  <c r="L20" i="4" s="1"/>
  <c r="J21" i="4"/>
  <c r="J22" i="4"/>
  <c r="J23" i="4"/>
  <c r="J24" i="4"/>
  <c r="L24" i="4" s="1"/>
  <c r="J25" i="4"/>
  <c r="J26" i="4"/>
  <c r="J27" i="4"/>
  <c r="J28" i="4"/>
  <c r="L28" i="4" s="1"/>
  <c r="J29" i="4"/>
  <c r="J30" i="4"/>
  <c r="J31" i="4"/>
  <c r="J32" i="4"/>
  <c r="J33" i="4"/>
  <c r="J34" i="4"/>
  <c r="J35" i="4"/>
  <c r="J36" i="4"/>
  <c r="L36" i="4" s="1"/>
  <c r="J37" i="4"/>
  <c r="J38" i="4"/>
  <c r="J39" i="4"/>
  <c r="J40" i="4"/>
  <c r="L40" i="4" s="1"/>
  <c r="J41" i="4"/>
  <c r="J42" i="4"/>
  <c r="J43" i="4"/>
  <c r="J44" i="4"/>
  <c r="L44" i="4" s="1"/>
  <c r="J45" i="4"/>
  <c r="J46" i="4"/>
  <c r="J47" i="4"/>
  <c r="J48" i="4"/>
  <c r="J49" i="4"/>
  <c r="J50" i="4"/>
  <c r="J51" i="4"/>
  <c r="J52" i="4"/>
  <c r="L52" i="4" s="1"/>
  <c r="J53" i="4"/>
  <c r="J54" i="4"/>
  <c r="J55" i="4"/>
  <c r="J56" i="4"/>
  <c r="L56" i="4" s="1"/>
  <c r="J57" i="4"/>
  <c r="J58" i="4"/>
  <c r="J59" i="4"/>
  <c r="J60" i="4"/>
  <c r="L60" i="4" s="1"/>
  <c r="J61" i="4"/>
  <c r="J62" i="4"/>
  <c r="J63" i="4"/>
  <c r="J64" i="4"/>
  <c r="J65" i="4"/>
  <c r="J67" i="4"/>
  <c r="J68" i="4"/>
  <c r="J69" i="4"/>
  <c r="L69" i="4" s="1"/>
  <c r="J70" i="4"/>
  <c r="J71" i="4"/>
  <c r="J72" i="4"/>
  <c r="J73" i="4"/>
  <c r="L73" i="4" s="1"/>
  <c r="J74" i="4"/>
  <c r="J75" i="4"/>
  <c r="J76" i="4"/>
  <c r="J77" i="4"/>
  <c r="L77" i="4" s="1"/>
  <c r="J78" i="4"/>
  <c r="J79" i="4"/>
  <c r="J80" i="4"/>
  <c r="J81" i="4"/>
  <c r="J82" i="4"/>
  <c r="J83" i="4"/>
  <c r="J84" i="4"/>
  <c r="J3" i="4"/>
  <c r="L3" i="4" s="1"/>
  <c r="J4" i="4"/>
  <c r="J5" i="4"/>
  <c r="J6" i="4"/>
  <c r="J7" i="4"/>
  <c r="L7" i="4" s="1"/>
  <c r="J8" i="4"/>
  <c r="J9" i="4"/>
  <c r="J10" i="4"/>
  <c r="J11" i="4"/>
  <c r="L11" i="4" s="1"/>
  <c r="J12" i="4"/>
  <c r="J13" i="4"/>
  <c r="J14" i="4"/>
  <c r="J15" i="4"/>
  <c r="L15" i="4" s="1"/>
  <c r="J16" i="4"/>
  <c r="J17" i="4"/>
  <c r="J18" i="4"/>
  <c r="J2" i="4"/>
  <c r="L12" i="4" s="1"/>
  <c r="L70" i="4"/>
  <c r="L53" i="4"/>
  <c r="L37" i="4"/>
  <c r="L21" i="4"/>
  <c r="L81" i="4"/>
  <c r="L64" i="4"/>
  <c r="L48" i="4"/>
  <c r="L32" i="4"/>
  <c r="L14" i="4"/>
  <c r="L80" i="4"/>
  <c r="L63" i="4"/>
  <c r="L47" i="4"/>
  <c r="L31" i="4"/>
  <c r="L17" i="4"/>
  <c r="L83" i="4"/>
  <c r="L67" i="4"/>
  <c r="L50" i="4"/>
  <c r="L34" i="4"/>
  <c r="L66" i="4"/>
  <c r="BF4"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20" i="1"/>
  <c r="BF74" i="1"/>
  <c r="BF75" i="1"/>
  <c r="BF76" i="1"/>
  <c r="BF77" i="1"/>
  <c r="BF78" i="1"/>
  <c r="BF79" i="1"/>
  <c r="BF80" i="1"/>
  <c r="BF81" i="1"/>
  <c r="BF82" i="1"/>
  <c r="BF83" i="1"/>
  <c r="BF84" i="1"/>
  <c r="BF85" i="1"/>
  <c r="BF86" i="1"/>
  <c r="BF87" i="1"/>
  <c r="BF88" i="1"/>
  <c r="BF89" i="1"/>
  <c r="BF63" i="1"/>
  <c r="BF64" i="1"/>
  <c r="BF65" i="1"/>
  <c r="BF67" i="1"/>
  <c r="BF68" i="1"/>
  <c r="BF69" i="1"/>
  <c r="BF70" i="1"/>
  <c r="BF71" i="1"/>
  <c r="BF62" i="1"/>
  <c r="BF51" i="1"/>
  <c r="BF53" i="1"/>
  <c r="BF54" i="1"/>
  <c r="BF55" i="1"/>
  <c r="BF56" i="1"/>
  <c r="BF57" i="1"/>
  <c r="BF58" i="1"/>
  <c r="BF59" i="1"/>
  <c r="BF60" i="1"/>
  <c r="BF61" i="1"/>
  <c r="BF52" i="1"/>
  <c r="AE19" i="1"/>
  <c r="AB19" i="1"/>
  <c r="BD19" i="1" s="1"/>
  <c r="AE17" i="1"/>
  <c r="AB17" i="1"/>
  <c r="AE16" i="1"/>
  <c r="AB16" i="1"/>
  <c r="BD4" i="1"/>
  <c r="BD5" i="1"/>
  <c r="M44" i="11" l="1"/>
  <c r="M61" i="11"/>
  <c r="M39" i="11"/>
  <c r="M80" i="11"/>
  <c r="M37" i="11"/>
  <c r="T37" i="11" s="1"/>
  <c r="M10" i="11"/>
  <c r="M71" i="11"/>
  <c r="Q48" i="11"/>
  <c r="Q5" i="11"/>
  <c r="Q41" i="11"/>
  <c r="Q60" i="11"/>
  <c r="Q68" i="11"/>
  <c r="Q7" i="11"/>
  <c r="Q76" i="11"/>
  <c r="Q70" i="11"/>
  <c r="Q9" i="11"/>
  <c r="Q63" i="11"/>
  <c r="Q36" i="11"/>
  <c r="Q65" i="11"/>
  <c r="T65" i="11" s="1"/>
  <c r="Q57" i="11"/>
  <c r="Q50" i="11"/>
  <c r="Q44" i="11"/>
  <c r="Q25" i="11"/>
  <c r="Q6" i="11"/>
  <c r="T6" i="11" s="1"/>
  <c r="Q83" i="11"/>
  <c r="Q51" i="11"/>
  <c r="Q19" i="11"/>
  <c r="Q72" i="11"/>
  <c r="Q4" i="11"/>
  <c r="Q61" i="11"/>
  <c r="Q43" i="11"/>
  <c r="Q78" i="11"/>
  <c r="Q75" i="11"/>
  <c r="Q56" i="11"/>
  <c r="Q24" i="11"/>
  <c r="Q52" i="11"/>
  <c r="Q64" i="11"/>
  <c r="Q80" i="11"/>
  <c r="T80" i="11" s="1"/>
  <c r="Q39" i="11"/>
  <c r="Q71" i="11"/>
  <c r="Q40" i="11"/>
  <c r="Q62" i="11"/>
  <c r="Q82" i="11"/>
  <c r="Q53" i="11"/>
  <c r="Q3" i="11"/>
  <c r="Q73" i="11"/>
  <c r="Q20" i="11"/>
  <c r="Q74" i="11"/>
  <c r="Q54" i="11"/>
  <c r="Q23" i="11"/>
  <c r="Q10" i="11"/>
  <c r="T10" i="11" s="1"/>
  <c r="M51" i="11"/>
  <c r="Q77" i="11"/>
  <c r="Q69" i="11"/>
  <c r="Q58" i="11"/>
  <c r="Q49" i="11"/>
  <c r="Q26" i="11"/>
  <c r="Q8" i="11"/>
  <c r="M42" i="11"/>
  <c r="T42" i="11" s="1"/>
  <c r="M16" i="11"/>
  <c r="T16" i="11" s="1"/>
  <c r="M81" i="11"/>
  <c r="T81" i="11" s="1"/>
  <c r="M26" i="11"/>
  <c r="M4" i="11"/>
  <c r="M8" i="11"/>
  <c r="M20" i="11"/>
  <c r="M41" i="11"/>
  <c r="T41" i="11" s="1"/>
  <c r="M49" i="11"/>
  <c r="M53" i="11"/>
  <c r="M58" i="11"/>
  <c r="M63" i="11"/>
  <c r="M69" i="11"/>
  <c r="M73" i="11"/>
  <c r="M77" i="11"/>
  <c r="M83" i="11"/>
  <c r="M5" i="11"/>
  <c r="M9" i="11"/>
  <c r="T9" i="11" s="1"/>
  <c r="M23" i="11"/>
  <c r="M36" i="11"/>
  <c r="T36" i="11" s="1"/>
  <c r="M43" i="11"/>
  <c r="M50" i="11"/>
  <c r="M60" i="11"/>
  <c r="T60" i="11" s="1"/>
  <c r="M64" i="11"/>
  <c r="M70" i="11"/>
  <c r="T70" i="11" s="1"/>
  <c r="M74" i="11"/>
  <c r="M78" i="11"/>
  <c r="M2" i="11"/>
  <c r="T2" i="11" s="1"/>
  <c r="M11" i="11"/>
  <c r="T11" i="11" s="1"/>
  <c r="M12" i="11"/>
  <c r="T12" i="11" s="1"/>
  <c r="M13" i="11"/>
  <c r="T13" i="11" s="1"/>
  <c r="M15" i="11"/>
  <c r="T15" i="11" s="1"/>
  <c r="M17" i="11"/>
  <c r="T17" i="11" s="1"/>
  <c r="M18" i="11"/>
  <c r="T18" i="11" s="1"/>
  <c r="M21" i="11"/>
  <c r="T21" i="11" s="1"/>
  <c r="M22" i="11"/>
  <c r="T22" i="11" s="1"/>
  <c r="M28" i="11"/>
  <c r="T28" i="11" s="1"/>
  <c r="M29" i="11"/>
  <c r="T29" i="11" s="1"/>
  <c r="M30" i="11"/>
  <c r="T30" i="11" s="1"/>
  <c r="M31" i="11"/>
  <c r="T31" i="11" s="1"/>
  <c r="M32" i="11"/>
  <c r="T32" i="11" s="1"/>
  <c r="M33" i="11"/>
  <c r="T33" i="11" s="1"/>
  <c r="M35" i="11"/>
  <c r="T35" i="11" s="1"/>
  <c r="M38" i="11"/>
  <c r="T38" i="11" s="1"/>
  <c r="M45" i="11"/>
  <c r="T45" i="11" s="1"/>
  <c r="M46" i="11"/>
  <c r="T46" i="11" s="1"/>
  <c r="M47" i="11"/>
  <c r="T47" i="11" s="1"/>
  <c r="M59" i="11"/>
  <c r="T59" i="11" s="1"/>
  <c r="M66" i="11"/>
  <c r="T66" i="11" s="1"/>
  <c r="M67" i="11"/>
  <c r="T67" i="11" s="1"/>
  <c r="M79" i="11"/>
  <c r="T79" i="11" s="1"/>
  <c r="M84" i="11"/>
  <c r="T84" i="11" s="1"/>
  <c r="M3" i="11"/>
  <c r="M7" i="11"/>
  <c r="M19" i="11"/>
  <c r="M48" i="11"/>
  <c r="T48" i="11" s="1"/>
  <c r="M57" i="11"/>
  <c r="M68" i="11"/>
  <c r="T68" i="11" s="1"/>
  <c r="M72" i="11"/>
  <c r="M52" i="11"/>
  <c r="M14" i="11"/>
  <c r="T14" i="11" s="1"/>
  <c r="M62" i="11"/>
  <c r="M54" i="11"/>
  <c r="M82" i="11"/>
  <c r="M40" i="11"/>
  <c r="M34" i="11"/>
  <c r="T34" i="11" s="1"/>
  <c r="M27" i="11"/>
  <c r="T27" i="11" s="1"/>
  <c r="M55" i="11"/>
  <c r="T55" i="11" s="1"/>
  <c r="M76" i="11"/>
  <c r="T76" i="11" s="1"/>
  <c r="M25" i="11"/>
  <c r="T25" i="11" s="1"/>
  <c r="M75" i="11"/>
  <c r="M56" i="11"/>
  <c r="M24" i="11"/>
  <c r="BD16" i="1"/>
  <c r="BE16" i="1"/>
  <c r="BE19" i="1"/>
  <c r="BD17" i="1"/>
  <c r="BE17" i="1"/>
  <c r="L22" i="4"/>
  <c r="L38" i="4"/>
  <c r="L54" i="4"/>
  <c r="L71" i="4"/>
  <c r="L5" i="4"/>
  <c r="L19" i="4"/>
  <c r="L35" i="4"/>
  <c r="L51" i="4"/>
  <c r="L68" i="4"/>
  <c r="L84" i="4"/>
  <c r="L25" i="4"/>
  <c r="L41" i="4"/>
  <c r="L57" i="4"/>
  <c r="L74" i="4"/>
  <c r="L18" i="4"/>
  <c r="L26" i="4"/>
  <c r="L42" i="4"/>
  <c r="L58" i="4"/>
  <c r="L75" i="4"/>
  <c r="L9" i="4"/>
  <c r="L23" i="4"/>
  <c r="L39" i="4"/>
  <c r="L55" i="4"/>
  <c r="L72" i="4"/>
  <c r="L6" i="4"/>
  <c r="L29" i="4"/>
  <c r="L45" i="4"/>
  <c r="L61" i="4"/>
  <c r="L78" i="4"/>
  <c r="L30" i="4"/>
  <c r="L46" i="4"/>
  <c r="L62" i="4"/>
  <c r="L79" i="4"/>
  <c r="L13" i="4"/>
  <c r="L27" i="4"/>
  <c r="L43" i="4"/>
  <c r="L59" i="4"/>
  <c r="L76" i="4"/>
  <c r="L10" i="4"/>
  <c r="L33" i="4"/>
  <c r="L49" i="4"/>
  <c r="L65" i="4"/>
  <c r="L4" i="4"/>
  <c r="L82" i="4"/>
  <c r="L2" i="4"/>
  <c r="L16" i="4"/>
  <c r="L8" i="4"/>
  <c r="L70" i="9"/>
  <c r="L54" i="9"/>
  <c r="L50" i="9"/>
  <c r="L46" i="9"/>
  <c r="L38" i="9"/>
  <c r="L34" i="9"/>
  <c r="L30" i="9"/>
  <c r="L22" i="9"/>
  <c r="L18" i="9"/>
  <c r="L14" i="9"/>
  <c r="L49" i="9"/>
  <c r="L10" i="9"/>
  <c r="L75" i="9"/>
  <c r="L27" i="9"/>
  <c r="L36" i="9"/>
  <c r="L29" i="9"/>
  <c r="L26" i="9"/>
  <c r="L11" i="9"/>
  <c r="L59" i="9"/>
  <c r="L52" i="9"/>
  <c r="L61" i="9"/>
  <c r="L64" i="9"/>
  <c r="L4" i="9"/>
  <c r="L69" i="9"/>
  <c r="L79" i="9"/>
  <c r="L15" i="9"/>
  <c r="L39" i="9"/>
  <c r="L76" i="9"/>
  <c r="L35" i="9"/>
  <c r="L8" i="9"/>
  <c r="L24" i="9"/>
  <c r="L40" i="9"/>
  <c r="L56" i="9"/>
  <c r="L73" i="9"/>
  <c r="L9" i="9"/>
  <c r="L37" i="9"/>
  <c r="L68" i="9"/>
  <c r="L33" i="9"/>
  <c r="L65" i="9"/>
  <c r="L83" i="9"/>
  <c r="L19" i="9"/>
  <c r="L47" i="9"/>
  <c r="L84" i="9"/>
  <c r="L43" i="9"/>
  <c r="L72" i="9"/>
  <c r="L12" i="9"/>
  <c r="L28" i="9"/>
  <c r="L44" i="9"/>
  <c r="L60" i="9"/>
  <c r="L77" i="9"/>
  <c r="L13" i="9"/>
  <c r="L45" i="9"/>
  <c r="L5" i="9"/>
  <c r="L41" i="9"/>
  <c r="L6" i="9"/>
  <c r="L71" i="9"/>
  <c r="L7" i="9"/>
  <c r="L23" i="9"/>
  <c r="L55" i="9"/>
  <c r="L3" i="9"/>
  <c r="L51" i="9"/>
  <c r="L80" i="9"/>
  <c r="L16" i="9"/>
  <c r="L32" i="9"/>
  <c r="L48" i="9"/>
  <c r="L67" i="9"/>
  <c r="L81" i="9"/>
  <c r="L21" i="9"/>
  <c r="L53" i="9"/>
  <c r="L17" i="9"/>
  <c r="N81" i="13"/>
  <c r="N77" i="13"/>
  <c r="N69" i="13"/>
  <c r="N65" i="13"/>
  <c r="N61" i="13"/>
  <c r="N53" i="13"/>
  <c r="N49" i="13"/>
  <c r="N45" i="13"/>
  <c r="N37" i="13"/>
  <c r="N33" i="13"/>
  <c r="N29" i="13"/>
  <c r="N21" i="13"/>
  <c r="N17" i="13"/>
  <c r="N13" i="13"/>
  <c r="N9" i="13"/>
  <c r="N5" i="13"/>
  <c r="N84" i="13"/>
  <c r="N80" i="13"/>
  <c r="N76" i="13"/>
  <c r="N72" i="13"/>
  <c r="N68" i="13"/>
  <c r="N64" i="13"/>
  <c r="N56" i="13"/>
  <c r="N52" i="13"/>
  <c r="N44" i="13"/>
  <c r="N40" i="13"/>
  <c r="N36" i="13"/>
  <c r="N32" i="13"/>
  <c r="N28" i="13"/>
  <c r="N20" i="13"/>
  <c r="N16" i="13"/>
  <c r="P16" i="13" s="1"/>
  <c r="N12" i="13"/>
  <c r="N4" i="13"/>
  <c r="N83" i="13"/>
  <c r="N75" i="13"/>
  <c r="N71" i="13"/>
  <c r="N63" i="13"/>
  <c r="N59" i="13"/>
  <c r="N51" i="13"/>
  <c r="N47" i="13"/>
  <c r="N43" i="13"/>
  <c r="N39" i="13"/>
  <c r="N31" i="13"/>
  <c r="P31" i="13" s="1"/>
  <c r="N23" i="13"/>
  <c r="N19" i="13"/>
  <c r="N15" i="13"/>
  <c r="N11" i="13"/>
  <c r="P11" i="13" s="1"/>
  <c r="N3" i="13"/>
  <c r="N78" i="13"/>
  <c r="N74" i="13"/>
  <c r="N70" i="13"/>
  <c r="N62" i="13"/>
  <c r="N58" i="13"/>
  <c r="N54" i="13"/>
  <c r="N46" i="13"/>
  <c r="N42" i="13"/>
  <c r="N38" i="13"/>
  <c r="N30" i="13"/>
  <c r="N26" i="13"/>
  <c r="N22" i="13"/>
  <c r="N14" i="13"/>
  <c r="N10" i="13"/>
  <c r="N6" i="13"/>
  <c r="O6" i="13" s="1"/>
  <c r="N2" i="13"/>
  <c r="P80" i="13"/>
  <c r="T61" i="11" l="1"/>
  <c r="T44" i="11"/>
  <c r="T71" i="11"/>
  <c r="T39" i="11"/>
  <c r="T7" i="11"/>
  <c r="T5" i="11"/>
  <c r="T83" i="11"/>
  <c r="T63" i="11"/>
  <c r="T50" i="11"/>
  <c r="T57" i="11"/>
  <c r="T73" i="11"/>
  <c r="T62" i="11"/>
  <c r="T26" i="11"/>
  <c r="T51" i="11"/>
  <c r="T23" i="11"/>
  <c r="T78" i="11"/>
  <c r="T58" i="11"/>
  <c r="T74" i="11"/>
  <c r="T53" i="11"/>
  <c r="T52" i="11"/>
  <c r="T56" i="11"/>
  <c r="T77" i="11"/>
  <c r="T72" i="11"/>
  <c r="T8" i="11"/>
  <c r="T69" i="11"/>
  <c r="T20" i="11"/>
  <c r="T82" i="11"/>
  <c r="T75" i="11"/>
  <c r="T4" i="11"/>
  <c r="T49" i="11"/>
  <c r="T54" i="11"/>
  <c r="T3" i="11"/>
  <c r="T40" i="11"/>
  <c r="T64" i="11"/>
  <c r="T24" i="11"/>
  <c r="T43" i="11"/>
  <c r="T19" i="11"/>
  <c r="O55" i="13"/>
  <c r="P53" i="13"/>
  <c r="P72" i="13"/>
  <c r="P30" i="13"/>
  <c r="P83" i="13"/>
  <c r="P40" i="13"/>
  <c r="P12" i="13"/>
  <c r="P36" i="13"/>
  <c r="P34" i="13"/>
  <c r="P15" i="13"/>
  <c r="P59" i="13"/>
  <c r="P57" i="13"/>
  <c r="P61" i="13"/>
  <c r="P24" i="13"/>
  <c r="P51" i="13"/>
  <c r="P48" i="13"/>
  <c r="P9" i="13"/>
  <c r="P47" i="13"/>
  <c r="P84" i="13"/>
  <c r="P79" i="13"/>
  <c r="P62" i="13"/>
  <c r="P17" i="13"/>
  <c r="O54" i="13"/>
  <c r="O39" i="13"/>
  <c r="O20" i="13"/>
  <c r="O64" i="13"/>
  <c r="P55" i="13"/>
  <c r="P63" i="13"/>
  <c r="P52" i="13"/>
  <c r="P21" i="13"/>
  <c r="P60" i="13"/>
  <c r="P3" i="13"/>
  <c r="P29" i="13"/>
  <c r="P2" i="13"/>
  <c r="P67" i="13"/>
  <c r="P78" i="13"/>
  <c r="P65" i="13"/>
  <c r="O14" i="13"/>
  <c r="O38" i="13"/>
  <c r="O58" i="13"/>
  <c r="O78" i="13"/>
  <c r="O19" i="13"/>
  <c r="O43" i="13"/>
  <c r="O63" i="13"/>
  <c r="O4" i="13"/>
  <c r="O28" i="13"/>
  <c r="O44" i="13"/>
  <c r="O68" i="13"/>
  <c r="O84" i="13"/>
  <c r="O17" i="13"/>
  <c r="O37" i="13"/>
  <c r="O61" i="13"/>
  <c r="O81" i="13"/>
  <c r="O66" i="13"/>
  <c r="O41" i="13"/>
  <c r="O18" i="13"/>
  <c r="P43" i="13"/>
  <c r="P69" i="13"/>
  <c r="P25" i="13"/>
  <c r="O10" i="13"/>
  <c r="O74" i="13"/>
  <c r="O59" i="13"/>
  <c r="P73" i="13"/>
  <c r="P68" i="13"/>
  <c r="P37" i="13"/>
  <c r="P35" i="13"/>
  <c r="P19" i="13"/>
  <c r="P75" i="13"/>
  <c r="P56" i="13"/>
  <c r="P45" i="13"/>
  <c r="P82" i="13"/>
  <c r="P10" i="13"/>
  <c r="P38" i="13"/>
  <c r="P44" i="13"/>
  <c r="P66" i="13"/>
  <c r="O2" i="13"/>
  <c r="O22" i="13"/>
  <c r="O42" i="13"/>
  <c r="O62" i="13"/>
  <c r="O3" i="13"/>
  <c r="O23" i="13"/>
  <c r="O47" i="13"/>
  <c r="O71" i="13"/>
  <c r="O12" i="13"/>
  <c r="O32" i="13"/>
  <c r="O52" i="13"/>
  <c r="O72" i="13"/>
  <c r="O5" i="13"/>
  <c r="O21" i="13"/>
  <c r="O45" i="13"/>
  <c r="O65" i="13"/>
  <c r="O60" i="13"/>
  <c r="O8" i="13"/>
  <c r="O34" i="13"/>
  <c r="O50" i="13"/>
  <c r="O73" i="13"/>
  <c r="P58" i="13"/>
  <c r="O26" i="13"/>
  <c r="O46" i="13"/>
  <c r="O70" i="13"/>
  <c r="O11" i="13"/>
  <c r="O31" i="13"/>
  <c r="O51" i="13"/>
  <c r="O75" i="13"/>
  <c r="O16" i="13"/>
  <c r="O36" i="13"/>
  <c r="O56" i="13"/>
  <c r="O76" i="13"/>
  <c r="O9" i="13"/>
  <c r="O29" i="13"/>
  <c r="O49" i="13"/>
  <c r="O69" i="13"/>
  <c r="O35" i="13"/>
  <c r="O27" i="13"/>
  <c r="O82" i="13"/>
  <c r="O7" i="13"/>
  <c r="O67" i="13"/>
  <c r="P14" i="13"/>
  <c r="P5" i="13"/>
  <c r="P32" i="13"/>
  <c r="P46" i="13"/>
  <c r="P28" i="13"/>
  <c r="P22" i="13"/>
  <c r="P71" i="13"/>
  <c r="O30" i="13"/>
  <c r="O15" i="13"/>
  <c r="O83" i="13"/>
  <c r="O40" i="13"/>
  <c r="O80" i="13"/>
  <c r="O13" i="13"/>
  <c r="O33" i="13"/>
  <c r="O53" i="13"/>
  <c r="O77" i="13"/>
  <c r="O57" i="13"/>
  <c r="O24" i="13"/>
  <c r="O25" i="13"/>
  <c r="O48" i="13"/>
  <c r="O79" i="13"/>
  <c r="P42" i="13"/>
  <c r="P70" i="13"/>
  <c r="P23" i="13"/>
  <c r="P4" i="13"/>
  <c r="P64" i="13"/>
  <c r="P33" i="13"/>
  <c r="P41" i="13"/>
  <c r="P13" i="13"/>
  <c r="P18" i="13"/>
  <c r="P8" i="13"/>
  <c r="P6" i="13"/>
  <c r="P26" i="13"/>
  <c r="P54" i="13"/>
  <c r="P74" i="13"/>
  <c r="P39" i="13"/>
  <c r="P20" i="13"/>
  <c r="P76" i="13"/>
  <c r="P49" i="13"/>
  <c r="P77" i="13"/>
  <c r="P7" i="13"/>
  <c r="P81" i="13"/>
  <c r="P50" i="13"/>
  <c r="P27" i="13"/>
  <c r="V55" i="11" l="1"/>
  <c r="U27" i="11"/>
  <c r="U54" i="11"/>
  <c r="V54" i="11"/>
  <c r="U46" i="11"/>
  <c r="U51" i="11"/>
  <c r="U69" i="11"/>
  <c r="V69" i="11"/>
  <c r="V22" i="11"/>
  <c r="U14" i="11"/>
  <c r="U61" i="11"/>
  <c r="V37" i="11"/>
  <c r="U28" i="11"/>
  <c r="V21" i="11"/>
  <c r="U63" i="11"/>
  <c r="V36" i="11"/>
  <c r="V7" i="11"/>
  <c r="V19" i="11"/>
  <c r="U19" i="11"/>
  <c r="U16" i="11"/>
  <c r="V33" i="11"/>
  <c r="V57" i="11"/>
  <c r="V80" i="11"/>
  <c r="V35" i="11"/>
  <c r="U39" i="11"/>
  <c r="V2" i="11"/>
  <c r="U15" i="11"/>
  <c r="V59" i="11"/>
  <c r="U55" i="11"/>
  <c r="U68" i="11"/>
  <c r="U79" i="11"/>
  <c r="U43" i="11"/>
  <c r="V43" i="11"/>
  <c r="U3" i="11"/>
  <c r="V3" i="11"/>
  <c r="U65" i="11"/>
  <c r="V16" i="11"/>
  <c r="V18" i="11"/>
  <c r="U33" i="11"/>
  <c r="V67" i="11"/>
  <c r="U57" i="11"/>
  <c r="U9" i="11"/>
  <c r="U80" i="11"/>
  <c r="V81" i="11"/>
  <c r="U35" i="11"/>
  <c r="V65" i="11"/>
  <c r="V39" i="11"/>
  <c r="U10" i="11"/>
  <c r="U2" i="11"/>
  <c r="U22" i="11"/>
  <c r="V38" i="11"/>
  <c r="V84" i="11"/>
  <c r="V14" i="11"/>
  <c r="V68" i="11"/>
  <c r="V30" i="11"/>
  <c r="U44" i="11"/>
  <c r="U52" i="11"/>
  <c r="V52" i="11"/>
  <c r="U74" i="11"/>
  <c r="V74" i="11"/>
  <c r="V42" i="11"/>
  <c r="V17" i="11"/>
  <c r="U32" i="11"/>
  <c r="V66" i="11"/>
  <c r="U23" i="11"/>
  <c r="V23" i="11"/>
  <c r="V47" i="11"/>
  <c r="U41" i="11"/>
  <c r="U83" i="11"/>
  <c r="U48" i="11"/>
  <c r="U70" i="11"/>
  <c r="U7" i="11"/>
  <c r="U24" i="11"/>
  <c r="V24" i="11"/>
  <c r="U29" i="11"/>
  <c r="U50" i="11"/>
  <c r="V13" i="11"/>
  <c r="V82" i="11"/>
  <c r="U82" i="11"/>
  <c r="U38" i="11"/>
  <c r="U30" i="11"/>
  <c r="U78" i="11"/>
  <c r="V78" i="11"/>
  <c r="V48" i="11"/>
  <c r="V44" i="11"/>
  <c r="U64" i="11"/>
  <c r="V64" i="11"/>
  <c r="V49" i="11"/>
  <c r="U49" i="11"/>
  <c r="U12" i="11"/>
  <c r="V29" i="11"/>
  <c r="V46" i="11"/>
  <c r="V34" i="11"/>
  <c r="V50" i="11"/>
  <c r="V51" i="11"/>
  <c r="U26" i="11"/>
  <c r="U13" i="11"/>
  <c r="V27" i="11"/>
  <c r="U75" i="11"/>
  <c r="V75" i="11"/>
  <c r="U20" i="11"/>
  <c r="V20" i="11"/>
  <c r="U8" i="11"/>
  <c r="V8" i="11"/>
  <c r="V15" i="11"/>
  <c r="U31" i="11"/>
  <c r="U59" i="11"/>
  <c r="U72" i="11"/>
  <c r="V72" i="11"/>
  <c r="V62" i="11"/>
  <c r="V79" i="11"/>
  <c r="V61" i="11"/>
  <c r="U71" i="11"/>
  <c r="U58" i="11"/>
  <c r="V58" i="11"/>
  <c r="U11" i="11"/>
  <c r="V28" i="11"/>
  <c r="V45" i="11"/>
  <c r="V73" i="11"/>
  <c r="U21" i="11"/>
  <c r="V60" i="11"/>
  <c r="V63" i="11"/>
  <c r="U36" i="11"/>
  <c r="U5" i="11"/>
  <c r="V76" i="11"/>
  <c r="U25" i="11"/>
  <c r="V12" i="11"/>
  <c r="U34" i="11"/>
  <c r="V26" i="11"/>
  <c r="V4" i="11"/>
  <c r="U4" i="11"/>
  <c r="U37" i="11"/>
  <c r="U84" i="11"/>
  <c r="U62" i="11"/>
  <c r="V71" i="11"/>
  <c r="V11" i="11"/>
  <c r="U45" i="11"/>
  <c r="U60" i="11"/>
  <c r="V70" i="11"/>
  <c r="U40" i="11"/>
  <c r="V40" i="11"/>
  <c r="U18" i="11"/>
  <c r="U67" i="11"/>
  <c r="V9" i="11"/>
  <c r="U81" i="11"/>
  <c r="V6" i="11"/>
  <c r="V10" i="11"/>
  <c r="V31" i="11"/>
  <c r="U77" i="11"/>
  <c r="V77" i="11"/>
  <c r="V56" i="11"/>
  <c r="U56" i="11"/>
  <c r="V53" i="11"/>
  <c r="U53" i="11"/>
  <c r="U42" i="11"/>
  <c r="U17" i="11"/>
  <c r="V32" i="11"/>
  <c r="U66" i="11"/>
  <c r="U73" i="11"/>
  <c r="U47" i="11"/>
  <c r="V41" i="11"/>
  <c r="V83" i="11"/>
  <c r="U6" i="11"/>
  <c r="V5" i="11"/>
  <c r="U76" i="11"/>
  <c r="V25" i="11"/>
</calcChain>
</file>

<file path=xl/comments1.xml><?xml version="1.0" encoding="utf-8"?>
<comments xmlns="http://schemas.openxmlformats.org/spreadsheetml/2006/main">
  <authors>
    <author>Zach Chissell</author>
  </authors>
  <commentList>
    <comment ref="AB2" authorId="0">
      <text>
        <r>
          <rPr>
            <b/>
            <sz val="9"/>
            <color indexed="81"/>
            <rFont val="Tahoma"/>
            <family val="2"/>
          </rPr>
          <t>Zach Chissell:</t>
        </r>
        <r>
          <rPr>
            <sz val="9"/>
            <color indexed="81"/>
            <rFont val="Tahoma"/>
            <family val="2"/>
          </rPr>
          <t xml:space="preserve">
Incorporate sources of data in map..
MARC- 12 month average of Wednesday boardings, ending 5/14/14</t>
        </r>
      </text>
    </comment>
    <comment ref="AH2" authorId="0">
      <text>
        <r>
          <rPr>
            <b/>
            <sz val="9"/>
            <color indexed="81"/>
            <rFont val="Tahoma"/>
            <family val="2"/>
          </rPr>
          <t>Zach Chissell:</t>
        </r>
        <r>
          <rPr>
            <sz val="9"/>
            <color indexed="81"/>
            <rFont val="Tahoma"/>
            <family val="2"/>
          </rPr>
          <t xml:space="preserve">
Incorporate sources of data in map..
</t>
        </r>
      </text>
    </comment>
    <comment ref="BB2" authorId="0">
      <text>
        <r>
          <rPr>
            <b/>
            <sz val="9"/>
            <color indexed="81"/>
            <rFont val="Tahoma"/>
            <family val="2"/>
          </rPr>
          <t>Zach Chissell:</t>
        </r>
        <r>
          <rPr>
            <sz val="9"/>
            <color indexed="81"/>
            <rFont val="Tahoma"/>
            <family val="2"/>
          </rPr>
          <t xml:space="preserve">
From MTA OPCP 2014 counts: Spring, Summer, Fall - average</t>
        </r>
      </text>
    </comment>
    <comment ref="BF2" authorId="0">
      <text>
        <r>
          <rPr>
            <b/>
            <sz val="9"/>
            <color indexed="81"/>
            <rFont val="Tahoma"/>
            <family val="2"/>
          </rPr>
          <t>Zach Chissell:</t>
        </r>
        <r>
          <rPr>
            <sz val="9"/>
            <color indexed="81"/>
            <rFont val="Tahoma"/>
            <family val="2"/>
          </rPr>
          <t xml:space="preserve">
Union station not factored into averages for MARC lines
</t>
        </r>
      </text>
    </comment>
  </commentList>
</comments>
</file>

<file path=xl/sharedStrings.xml><?xml version="1.0" encoding="utf-8"?>
<sst xmlns="http://schemas.openxmlformats.org/spreadsheetml/2006/main" count="2938" uniqueCount="480">
  <si>
    <t>Data Grouping:</t>
  </si>
  <si>
    <t>General Information</t>
  </si>
  <si>
    <t>Category Scores</t>
  </si>
  <si>
    <t>Transit Information</t>
  </si>
  <si>
    <t>Parking</t>
  </si>
  <si>
    <t>Data Type:</t>
  </si>
  <si>
    <t>Number</t>
  </si>
  <si>
    <t>Text</t>
  </si>
  <si>
    <t>Text (link)</t>
  </si>
  <si>
    <t>Station</t>
  </si>
  <si>
    <t>Station ID</t>
  </si>
  <si>
    <t>Station Name</t>
  </si>
  <si>
    <t>State Designated TOD</t>
  </si>
  <si>
    <t>Jurisdiction</t>
  </si>
  <si>
    <t>TOD Place Type</t>
  </si>
  <si>
    <t>Station Type</t>
  </si>
  <si>
    <t>Transit Score</t>
  </si>
  <si>
    <t>Station Facility Score</t>
  </si>
  <si>
    <t>Parking Score</t>
  </si>
  <si>
    <t>Bike Access Score</t>
  </si>
  <si>
    <t>Ped Access Score</t>
  </si>
  <si>
    <t>TOD Zoning Score</t>
  </si>
  <si>
    <t>Benches</t>
  </si>
  <si>
    <t>Schedule Information</t>
  </si>
  <si>
    <t>Number of Bicycle Racks</t>
  </si>
  <si>
    <t>Type of Bicycle Racks</t>
  </si>
  <si>
    <t>Number of Bicycle Lockers</t>
  </si>
  <si>
    <t>Number of Bicycle Lockers Occupied</t>
  </si>
  <si>
    <t>Locally Designated TOD</t>
  </si>
  <si>
    <t>Zoning Summary</t>
  </si>
  <si>
    <t>Local Zoning Descriptions</t>
  </si>
  <si>
    <t>Area Master plans</t>
  </si>
  <si>
    <t>Owings Mills</t>
  </si>
  <si>
    <t>Yes</t>
  </si>
  <si>
    <t>Baltimore County</t>
  </si>
  <si>
    <t>New or Emerging Town Center, Outlying Neighborhood, or Employment Center</t>
  </si>
  <si>
    <t>Anchor</t>
  </si>
  <si>
    <t>Grade Separated</t>
  </si>
  <si>
    <t>BM-CT Town Center Zoning</t>
  </si>
  <si>
    <t>http://www.baltimorecountymd.gov/Agencies/planning/zoning/classifications.html</t>
  </si>
  <si>
    <t>Master Plans\Baltimore Metro\Owings Mills\owingmills1995.pdf</t>
  </si>
  <si>
    <t>Old Court</t>
  </si>
  <si>
    <t>No</t>
  </si>
  <si>
    <t>DR 5.5 - Med density residential</t>
  </si>
  <si>
    <t>Milford Mill</t>
  </si>
  <si>
    <t>Master Plans\Baltimore Metro\Milford Mill\pikesvillerevitalizationplan2003.pdf</t>
  </si>
  <si>
    <t>Resisterstown Plaza</t>
  </si>
  <si>
    <t>Baltimore City</t>
  </si>
  <si>
    <t>Built-Up Neighborhood</t>
  </si>
  <si>
    <t>Neighborhood</t>
  </si>
  <si>
    <t>I-2 TOD-3 &amp; TOD-4 small area</t>
  </si>
  <si>
    <t>http://archive.baltimorecity.gov/Government/AgenciesDepartments/Planning/MasterPlansMapsPublications/DevelopmentResources.aspx</t>
  </si>
  <si>
    <t>Master Plans\Baltimore Metro\Reisterstown\Reisterstown Plaza URP1981.pdf</t>
  </si>
  <si>
    <t>Rogers Avenue</t>
  </si>
  <si>
    <t>I-2 TOD-2 Transit Oriented Development</t>
  </si>
  <si>
    <t>West Coldspring</t>
  </si>
  <si>
    <t>Mondawmin</t>
  </si>
  <si>
    <t>Below Grade</t>
  </si>
  <si>
    <t>TOD-2 Transit Oriented Development</t>
  </si>
  <si>
    <t>Penn North</t>
  </si>
  <si>
    <t>TOD-1 Transit Oriented Development</t>
  </si>
  <si>
    <t>Upton</t>
  </si>
  <si>
    <t>OS Open Space</t>
  </si>
  <si>
    <t>State Center</t>
  </si>
  <si>
    <t>Downtown or Traditional Town Center</t>
  </si>
  <si>
    <t>Walk-up</t>
  </si>
  <si>
    <t>R-10 Multifamily</t>
  </si>
  <si>
    <t>Master Plans\Baltimore Metro\State Center\State_CenterTODDevelopmentStrategy2005.pdf</t>
  </si>
  <si>
    <t>Lexington Market</t>
  </si>
  <si>
    <t>C-5 Downtown Commercial</t>
  </si>
  <si>
    <t>Charles Center</t>
  </si>
  <si>
    <t>Shot Tower</t>
  </si>
  <si>
    <t>Johns Hopkins</t>
  </si>
  <si>
    <t>H - Hospital</t>
  </si>
  <si>
    <t>BWI Airport</t>
  </si>
  <si>
    <t>Light Rail</t>
  </si>
  <si>
    <t>Anne Arundel County</t>
  </si>
  <si>
    <t>Regional</t>
  </si>
  <si>
    <t>R1 - Residnetial 1 dwelling per acre</t>
  </si>
  <si>
    <t>http://www.aacounty.org/PlanZone/Zoning/ZoningClassifications.cfm#.VCLVo5RdWX0</t>
  </si>
  <si>
    <t>BWI Business Park</t>
  </si>
  <si>
    <t>On Grade &amp; Separated Right-of-Way</t>
  </si>
  <si>
    <t>W1 - Industrial Park</t>
  </si>
  <si>
    <t>Cromwell Station/Dorsey Road</t>
  </si>
  <si>
    <t>Ferndale</t>
  </si>
  <si>
    <t>R5 - Residential 5 dwellings per acre</t>
  </si>
  <si>
    <t>Linthicum</t>
  </si>
  <si>
    <t>C1   R5 - Residential 5 dwellings per acre</t>
  </si>
  <si>
    <t>North Linthicum</t>
  </si>
  <si>
    <t>Nursery Road</t>
  </si>
  <si>
    <t>R5 &amp;  OS - Open Space</t>
  </si>
  <si>
    <t>Baltimore Highlands</t>
  </si>
  <si>
    <t>DR-5.5 Residential</t>
  </si>
  <si>
    <t>Patapsco</t>
  </si>
  <si>
    <t>Cherry Hill</t>
  </si>
  <si>
    <t>I-2 TOD-4 Transit Oriented Development</t>
  </si>
  <si>
    <t>Westport</t>
  </si>
  <si>
    <t>Master Plans\Baltimore Light Rail\Wesport\WestportMtWinansLakelandMP2005.pdf</t>
  </si>
  <si>
    <t>Hamburg Street</t>
  </si>
  <si>
    <t>I-2   C-5 Downtown Commercial</t>
  </si>
  <si>
    <t>Camden</t>
  </si>
  <si>
    <t>On Grade &amp; In Street Right-of-Way</t>
  </si>
  <si>
    <t>Pratt St./Convention Center</t>
  </si>
  <si>
    <t>Baltimore St./1ST Mariner Arena</t>
  </si>
  <si>
    <t>Lexington Street</t>
  </si>
  <si>
    <t>Centre Street</t>
  </si>
  <si>
    <t>OR-2 Office, Residential</t>
  </si>
  <si>
    <t>Cultural Center/State Center</t>
  </si>
  <si>
    <t>TOD -4 Transit Oriented Development</t>
  </si>
  <si>
    <t>Mount Royal/Univ. Of Baltimore</t>
  </si>
  <si>
    <t>Penn Station</t>
  </si>
  <si>
    <t>North Avenue</t>
  </si>
  <si>
    <t>I-2 Industrial</t>
  </si>
  <si>
    <t>Woodberry</t>
  </si>
  <si>
    <t>Cold Spring Lane</t>
  </si>
  <si>
    <t>Mount Washington</t>
  </si>
  <si>
    <t>I-2  OR-2 Office, Residential</t>
  </si>
  <si>
    <t>Falls Road</t>
  </si>
  <si>
    <t>ML  Light Manufacturing, Office</t>
  </si>
  <si>
    <t>Lutherville</t>
  </si>
  <si>
    <t>DR-3.5 Low Density Resid.; RO - Office</t>
  </si>
  <si>
    <t>Timonium Business Park</t>
  </si>
  <si>
    <t>ML-IM Light Manufacturing, Office</t>
  </si>
  <si>
    <t>Timonium Fairgrounds</t>
  </si>
  <si>
    <t>Warren Road</t>
  </si>
  <si>
    <t>Gilroy Road</t>
  </si>
  <si>
    <t>McCormick Road</t>
  </si>
  <si>
    <t>Pepper Road</t>
  </si>
  <si>
    <t>Hunt Valley</t>
  </si>
  <si>
    <t>BM-CT Town Center</t>
  </si>
  <si>
    <t>Perryville</t>
  </si>
  <si>
    <t>MARC: Penn Line</t>
  </si>
  <si>
    <t>City of Perryville</t>
  </si>
  <si>
    <t>TC Town Center Mixed Use</t>
  </si>
  <si>
    <t>http://www.ccgov.org/uploads/PlanningAndZoning/General/ZoningOrdinance_2011.pdf</t>
  </si>
  <si>
    <t>Aberdeen</t>
  </si>
  <si>
    <t>Harford County</t>
  </si>
  <si>
    <t>Adopted Master Plan - form based zoning pending</t>
  </si>
  <si>
    <t>http://www.harfordcountymd.gov/planningzoning/</t>
  </si>
  <si>
    <t>Master Plans\MARC\Aberdeen\Final_Master Plan_Aberdeen_Report.pdf</t>
  </si>
  <si>
    <t>Edgewood</t>
  </si>
  <si>
    <t>Village Centers or Rural Town</t>
  </si>
  <si>
    <t>CI Commercial Industrial</t>
  </si>
  <si>
    <t>Martin State Airport</t>
  </si>
  <si>
    <t>BM-CT high density commercial, residential</t>
  </si>
  <si>
    <t>Urban Neighborhood</t>
  </si>
  <si>
    <t>TOD-4 proposed zoning</t>
  </si>
  <si>
    <t>West Baltimore</t>
  </si>
  <si>
    <t>TOD-2 &amp; TOD- 4 proposed zoning</t>
  </si>
  <si>
    <t>Halethorpe</t>
  </si>
  <si>
    <t>ML - Manufacturing Light</t>
  </si>
  <si>
    <t>BWI</t>
  </si>
  <si>
    <t>R-1 residential ( 1 house per acre)</t>
  </si>
  <si>
    <t>Odenton</t>
  </si>
  <si>
    <t xml:space="preserve">Adopted OTC Master Plan &amp; Resolution 48-11 </t>
  </si>
  <si>
    <t>Master Plans\MARC\Odenton\OdentonTC_2009.pdf</t>
  </si>
  <si>
    <t>Bowie State</t>
  </si>
  <si>
    <t>Prince Georges County</t>
  </si>
  <si>
    <t>MARC Station Sector Plan, OS Open Space</t>
  </si>
  <si>
    <t>http://lis.princegeorgescountymd.gov/default.asp?File=&amp;Type=TOC</t>
  </si>
  <si>
    <t>Seabrook</t>
  </si>
  <si>
    <t>C-M, C-A, C-S-C, R-80</t>
  </si>
  <si>
    <t>New Carrollton</t>
  </si>
  <si>
    <t>M-X-T</t>
  </si>
  <si>
    <t>Union Station</t>
  </si>
  <si>
    <t>Washington DC</t>
  </si>
  <si>
    <t>MARC: Camden Line</t>
  </si>
  <si>
    <t>On Grade</t>
  </si>
  <si>
    <t>C-5 Downtown District</t>
  </si>
  <si>
    <t>St. Denis</t>
  </si>
  <si>
    <t>Residential, Industrial</t>
  </si>
  <si>
    <t>Dorsey</t>
  </si>
  <si>
    <t>Howard County</t>
  </si>
  <si>
    <t xml:space="preserve">TOD zone </t>
  </si>
  <si>
    <t>http://www.howardcountymd.gov/Departments.aspx?id=4294968162, http://www.aacounty.org/PlanZone/Zoning/ZoningClassifications.cfm#.VCLVo5RdWX0</t>
  </si>
  <si>
    <t>Jessup</t>
  </si>
  <si>
    <t>W3 Heavy Industrial</t>
  </si>
  <si>
    <t>Savage</t>
  </si>
  <si>
    <t>TOD zoned (Savage Towne Center)</t>
  </si>
  <si>
    <t>Master Plans\MARC\Laurel Mainstreet\US1Manual_AdoptedJuly2009.pdf</t>
  </si>
  <si>
    <t>Laurel Racetrack</t>
  </si>
  <si>
    <t>Laurel Mainstreet</t>
  </si>
  <si>
    <t>City of Laurel</t>
  </si>
  <si>
    <t>Municipal density</t>
  </si>
  <si>
    <t>Muirkirk</t>
  </si>
  <si>
    <t>I-2, E-I-A, I-3</t>
  </si>
  <si>
    <t>Greenbelt</t>
  </si>
  <si>
    <t>M-X-T, O-S, R-55</t>
  </si>
  <si>
    <t>College Park</t>
  </si>
  <si>
    <t>City of College Park</t>
  </si>
  <si>
    <t>M-X-T, T-D-O, C-S-C, I-1, R-55</t>
  </si>
  <si>
    <t>http://lis.princegeorgescountymd.gov/default.asp?File=&amp;Type=TOC, http://ecode360.com/9898630</t>
  </si>
  <si>
    <t>Riverdale</t>
  </si>
  <si>
    <t>M-U-TC, R-55</t>
  </si>
  <si>
    <t>Martinsburg</t>
  </si>
  <si>
    <t>MARC: Brunswick Line</t>
  </si>
  <si>
    <t>West Virginia</t>
  </si>
  <si>
    <t>Duffields</t>
  </si>
  <si>
    <t>Harpers Ferry</t>
  </si>
  <si>
    <t>City of Harpers Ferry, WV</t>
  </si>
  <si>
    <t>Brunswick</t>
  </si>
  <si>
    <t>City of Brunswick</t>
  </si>
  <si>
    <t xml:space="preserve">I - 2, B - 2 </t>
  </si>
  <si>
    <t>https://www.brunswickmd.gov/zoning-ordinance/</t>
  </si>
  <si>
    <t>Point of Rocks</t>
  </si>
  <si>
    <t>Frederick County</t>
  </si>
  <si>
    <t>Agriculture, community planning area</t>
  </si>
  <si>
    <t>https://frederickcountymd.gov/index.aspx?NID=1409</t>
  </si>
  <si>
    <t>Frederick</t>
  </si>
  <si>
    <t>City of Frederick</t>
  </si>
  <si>
    <t>DB Downtown Business</t>
  </si>
  <si>
    <t>http://www.cityoffrederick.com/DocumentCenter/Home/View/428</t>
  </si>
  <si>
    <t>Monocacy</t>
  </si>
  <si>
    <t>GC - General Commercial, MM - Minneral Mining</t>
  </si>
  <si>
    <t>Dickerson</t>
  </si>
  <si>
    <t>Montgomery County</t>
  </si>
  <si>
    <t>Rural, R-200, C-1, I-1</t>
  </si>
  <si>
    <t>http://www.montgomerycountymd.gov/mcg/countycode.html</t>
  </si>
  <si>
    <t>Barnesville</t>
  </si>
  <si>
    <t>Rural RDT, I - 1 station only</t>
  </si>
  <si>
    <t>Boyds</t>
  </si>
  <si>
    <t>Rural, R-200, C-1, T-S, I-1</t>
  </si>
  <si>
    <t>Germantown</t>
  </si>
  <si>
    <t>TMX - 2 (north), CT, R-200, Historic District (south)</t>
  </si>
  <si>
    <t>Metropolitan Grove</t>
  </si>
  <si>
    <t>City of Gaithersburg</t>
  </si>
  <si>
    <t>RA - low density residential*</t>
  </si>
  <si>
    <t>Gaithersburg</t>
  </si>
  <si>
    <t>CBD - Historic (north side)</t>
  </si>
  <si>
    <t>Washington Grove</t>
  </si>
  <si>
    <t>CT, I - 1</t>
  </si>
  <si>
    <t>Rockville</t>
  </si>
  <si>
    <t>City of Rockville</t>
  </si>
  <si>
    <t>MXTD, high density; MXNC  low density east side tracks</t>
  </si>
  <si>
    <t>Garrett Park</t>
  </si>
  <si>
    <t>C-1 station only</t>
  </si>
  <si>
    <t>Kensington</t>
  </si>
  <si>
    <t>CRT - 1.5, C - 1.5</t>
  </si>
  <si>
    <t>Silver Spring</t>
  </si>
  <si>
    <t>CBD-2, CBD-3 high density mixed use</t>
  </si>
  <si>
    <t>Branch Avenue</t>
  </si>
  <si>
    <t>WMATA Metro</t>
  </si>
  <si>
    <t>Prince George's County</t>
  </si>
  <si>
    <t>Naylor</t>
  </si>
  <si>
    <t>Shady Grove</t>
  </si>
  <si>
    <t>Twinbrook</t>
  </si>
  <si>
    <t>Wheaton</t>
  </si>
  <si>
    <t>White Flint</t>
  </si>
  <si>
    <t>BWI Rail Station</t>
  </si>
  <si>
    <t>Weekday Ridership 1</t>
  </si>
  <si>
    <t>Weekday Ridership 2</t>
  </si>
  <si>
    <t>Weekday Ridership 3</t>
  </si>
  <si>
    <t>Weekend Ridership 1</t>
  </si>
  <si>
    <t>Weekend Ridership 2</t>
  </si>
  <si>
    <t>Weekend Ridership 3</t>
  </si>
  <si>
    <t>Lines 1</t>
  </si>
  <si>
    <t>Lines  2</t>
  </si>
  <si>
    <t>Lines 3</t>
  </si>
  <si>
    <t>Modes Served</t>
  </si>
  <si>
    <t>Rail Type 1</t>
  </si>
  <si>
    <t>Rail Type 2</t>
  </si>
  <si>
    <t>Rail Type 3</t>
  </si>
  <si>
    <t>Metro</t>
  </si>
  <si>
    <t>Rail Type 4</t>
  </si>
  <si>
    <t>Amtrak</t>
  </si>
  <si>
    <t>Rail Type 5</t>
  </si>
  <si>
    <t>Camden Station</t>
  </si>
  <si>
    <t>Baltimore St./1st Mariner Arena</t>
  </si>
  <si>
    <t>Mount Royal/University of Baltimore</t>
  </si>
  <si>
    <t xml:space="preserve"> </t>
  </si>
  <si>
    <t>Parking Fee</t>
  </si>
  <si>
    <t>Lighting</t>
  </si>
  <si>
    <t>Route Information</t>
  </si>
  <si>
    <t>Ticket Booth/Machine</t>
  </si>
  <si>
    <t>Shelter</t>
  </si>
  <si>
    <t>Public Phones</t>
  </si>
  <si>
    <t>Public Restrooms</t>
  </si>
  <si>
    <t>3 Campus; 4 Covered Vertical</t>
  </si>
  <si>
    <t>2 Covered Vertical; 2 Inverted U; 1 Wave</t>
  </si>
  <si>
    <t>N/A</t>
  </si>
  <si>
    <t>2 Inverted U</t>
  </si>
  <si>
    <t>1 Campus</t>
  </si>
  <si>
    <t>1 Inverted U; 1 Bicycle Shaped</t>
  </si>
  <si>
    <t>3 Swerve</t>
  </si>
  <si>
    <t>2 Swerve; 1 Bicycle Shaped</t>
  </si>
  <si>
    <t>1 BR-Wheel Bender Combo</t>
  </si>
  <si>
    <t>2 Hanger; 1 BR-Wheel Bender Combo</t>
  </si>
  <si>
    <t>1 Wave</t>
  </si>
  <si>
    <t>2 BR-Wheel Bender Combo; 1 Hanger; 1 Wave</t>
  </si>
  <si>
    <t>2 Inverted U; 4 Other</t>
  </si>
  <si>
    <t>2 Inverted U; 1 Wave</t>
  </si>
  <si>
    <t>12 Inverted U; 23 Thick Inverted U</t>
  </si>
  <si>
    <t>2 Wave</t>
  </si>
  <si>
    <t>8 Inverted U</t>
  </si>
  <si>
    <t>70 Inverted U</t>
  </si>
  <si>
    <t>40 Inverted U</t>
  </si>
  <si>
    <t>2 Other</t>
  </si>
  <si>
    <t>2 BR-Wheel Bender Combo</t>
  </si>
  <si>
    <t>4 Other</t>
  </si>
  <si>
    <t>6 Other</t>
  </si>
  <si>
    <t>10 Other</t>
  </si>
  <si>
    <t>4 Inverted U</t>
  </si>
  <si>
    <t>2 Inverted U; 1 BR-Wheel Bender Combo; 1 Wave</t>
  </si>
  <si>
    <t>1 Inverted U; 1 Wave; 1 Other</t>
  </si>
  <si>
    <t>32 Inverted U</t>
  </si>
  <si>
    <t>1 Bicycle Shaped; 1 Other</t>
  </si>
  <si>
    <t>2 Thick Inverted U</t>
  </si>
  <si>
    <t>EVC Charge Stations</t>
  </si>
  <si>
    <t>EVC Charge Stations Occupied</t>
  </si>
  <si>
    <t>Vehicles Parked (2010)</t>
  </si>
  <si>
    <t>Vehicles Parked (2014)</t>
  </si>
  <si>
    <t>Transit Connections</t>
  </si>
  <si>
    <t>Transit Routes</t>
  </si>
  <si>
    <t>Local Bus; Express Bus; Commuter Bus</t>
  </si>
  <si>
    <t>Local Bus</t>
  </si>
  <si>
    <t>Local Bus; Neighborhood Shuttle</t>
  </si>
  <si>
    <t>Local Bus; Commuter Bus</t>
  </si>
  <si>
    <t>Local Bus; Express Bus; Quick Bus; Commuter Bus</t>
  </si>
  <si>
    <t>Local Bus; Quick Bus</t>
  </si>
  <si>
    <t>Local Bus; Commuter Bus; Metro</t>
  </si>
  <si>
    <t>Commuter Bus: County Transit</t>
  </si>
  <si>
    <t>County Transit</t>
  </si>
  <si>
    <t>Local Bus; Express Bus</t>
  </si>
  <si>
    <t>Local Bus; Express Bus; Quick Bus</t>
  </si>
  <si>
    <t>Local Bus; Commuter Bus; WMATA Metrobus</t>
  </si>
  <si>
    <t>Local Transit</t>
  </si>
  <si>
    <t>WMATA Metrobus</t>
  </si>
  <si>
    <t>WMATA Bus</t>
  </si>
  <si>
    <t>Commuter Bus; Local Transit</t>
  </si>
  <si>
    <t>Commuter Bus</t>
  </si>
  <si>
    <t>WMATA Metrobus ; Local Transit</t>
  </si>
  <si>
    <t>Commuter Bus; WMATA Metrobus; Local Transit</t>
  </si>
  <si>
    <t>WMATA Metrobus College Park Routes</t>
  </si>
  <si>
    <t>WMATA Metrobus; Local Transit</t>
  </si>
  <si>
    <t>Parking Spots Regular</t>
  </si>
  <si>
    <t>Parking Spots ADA</t>
  </si>
  <si>
    <t xml:space="preserve">Utilization Rate (2014) </t>
  </si>
  <si>
    <t>Area Population (2010)</t>
  </si>
  <si>
    <t>Spaces relative to other stations on the same line</t>
  </si>
  <si>
    <t>Track Crossing</t>
  </si>
  <si>
    <t>Pedestrian Access</t>
  </si>
  <si>
    <t>Bicycle Access</t>
  </si>
  <si>
    <t>TOD Zoning</t>
  </si>
  <si>
    <t>Station List</t>
  </si>
  <si>
    <t>Line</t>
  </si>
  <si>
    <t>MARC</t>
  </si>
  <si>
    <t>BWI Business District</t>
  </si>
  <si>
    <t>Cromwell Station/Glen Burnie</t>
  </si>
  <si>
    <t>Johns Hopkins Hospital</t>
  </si>
  <si>
    <t>Naylor Road</t>
  </si>
  <si>
    <t>Pratt Street/Convention Center</t>
  </si>
  <si>
    <t>West Cold Spring</t>
  </si>
  <si>
    <t>LATITUDE</t>
  </si>
  <si>
    <t>LONGITUDE</t>
  </si>
  <si>
    <t>Local Bus; MARC; Light Rail; Amtrak</t>
  </si>
  <si>
    <t>WMATA Metrobus; Local Transit; Amtrak</t>
  </si>
  <si>
    <t>Local Transit; Amtrak</t>
  </si>
  <si>
    <t>Local Bus; Express Bus; Quick Bus; Commuter Bus; Metro</t>
  </si>
  <si>
    <t>Local Bus; Express Bus; Commuter Bus; Light Rail</t>
  </si>
  <si>
    <t>Spaces relative to number of Average Daily Riders (Weekday) Total lines</t>
  </si>
  <si>
    <t>Spaces relative to number of Average Daily Riders (Weekend) Total lines</t>
  </si>
  <si>
    <t>Number of Covered Racks</t>
  </si>
  <si>
    <t>Number of Bicycle Racks Total</t>
  </si>
  <si>
    <t xml:space="preserve">Bike Access Trail </t>
  </si>
  <si>
    <t>STOA</t>
  </si>
  <si>
    <t>Number of Bicycle Lockers (half)</t>
  </si>
  <si>
    <t>Station Facilities Score</t>
  </si>
  <si>
    <t>Pedestrain Access Score</t>
  </si>
  <si>
    <t>Local Bus/Shuttle Routes</t>
  </si>
  <si>
    <t>Total Weekday Ridership</t>
  </si>
  <si>
    <t>Total Weekday Frequency of Service</t>
  </si>
  <si>
    <t>Total Weekend Frequency of Service</t>
  </si>
  <si>
    <t>STOA2</t>
  </si>
  <si>
    <t>Local Bus/Shuttle Grade</t>
  </si>
  <si>
    <t>Lines/Modes Grade</t>
  </si>
  <si>
    <t>Weekday Ridership Grade</t>
  </si>
  <si>
    <t>Weekday Frequency Grade</t>
  </si>
  <si>
    <t>Weekend Frequency Grade</t>
  </si>
  <si>
    <t>Lines/ Modes Aggregate</t>
  </si>
  <si>
    <t>Utilization from 50% score</t>
  </si>
  <si>
    <t>Utilization Rate from 50%</t>
  </si>
  <si>
    <t>Parking Spots Score</t>
  </si>
  <si>
    <t>ADA Spots Score</t>
  </si>
  <si>
    <t>EVC Score</t>
  </si>
  <si>
    <t>EVC Stations + Occupied</t>
  </si>
  <si>
    <t>Surface Parking Lots</t>
  </si>
  <si>
    <t>Surface Parking Acreage</t>
  </si>
  <si>
    <t>Surface Parking Score</t>
  </si>
  <si>
    <t>Optimal Parking Utilization:</t>
  </si>
  <si>
    <t>Area (Square Miles - Half Mile Buffer)</t>
  </si>
  <si>
    <t>Intersection Density (Half Mile Buffer)</t>
  </si>
  <si>
    <t>Area (Mile Buffer - Square Miles)</t>
  </si>
  <si>
    <t>Intersection Density (Mile Buffer)</t>
  </si>
  <si>
    <t>Intersections (Half Mile Buffer)</t>
  </si>
  <si>
    <t>Intersections (Mile Buffer)</t>
  </si>
  <si>
    <t>Intersection Density Score Half Mile</t>
  </si>
  <si>
    <t>Intersection Density Score Mile</t>
  </si>
  <si>
    <t>Parking Requirment</t>
  </si>
  <si>
    <t>1 to 3</t>
  </si>
  <si>
    <t>This District is generally for those “clean” industrial uses with minimal nuisance characteristics in a landscaped park-like setting. Typical uses may include offices, research and development laboratories, light manufacturing including assembly. Support uses such as office supply stores, restaurants, and hotels/motels are also allowed. Minimum lot size is 40,000 square feet.  Maximum lot coverage by structures and parking is 75%. Maximum height is 90 feet based on minimum setbacks and can increase indefinitely provided setbacks are increased as per formula.</t>
  </si>
  <si>
    <t>This District is generally intended for low-medium density single-family detached residential development at an urban density of 5 dwelling units per acre. Minimum lot size is 7,000 square feet. Maximum lot coverage by structures is 40%. Maximum height is 35 feet.</t>
  </si>
  <si>
    <t>C1 - Local Commercial Districts
This District is generally intended for neighborhood convenience commercial uses/development where individual uses do not exceed 25,000 square feet in area (or for Offices, a maximum of 50,000 sq. ft.). Maximum lot coverage by structures and parking is 75%. Maximum Floor Area Ratio is 1.0. Maximum height is 45 feet based on minimum setbacks and can increase to 72 feet provided setbacks are increased as per formula. R5 - Residential
This District is generally intended for low-medium density single-family detached residential development at an urban density of 5 dwelling units per acre. Minimum lot size is 7,000 square feet. Maximum lot coverage by structures is 40%. Maximum height is 35 feet.</t>
  </si>
  <si>
    <t>R5 - Residential
This District is generally intended for low-medium density single-family detached residential development at an urban density of 5 dwelling units per acre. Minimum lot size is 7,000 square feet. Maximum lot coverage by structures is 40%. Maximum height is 35 feet.  OS - Open Space District (Permitted Uses Code Reference - 18-9-202)
The Open Space District is designed to protect and preserve those open land areas of the County used for recreation (e.g. parks) and natural areas such as bogs, wetlands, stream/creek ravines and floodplains.  Farming and recreational type uses are permitted. Existing residential dwellings are also allowed however new residential dwellings are not.</t>
  </si>
  <si>
    <t>R1 - Residential
This District is generally intended for low-density suburban single-family detached residential development at a subdivision density of 1 dwelling unit per 40,000 square feet.  Minimum lot size is 40,000 square feet. Maximum lot coverage by structures is 25%. Maximum height is 45 feet.</t>
  </si>
  <si>
    <t>http://www.aacounty.org/PlanZone/MasterPlans/OTC/Resources/LandUseMixCategories.jpg</t>
  </si>
  <si>
    <t>Density Residential - permit low, medium and high density urban residential development. Numeral in each classification indicated maximum number of units per acre. No standard unit lot size is required except for small tracts.</t>
  </si>
  <si>
    <t>Manufacturing Light - permits light industrial uses such as assembly plants, processing, etc.</t>
  </si>
  <si>
    <r>
      <t xml:space="preserve">Density Residential - permit low, medium and high density urban residential development. Numeral in each classification indicated maximum number of units per acre. No standard unit lot size is required except for small tracts.  </t>
    </r>
    <r>
      <rPr>
        <b/>
        <sz val="11"/>
        <color theme="1"/>
        <rFont val="Calibri"/>
        <family val="2"/>
        <scheme val="minor"/>
      </rPr>
      <t>Residential Office</t>
    </r>
    <r>
      <rPr>
        <sz val="11"/>
        <color theme="1"/>
        <rFont val="Calibri"/>
        <family val="2"/>
        <scheme val="minor"/>
      </rPr>
      <t xml:space="preserve"> - permits house conversions to office buildings as of right; small conventional office buildings permitted by special exception.</t>
    </r>
  </si>
  <si>
    <t>Manufacturing Light - permits light industrial uses such as assembly plants, processing, etc. Industrial, Major</t>
  </si>
  <si>
    <t>Business Major - large scale commercial. Commercial, Town Center Core</t>
  </si>
  <si>
    <t>10 years Small Area Plan</t>
  </si>
  <si>
    <t>Preserved Land in Area</t>
  </si>
  <si>
    <t>FAR</t>
  </si>
  <si>
    <t>Height</t>
  </si>
  <si>
    <t>Number of Uses (Residential, Office, Retail, Manufacturing, Institutional)</t>
  </si>
  <si>
    <t>unlimited unless next to residential or business (40)</t>
  </si>
  <si>
    <t xml:space="preserve">TC: Town Center District
The intent of the Town Center District is to provide for a mix of land uses including residential,
recreational, and commercial uses within the historic town center. It is also the intent of this
district to require and promote the integration of uses through shared parking, access drives,
tasteful signage, landscaping, etc. Supplementary appearance, landscaping, screening, parking
and loading, outdoor storage, and sign regulations apply in this district to ensure an attractive,
inviting pedestrian oriented setting. 
</t>
  </si>
  <si>
    <t>shared parking</t>
  </si>
  <si>
    <t>50 commercial, 35 residential</t>
  </si>
  <si>
    <t>Stories</t>
  </si>
  <si>
    <t>6 residential, 3 business</t>
  </si>
  <si>
    <t>45-60</t>
  </si>
  <si>
    <t>Transit Score (Number)</t>
  </si>
  <si>
    <t>Transit Score (H/M/L)</t>
  </si>
  <si>
    <t>Station Facilities Score (Number)</t>
  </si>
  <si>
    <t>Station Facilities Score (H/M/L)</t>
  </si>
  <si>
    <t>Parking Score (Number)</t>
  </si>
  <si>
    <t>Parking Score (H/M/L)</t>
  </si>
  <si>
    <t>Bike Access Score (H/M/L)</t>
  </si>
  <si>
    <t>Bike Access Score (Number)</t>
  </si>
  <si>
    <t>Pedestrian Access Score (Number)</t>
  </si>
  <si>
    <t>Pedestrian Access Score (H/M/L)</t>
  </si>
  <si>
    <t>B-5 Downtown District</t>
  </si>
  <si>
    <t>10 Density (Dwelling Units/acre)</t>
  </si>
  <si>
    <t>Station Facilities</t>
  </si>
  <si>
    <t>Short Trip Opportunity Analysis (STOA)</t>
  </si>
  <si>
    <t>Frequency of Service: Weekday 1</t>
  </si>
  <si>
    <t>Frequency of Service: Weekday 2</t>
  </si>
  <si>
    <t>Frequency of Service: Weekday 3</t>
  </si>
  <si>
    <t>Frequency of Service: Weekend 1</t>
  </si>
  <si>
    <t xml:space="preserve">Frequency of Service: Weekend 2 </t>
  </si>
  <si>
    <t>Frequency of Service: Weekend 3</t>
  </si>
  <si>
    <t>3,11,61,64</t>
  </si>
  <si>
    <t>7,19,35,120,160,320,410,411,420</t>
  </si>
  <si>
    <t>56,59</t>
  </si>
  <si>
    <t>18,53,77,99</t>
  </si>
  <si>
    <t>27,58,59,60</t>
  </si>
  <si>
    <t>27,33,44,51,57,91</t>
  </si>
  <si>
    <t>33,51</t>
  </si>
  <si>
    <t>1,5,7,16,21,22,51,52,53,54</t>
  </si>
  <si>
    <t>7,13,21,91</t>
  </si>
  <si>
    <t>19,21,27,91,410</t>
  </si>
  <si>
    <t>1,5,7,8,15,19,20,23,27,35,36,40,47,91,150,320</t>
  </si>
  <si>
    <t>1,3,5,8,10,11,20,23,30,35,36,40,46,48,61,64,91,120,150,160,310,320,410,411,420</t>
  </si>
  <si>
    <t>20,23,40</t>
  </si>
  <si>
    <t>5,30,35,46,47,104,120,160,310,320,411,420</t>
  </si>
  <si>
    <t>17,99,201</t>
  </si>
  <si>
    <t>17,99</t>
  </si>
  <si>
    <t>14,16,17,51,77</t>
  </si>
  <si>
    <t>27,29,51</t>
  </si>
  <si>
    <t>27,51</t>
  </si>
  <si>
    <t>7,19,27,35,120,160,320,410,411,412,420</t>
  </si>
  <si>
    <t>1,5,8,10,19,20,27,30,36,40,46,48,91,120,150,310,311,320</t>
  </si>
  <si>
    <t>5,15,19,23,27,36,40,46,48,91,150,c320</t>
  </si>
  <si>
    <t>19,27</t>
  </si>
  <si>
    <t>19,21,27,410</t>
  </si>
  <si>
    <t>22,98</t>
  </si>
  <si>
    <t>33,38</t>
  </si>
  <si>
    <t>27,44,58,60</t>
  </si>
  <si>
    <t>8,9</t>
  </si>
  <si>
    <t>15,23,40,47,51,150</t>
  </si>
  <si>
    <t>36,77</t>
  </si>
  <si>
    <t>17,201,B30</t>
  </si>
  <si>
    <t>B21, B22, B24, B25, B27</t>
  </si>
  <si>
    <t>B27</t>
  </si>
  <si>
    <t>WMATA Metrobus New Carrollton Routes</t>
  </si>
  <si>
    <t>B30, Greenbelt Metrobus Routes</t>
  </si>
  <si>
    <t>204,205; WMATA Metrobus College Park Routes</t>
  </si>
  <si>
    <t>WMATA Rockville Metrobus Routes</t>
  </si>
  <si>
    <t>305,315,325,WMATA Metrobus Silver Spring Routes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</si>
</sst>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6" x14ac:knownFonts="1">
    <font>
      <sz val="11"/>
      <color theme="1"/>
      <name val="Calibri"/>
      <family val="2"/>
      <scheme val="minor"/>
    </font>
    <font>
      <b/>
      <sz val="11"/>
      <color theme="1"/>
      <name val="Calibri"/>
      <family val="2"/>
      <scheme val="minor"/>
    </font>
    <font>
      <b/>
      <sz val="11"/>
      <color indexed="8"/>
      <name val="Calibri"/>
      <family val="2"/>
      <scheme val="minor"/>
    </font>
    <font>
      <sz val="10"/>
      <name val="Arial"/>
      <family val="2"/>
    </font>
    <font>
      <sz val="11"/>
      <name val="Calibri"/>
      <family val="2"/>
      <scheme val="minor"/>
    </font>
    <font>
      <u/>
      <sz val="11"/>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b/>
      <sz val="9"/>
      <color indexed="81"/>
      <name val="Tahoma"/>
      <family val="2"/>
    </font>
    <font>
      <sz val="9"/>
      <color indexed="81"/>
      <name val="Tahoma"/>
      <family val="2"/>
    </font>
    <font>
      <b/>
      <sz val="11"/>
      <color theme="1"/>
      <name val="Calibri"/>
      <scheme val="minor"/>
    </font>
  </fonts>
  <fills count="4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
      <patternFill patternType="solid">
        <fgColor rgb="FFC00000"/>
        <bgColor indexed="64"/>
      </patternFill>
    </fill>
    <fill>
      <patternFill patternType="solid">
        <fgColor rgb="FF7030A0"/>
        <bgColor indexed="64"/>
      </patternFill>
    </fill>
    <fill>
      <patternFill patternType="solid">
        <fgColor theme="0"/>
        <bgColor indexed="64"/>
      </patternFill>
    </fill>
    <fill>
      <patternFill patternType="solid">
        <fgColor theme="9" tint="-0.499984740745262"/>
        <bgColor indexed="64"/>
      </patternFill>
    </fill>
    <fill>
      <patternFill patternType="solid">
        <fgColor theme="0" tint="-0.14999847407452621"/>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46">
    <xf numFmtId="0" fontId="0" fillId="0" borderId="0"/>
    <xf numFmtId="0" fontId="3" fillId="0" borderId="0"/>
    <xf numFmtId="0" fontId="5" fillId="0" borderId="0" applyNumberFormat="0" applyFill="0" applyBorder="0" applyAlignment="0" applyProtection="0"/>
    <xf numFmtId="0" fontId="7" fillId="0" borderId="0" applyNumberFormat="0" applyFill="0" applyBorder="0" applyAlignment="0" applyProtection="0"/>
    <xf numFmtId="0" fontId="8" fillId="0" borderId="11" applyNumberFormat="0" applyFill="0" applyAlignment="0" applyProtection="0"/>
    <xf numFmtId="0" fontId="9" fillId="0" borderId="12" applyNumberFormat="0" applyFill="0" applyAlignment="0" applyProtection="0"/>
    <xf numFmtId="0" fontId="10" fillId="0" borderId="13"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14" applyNumberFormat="0" applyAlignment="0" applyProtection="0"/>
    <xf numFmtId="0" fontId="15" fillId="8" borderId="15" applyNumberFormat="0" applyAlignment="0" applyProtection="0"/>
    <xf numFmtId="0" fontId="16" fillId="8" borderId="14" applyNumberFormat="0" applyAlignment="0" applyProtection="0"/>
    <xf numFmtId="0" fontId="17" fillId="0" borderId="16" applyNumberFormat="0" applyFill="0" applyAlignment="0" applyProtection="0"/>
    <xf numFmtId="0" fontId="18" fillId="9" borderId="1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 fillId="0" borderId="19" applyNumberFormat="0" applyFill="0" applyAlignment="0" applyProtection="0"/>
    <xf numFmtId="0" fontId="21"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1" fillId="34" borderId="0" applyNumberFormat="0" applyBorder="0" applyAlignment="0" applyProtection="0"/>
    <xf numFmtId="0" fontId="22" fillId="0" borderId="0"/>
    <xf numFmtId="0" fontId="6" fillId="0" borderId="0"/>
    <xf numFmtId="0" fontId="6" fillId="10" borderId="18" applyNumberFormat="0" applyFont="0" applyAlignment="0" applyProtection="0"/>
  </cellStyleXfs>
  <cellXfs count="126">
    <xf numFmtId="0" fontId="0" fillId="0" borderId="0" xfId="0"/>
    <xf numFmtId="0" fontId="0" fillId="2" borderId="1" xfId="0" applyFont="1" applyFill="1" applyBorder="1" applyAlignment="1">
      <alignment horizontal="left" vertical="center"/>
    </xf>
    <xf numFmtId="0" fontId="0" fillId="2" borderId="8" xfId="0" applyFont="1" applyFill="1" applyBorder="1" applyAlignment="1">
      <alignment horizontal="left" vertical="center"/>
    </xf>
    <xf numFmtId="0" fontId="0" fillId="2" borderId="8" xfId="0" applyFont="1" applyFill="1" applyBorder="1" applyAlignment="1">
      <alignment horizontal="center" vertical="center"/>
    </xf>
    <xf numFmtId="0" fontId="4" fillId="0" borderId="9" xfId="1" applyFont="1" applyFill="1" applyBorder="1" applyAlignment="1"/>
    <xf numFmtId="0" fontId="0" fillId="0" borderId="9" xfId="0" applyFont="1" applyFill="1" applyBorder="1" applyAlignment="1"/>
    <xf numFmtId="0" fontId="0" fillId="0" borderId="9" xfId="0" applyFont="1" applyBorder="1" applyAlignment="1"/>
    <xf numFmtId="9" fontId="0" fillId="0" borderId="9" xfId="0" applyNumberFormat="1" applyFont="1" applyBorder="1" applyAlignment="1"/>
    <xf numFmtId="2" fontId="0" fillId="0" borderId="9" xfId="0" applyNumberFormat="1" applyFont="1" applyBorder="1" applyAlignment="1"/>
    <xf numFmtId="164" fontId="0" fillId="0" borderId="9" xfId="0" applyNumberFormat="1" applyFont="1" applyBorder="1" applyAlignment="1"/>
    <xf numFmtId="0" fontId="0" fillId="0" borderId="9" xfId="0" applyBorder="1" applyAlignment="1"/>
    <xf numFmtId="0" fontId="5" fillId="0" borderId="9" xfId="2" applyBorder="1" applyAlignment="1"/>
    <xf numFmtId="0" fontId="4" fillId="0" borderId="9" xfId="0" applyFont="1" applyFill="1" applyBorder="1" applyAlignment="1"/>
    <xf numFmtId="0" fontId="0" fillId="0" borderId="0" xfId="0" applyFont="1"/>
    <xf numFmtId="0" fontId="0" fillId="0" borderId="0" xfId="0" applyFont="1" applyFill="1" applyBorder="1" applyAlignment="1"/>
    <xf numFmtId="0" fontId="0" fillId="0" borderId="0" xfId="0" applyFont="1" applyBorder="1" applyAlignment="1"/>
    <xf numFmtId="0" fontId="0" fillId="0" borderId="0" xfId="0" applyFill="1"/>
    <xf numFmtId="0" fontId="1" fillId="0" borderId="1" xfId="0" applyFont="1" applyFill="1" applyBorder="1" applyAlignment="1">
      <alignment horizontal="left" vertical="center"/>
    </xf>
    <xf numFmtId="0" fontId="1" fillId="0" borderId="0" xfId="0" applyFont="1" applyFill="1"/>
    <xf numFmtId="0" fontId="0" fillId="35" borderId="0" xfId="0" applyFill="1"/>
    <xf numFmtId="14" fontId="4" fillId="0" borderId="9" xfId="0" applyNumberFormat="1" applyFont="1" applyFill="1" applyBorder="1" applyAlignment="1"/>
    <xf numFmtId="0" fontId="0" fillId="0" borderId="0" xfId="0" applyBorder="1"/>
    <xf numFmtId="1" fontId="6" fillId="0" borderId="9" xfId="44" applyNumberFormat="1" applyFont="1" applyFill="1" applyBorder="1" applyAlignment="1">
      <alignment horizontal="left" vertical="center"/>
    </xf>
    <xf numFmtId="1" fontId="0" fillId="0" borderId="9" xfId="0" applyNumberFormat="1" applyFont="1" applyFill="1" applyBorder="1" applyAlignment="1"/>
    <xf numFmtId="1" fontId="6" fillId="0" borderId="9" xfId="44" applyNumberFormat="1" applyFill="1" applyBorder="1" applyAlignment="1">
      <alignment horizontal="center" vertical="center"/>
    </xf>
    <xf numFmtId="3" fontId="6" fillId="0" borderId="9" xfId="44" applyNumberFormat="1" applyFill="1" applyBorder="1" applyAlignment="1">
      <alignment horizontal="center" vertical="center"/>
    </xf>
    <xf numFmtId="9" fontId="0" fillId="0" borderId="9" xfId="0" applyNumberFormat="1" applyFont="1" applyFill="1" applyBorder="1" applyAlignment="1"/>
    <xf numFmtId="2" fontId="0" fillId="0" borderId="9" xfId="0" applyNumberFormat="1" applyFont="1" applyFill="1" applyBorder="1" applyAlignment="1"/>
    <xf numFmtId="164" fontId="0" fillId="0" borderId="9" xfId="0" applyNumberFormat="1" applyFont="1" applyFill="1" applyBorder="1" applyAlignment="1"/>
    <xf numFmtId="1" fontId="6" fillId="0" borderId="9" xfId="44" applyNumberFormat="1" applyFill="1" applyBorder="1"/>
    <xf numFmtId="0" fontId="5" fillId="0" borderId="9" xfId="2" applyFill="1" applyBorder="1" applyAlignment="1"/>
    <xf numFmtId="0" fontId="0" fillId="2" borderId="5" xfId="0" applyFont="1" applyFill="1" applyBorder="1"/>
    <xf numFmtId="0" fontId="0" fillId="2" borderId="20" xfId="0" applyFont="1" applyFill="1" applyBorder="1" applyAlignment="1">
      <alignment vertical="center"/>
    </xf>
    <xf numFmtId="0" fontId="0" fillId="2" borderId="9" xfId="0" applyFill="1" applyBorder="1"/>
    <xf numFmtId="0" fontId="0" fillId="0" borderId="9" xfId="0" applyBorder="1"/>
    <xf numFmtId="0" fontId="0" fillId="0" borderId="9" xfId="0" applyFill="1" applyBorder="1"/>
    <xf numFmtId="1" fontId="0" fillId="0" borderId="9" xfId="44" applyNumberFormat="1" applyFont="1" applyFill="1" applyBorder="1" applyAlignment="1">
      <alignment horizontal="left" vertical="center"/>
    </xf>
    <xf numFmtId="0" fontId="1" fillId="35" borderId="0" xfId="0" applyFont="1" applyFill="1" applyBorder="1" applyAlignment="1">
      <alignment vertical="center"/>
    </xf>
    <xf numFmtId="0" fontId="1" fillId="35" borderId="0" xfId="0" applyFont="1" applyFill="1" applyBorder="1"/>
    <xf numFmtId="0" fontId="4" fillId="35" borderId="0" xfId="0" applyFont="1" applyFill="1" applyBorder="1" applyAlignment="1"/>
    <xf numFmtId="0" fontId="4" fillId="35" borderId="0" xfId="1" applyFont="1" applyFill="1" applyBorder="1" applyAlignment="1"/>
    <xf numFmtId="0" fontId="0" fillId="35" borderId="0" xfId="0" applyFill="1" applyBorder="1"/>
    <xf numFmtId="0" fontId="0" fillId="35" borderId="0" xfId="0" applyFont="1" applyFill="1" applyBorder="1" applyAlignment="1"/>
    <xf numFmtId="0" fontId="4" fillId="36" borderId="0" xfId="0" applyFont="1" applyFill="1" applyBorder="1" applyAlignment="1"/>
    <xf numFmtId="0" fontId="4" fillId="36" borderId="0" xfId="1" applyFont="1" applyFill="1" applyBorder="1" applyAlignment="1"/>
    <xf numFmtId="0" fontId="0" fillId="36" borderId="0" xfId="0" applyFill="1" applyBorder="1"/>
    <xf numFmtId="0" fontId="0" fillId="0" borderId="8" xfId="0" applyFont="1" applyBorder="1"/>
    <xf numFmtId="1" fontId="0" fillId="0" borderId="8" xfId="0" applyNumberFormat="1" applyFont="1" applyBorder="1"/>
    <xf numFmtId="0" fontId="0" fillId="0" borderId="9" xfId="0" applyFont="1" applyBorder="1"/>
    <xf numFmtId="1" fontId="0" fillId="0" borderId="9" xfId="0" applyNumberFormat="1" applyFont="1" applyBorder="1"/>
    <xf numFmtId="0" fontId="1" fillId="0" borderId="9" xfId="0" applyFont="1" applyFill="1" applyBorder="1" applyAlignment="1">
      <alignment vertical="center" wrapText="1"/>
    </xf>
    <xf numFmtId="0" fontId="1" fillId="0" borderId="9" xfId="0" applyFont="1" applyBorder="1" applyAlignment="1">
      <alignment wrapText="1"/>
    </xf>
    <xf numFmtId="0" fontId="2" fillId="0" borderId="9" xfId="0" applyFont="1" applyFill="1" applyBorder="1" applyAlignment="1">
      <alignment vertical="center" wrapText="1"/>
    </xf>
    <xf numFmtId="0" fontId="1" fillId="3" borderId="9" xfId="0" applyFont="1" applyFill="1" applyBorder="1" applyAlignment="1">
      <alignment wrapText="1"/>
    </xf>
    <xf numFmtId="0" fontId="1" fillId="0" borderId="9" xfId="0" applyFont="1" applyFill="1" applyBorder="1" applyAlignment="1">
      <alignment wrapText="1"/>
    </xf>
    <xf numFmtId="0" fontId="1" fillId="0" borderId="9" xfId="0" applyFont="1" applyBorder="1" applyAlignment="1">
      <alignment horizontal="left" vertical="center" wrapText="1"/>
    </xf>
    <xf numFmtId="0" fontId="0" fillId="0" borderId="0" xfId="0" applyAlignment="1">
      <alignment wrapText="1"/>
    </xf>
    <xf numFmtId="0" fontId="1" fillId="0" borderId="9" xfId="0" applyFont="1" applyFill="1" applyBorder="1" applyAlignment="1">
      <alignment horizontal="left" vertical="center" wrapText="1"/>
    </xf>
    <xf numFmtId="0" fontId="4" fillId="3" borderId="9" xfId="0" applyFont="1" applyFill="1" applyBorder="1" applyAlignment="1"/>
    <xf numFmtId="0" fontId="1" fillId="0" borderId="21" xfId="0" applyFont="1" applyFill="1" applyBorder="1" applyAlignment="1">
      <alignment vertical="center" wrapText="1"/>
    </xf>
    <xf numFmtId="0" fontId="4" fillId="0" borderId="21" xfId="1" applyFont="1" applyFill="1" applyBorder="1" applyAlignment="1"/>
    <xf numFmtId="2" fontId="0" fillId="0" borderId="0" xfId="0" applyNumberFormat="1"/>
    <xf numFmtId="0" fontId="4" fillId="0" borderId="8" xfId="0" applyFont="1" applyFill="1" applyBorder="1" applyAlignment="1"/>
    <xf numFmtId="0" fontId="4" fillId="0" borderId="20" xfId="1" applyFont="1" applyFill="1" applyBorder="1" applyAlignment="1"/>
    <xf numFmtId="0" fontId="0" fillId="0" borderId="9" xfId="0" applyNumberFormat="1" applyFont="1" applyFill="1" applyBorder="1" applyAlignment="1"/>
    <xf numFmtId="0" fontId="0" fillId="3" borderId="9" xfId="0" applyFont="1" applyFill="1" applyBorder="1" applyAlignment="1"/>
    <xf numFmtId="0" fontId="1" fillId="0" borderId="0" xfId="0" applyFont="1" applyBorder="1" applyAlignment="1">
      <alignment wrapText="1"/>
    </xf>
    <xf numFmtId="1" fontId="6" fillId="0" borderId="0" xfId="44" applyNumberFormat="1" applyFill="1" applyBorder="1" applyAlignment="1">
      <alignment horizontal="center" vertical="center"/>
    </xf>
    <xf numFmtId="1" fontId="6" fillId="3" borderId="0" xfId="44" applyNumberFormat="1" applyFill="1" applyBorder="1" applyAlignment="1">
      <alignment horizontal="center" vertical="center"/>
    </xf>
    <xf numFmtId="0" fontId="1" fillId="0" borderId="0" xfId="0" applyFont="1" applyBorder="1"/>
    <xf numFmtId="0" fontId="1" fillId="37" borderId="0" xfId="0" applyFont="1" applyFill="1" applyBorder="1" applyAlignment="1">
      <alignment wrapText="1"/>
    </xf>
    <xf numFmtId="0" fontId="0" fillId="0" borderId="9" xfId="0" applyBorder="1" applyAlignment="1">
      <alignment wrapText="1"/>
    </xf>
    <xf numFmtId="16" fontId="0" fillId="2" borderId="9" xfId="0" applyNumberFormat="1" applyFill="1" applyBorder="1"/>
    <xf numFmtId="9" fontId="0" fillId="0" borderId="0" xfId="0" applyNumberFormat="1" applyFont="1" applyFill="1" applyBorder="1" applyAlignment="1"/>
    <xf numFmtId="0" fontId="0" fillId="3" borderId="9" xfId="0" applyFill="1" applyBorder="1"/>
    <xf numFmtId="0" fontId="0" fillId="0" borderId="9" xfId="0" applyFont="1" applyFill="1" applyBorder="1" applyAlignment="1">
      <alignment wrapText="1"/>
    </xf>
    <xf numFmtId="0" fontId="0" fillId="2" borderId="9" xfId="0" applyFont="1" applyFill="1" applyBorder="1" applyAlignment="1">
      <alignment horizontal="center" vertical="center"/>
    </xf>
    <xf numFmtId="0" fontId="0" fillId="37" borderId="0" xfId="0" applyFill="1" applyAlignment="1">
      <alignment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1" fillId="40" borderId="0" xfId="0" applyFont="1" applyFill="1" applyBorder="1" applyAlignment="1">
      <alignment wrapText="1"/>
    </xf>
    <xf numFmtId="0" fontId="0" fillId="37" borderId="0" xfId="0" applyFill="1" applyBorder="1" applyAlignment="1">
      <alignment wrapText="1"/>
    </xf>
    <xf numFmtId="0" fontId="4" fillId="0" borderId="0" xfId="0" applyFont="1" applyFill="1" applyBorder="1" applyAlignment="1"/>
    <xf numFmtId="0" fontId="4" fillId="0" borderId="0" xfId="1" applyFont="1" applyFill="1" applyBorder="1" applyAlignment="1"/>
    <xf numFmtId="1" fontId="0" fillId="0" borderId="0" xfId="0" applyNumberFormat="1" applyFont="1" applyBorder="1"/>
    <xf numFmtId="2" fontId="1" fillId="0" borderId="0" xfId="0" applyNumberFormat="1" applyFont="1" applyBorder="1" applyAlignment="1">
      <alignment horizontal="left" vertical="center" wrapText="1"/>
    </xf>
    <xf numFmtId="2" fontId="1" fillId="0" borderId="0" xfId="0" applyNumberFormat="1" applyFont="1" applyBorder="1" applyAlignment="1">
      <alignment wrapText="1"/>
    </xf>
    <xf numFmtId="2" fontId="25" fillId="37" borderId="0" xfId="0" applyNumberFormat="1" applyFont="1" applyFill="1" applyBorder="1" applyAlignment="1">
      <alignment wrapText="1"/>
    </xf>
    <xf numFmtId="0" fontId="6" fillId="0" borderId="0" xfId="44" applyNumberFormat="1" applyFill="1" applyBorder="1" applyAlignment="1">
      <alignment horizontal="center" vertical="center"/>
    </xf>
    <xf numFmtId="0" fontId="0" fillId="0" borderId="0" xfId="0" applyNumberFormat="1" applyBorder="1"/>
    <xf numFmtId="1" fontId="0" fillId="0" borderId="0" xfId="0" applyNumberFormat="1" applyBorder="1"/>
    <xf numFmtId="0" fontId="1" fillId="38" borderId="0" xfId="0" applyFont="1" applyFill="1" applyBorder="1" applyAlignment="1">
      <alignment vertical="center" wrapText="1"/>
    </xf>
    <xf numFmtId="0" fontId="1" fillId="38" borderId="0" xfId="0" applyFont="1" applyFill="1" applyBorder="1" applyAlignment="1">
      <alignment wrapText="1"/>
    </xf>
    <xf numFmtId="9" fontId="0" fillId="0" borderId="0" xfId="0" applyNumberFormat="1" applyBorder="1"/>
    <xf numFmtId="0" fontId="1" fillId="3" borderId="9" xfId="0" applyFont="1" applyFill="1" applyBorder="1" applyAlignment="1">
      <alignment vertical="center" wrapText="1"/>
    </xf>
    <xf numFmtId="0" fontId="1" fillId="0" borderId="9" xfId="0" applyNumberFormat="1" applyFont="1" applyFill="1" applyBorder="1"/>
    <xf numFmtId="0" fontId="0" fillId="0" borderId="9" xfId="0" applyNumberFormat="1" applyFill="1" applyBorder="1"/>
    <xf numFmtId="0" fontId="18" fillId="42" borderId="9" xfId="0" applyFont="1" applyFill="1" applyBorder="1" applyAlignment="1">
      <alignment vertical="center" wrapText="1"/>
    </xf>
    <xf numFmtId="0" fontId="18" fillId="41" borderId="9" xfId="0" applyFont="1" applyFill="1" applyBorder="1" applyAlignment="1">
      <alignment vertical="center" wrapText="1"/>
    </xf>
    <xf numFmtId="0" fontId="18" fillId="39" borderId="9" xfId="0" applyFont="1" applyFill="1" applyBorder="1" applyAlignment="1">
      <alignment vertical="center" wrapText="1"/>
    </xf>
    <xf numFmtId="0" fontId="18" fillId="37" borderId="9" xfId="0" applyFont="1" applyFill="1" applyBorder="1" applyAlignment="1">
      <alignment vertical="center" wrapText="1"/>
    </xf>
    <xf numFmtId="0" fontId="18" fillId="44" borderId="9" xfId="0" applyFont="1" applyFill="1" applyBorder="1" applyAlignment="1">
      <alignment vertical="center" wrapText="1"/>
    </xf>
    <xf numFmtId="0" fontId="1" fillId="2" borderId="0" xfId="0" applyFont="1" applyFill="1"/>
    <xf numFmtId="0" fontId="1" fillId="0" borderId="5" xfId="0" applyFont="1" applyFill="1" applyBorder="1"/>
    <xf numFmtId="0" fontId="1" fillId="0" borderId="9" xfId="0" applyFont="1" applyFill="1" applyBorder="1"/>
    <xf numFmtId="0" fontId="18" fillId="44" borderId="2" xfId="0" applyFont="1" applyFill="1" applyBorder="1" applyAlignment="1">
      <alignment horizontal="center" vertical="center"/>
    </xf>
    <xf numFmtId="0" fontId="18" fillId="44" borderId="3" xfId="0" applyFont="1" applyFill="1" applyBorder="1" applyAlignment="1">
      <alignment horizontal="center" vertical="center"/>
    </xf>
    <xf numFmtId="0" fontId="1" fillId="45" borderId="10" xfId="0" applyFont="1" applyFill="1" applyBorder="1" applyAlignment="1">
      <alignment horizontal="center" vertical="center"/>
    </xf>
    <xf numFmtId="0" fontId="1" fillId="45" borderId="3" xfId="0" applyFont="1" applyFill="1" applyBorder="1" applyAlignment="1">
      <alignment horizontal="center" vertical="center"/>
    </xf>
    <xf numFmtId="0" fontId="1" fillId="45" borderId="22" xfId="0" applyFont="1" applyFill="1" applyBorder="1" applyAlignment="1">
      <alignment horizontal="center" vertical="center"/>
    </xf>
    <xf numFmtId="0" fontId="1" fillId="45" borderId="4" xfId="0" applyFont="1" applyFill="1" applyBorder="1" applyAlignment="1">
      <alignment horizontal="center" vertical="center"/>
    </xf>
    <xf numFmtId="0" fontId="1" fillId="43" borderId="5" xfId="0" applyFont="1" applyFill="1" applyBorder="1" applyAlignment="1">
      <alignment horizontal="center" vertical="center"/>
    </xf>
    <xf numFmtId="0" fontId="1" fillId="43" borderId="6" xfId="0" applyFont="1" applyFill="1" applyBorder="1" applyAlignment="1">
      <alignment horizontal="center" vertical="center"/>
    </xf>
    <xf numFmtId="0" fontId="1" fillId="43" borderId="7" xfId="0" applyFont="1" applyFill="1" applyBorder="1" applyAlignment="1">
      <alignment horizontal="center" vertical="center"/>
    </xf>
    <xf numFmtId="0" fontId="18" fillId="41" borderId="3" xfId="0" applyFont="1" applyFill="1" applyBorder="1" applyAlignment="1">
      <alignment horizontal="center" vertical="center"/>
    </xf>
    <xf numFmtId="0" fontId="18" fillId="39" borderId="2" xfId="0" applyFont="1" applyFill="1" applyBorder="1" applyAlignment="1">
      <alignment horizontal="center" vertical="center"/>
    </xf>
    <xf numFmtId="0" fontId="18" fillId="39" borderId="10" xfId="0" applyFont="1" applyFill="1" applyBorder="1" applyAlignment="1">
      <alignment horizontal="center" vertical="center"/>
    </xf>
    <xf numFmtId="0" fontId="18" fillId="39" borderId="3" xfId="0" applyFont="1" applyFill="1" applyBorder="1" applyAlignment="1">
      <alignment horizontal="center" vertical="center"/>
    </xf>
    <xf numFmtId="0" fontId="18" fillId="42" borderId="5" xfId="0" applyFont="1" applyFill="1" applyBorder="1" applyAlignment="1">
      <alignment horizontal="center" vertical="center"/>
    </xf>
    <xf numFmtId="0" fontId="18" fillId="42" borderId="6" xfId="0" applyFont="1" applyFill="1" applyBorder="1" applyAlignment="1">
      <alignment horizontal="center" vertical="center"/>
    </xf>
    <xf numFmtId="0" fontId="18" fillId="42" borderId="10"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6" xfId="0" applyFont="1" applyFill="1" applyBorder="1" applyAlignment="1">
      <alignment horizontal="center" vertical="center"/>
    </xf>
    <xf numFmtId="0" fontId="18" fillId="37" borderId="6" xfId="0" applyFont="1" applyFill="1" applyBorder="1" applyAlignment="1">
      <alignment horizontal="center" vertical="center"/>
    </xf>
    <xf numFmtId="0" fontId="18" fillId="37" borderId="7" xfId="0" applyFont="1" applyFill="1" applyBorder="1" applyAlignment="1">
      <alignment horizontal="center" vertical="center"/>
    </xf>
    <xf numFmtId="3" fontId="6" fillId="0" borderId="9" xfId="44" applyNumberFormat="1" applyFont="1" applyFill="1" applyBorder="1" applyAlignment="1">
      <alignment horizontal="left" vertic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xfId="1"/>
    <cellStyle name="Normal 2 2" xfId="44"/>
    <cellStyle name="Normal 3" xfId="43"/>
    <cellStyle name="Note 2" xfId="45"/>
    <cellStyle name="Output" xfId="12" builtinId="21" customBuiltin="1"/>
    <cellStyle name="Title" xfId="3" builtinId="15" customBuiltin="1"/>
    <cellStyle name="Total" xfId="18" builtinId="25" customBuiltin="1"/>
    <cellStyle name="Warning Text" xfId="16" builtinId="11" customBuiltin="1"/>
  </cellStyles>
  <dxfs count="69">
    <dxf>
      <numFmt numFmtId="0" formatCode="General"/>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alignment horizontal="general" textRotation="0" wrapText="1" indent="0" justifyLastLine="0" shrinkToFit="0" readingOrder="0"/>
    </dxf>
    <dxf>
      <numFmt numFmtId="0" formatCode="General"/>
    </dxf>
    <dxf>
      <numFmt numFmtId="13" formatCode="0%"/>
    </dxf>
    <dxf>
      <numFmt numFmtId="0" formatCode="General"/>
    </dxf>
    <dxf>
      <numFmt numFmtId="0" formatCode="General"/>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general" vertical="bottom"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2" formatCode="0.00"/>
      <alignment horizontal="general" vertical="bottom" textRotation="0" wrapText="1" indent="0" justifyLastLine="0" shrinkToFit="0" readingOrder="0"/>
      <border diagonalUp="0" diagonalDown="0" outline="0">
        <left style="thin">
          <color indexed="64"/>
        </left>
        <right style="thin">
          <color indexed="64"/>
        </right>
        <top/>
        <bottom/>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5" name="Table5" displayName="Table5" ref="A1:P84" totalsRowShown="0">
  <autoFilter ref="A1:P84"/>
  <tableColumns count="16">
    <tableColumn id="1" name="Station" dataDxfId="67"/>
    <tableColumn id="2" name="Station ID" dataDxfId="66" dataCellStyle="Normal 2"/>
    <tableColumn id="4" name="Modes Served" dataDxfId="65"/>
    <tableColumn id="5" name="Lines/ Modes Aggregate" dataDxfId="64"/>
    <tableColumn id="6" name="Lines/Modes Grade" dataDxfId="63">
      <calculatedColumnFormula>IF(PERCENTRANK(Table5[Lines/ Modes Aggregate], D2) &lt; 1/5, "1", IF(PERCENTRANK(Table5[Lines/ Modes Aggregate], D2) &lt; 2/5, "2", IF(PERCENTRANK(Table5[Lines/ Modes Aggregate], D2) &lt; 3/5, "3", IF(PERCENTRANK(Table5[Lines/ Modes Aggregate], D2) &lt; 4/5, "4", "5"))))</calculatedColumnFormula>
    </tableColumn>
    <tableColumn id="7" name="Local Bus/Shuttle Routes" dataDxfId="62"/>
    <tableColumn id="8" name="Local Bus/Shuttle Grade" dataDxfId="61">
      <calculatedColumnFormula>IF(PERCENTRANK(Table5[Local Bus/Shuttle Routes], F2) &lt; 1/5, "1", IF(PERCENTRANK(Table5[Local Bus/Shuttle Routes], F2) &lt; 2/5, "2", IF(PERCENTRANK(Table5[Local Bus/Shuttle Routes], F2) &lt; 3/5, "3", IF(PERCENTRANK(Table5[Local Bus/Shuttle Routes], F2) &lt; 4/5, "4", "5"))))</calculatedColumnFormula>
    </tableColumn>
    <tableColumn id="9" name="Total Weekday Ridership" dataDxfId="60"/>
    <tableColumn id="10" name="Weekday Ridership Grade" dataDxfId="59">
      <calculatedColumnFormula>IF(PERCENTRANK(Table5[Total Weekday Ridership], H2) &lt; 1/5, "1", IF(PERCENTRANK(Table5[Total Weekday Ridership], H2) &lt; 2/5, "2", IF(PERCENTRANK(Table5[Total Weekday Ridership], H2) &lt; 3/5, "3", IF(PERCENTRANK(Table5[Total Weekday Ridership], H2) &lt; 4/5, "4", "5"))))</calculatedColumnFormula>
    </tableColumn>
    <tableColumn id="11" name="Total Weekday Frequency of Service"/>
    <tableColumn id="12" name="Weekday Frequency Grade" dataDxfId="58">
      <calculatedColumnFormula>IF(PERCENTRANK(Table5[Total Weekday Frequency of Service], J2) &lt; 1/5, "1", IF(PERCENTRANK(Table5[Total Weekday Frequency of Service], J2) &lt; 2/5, "2", IF(PERCENTRANK(Table5[Total Weekday Frequency of Service], J2) &lt; 3/5, "3", IF(PERCENTRANK(Table5[Total Weekday Frequency of Service], J2) &lt; 4/5, "4", "5"))))</calculatedColumnFormula>
    </tableColumn>
    <tableColumn id="13" name="Total Weekend Frequency of Service" dataDxfId="57"/>
    <tableColumn id="14" name="Weekend Frequency Grade" dataDxfId="56">
      <calculatedColumnFormula>IF(PERCENTRANK(Table5[Total Weekend Frequency of Service], L2) &lt; 1/5, "1", IF(PERCENTRANK(Table5[Total Weekend Frequency of Service], L2) &lt; 2/5, "2", IF(PERCENTRANK(Table5[Total Weekend Frequency of Service], L2) &lt; 3/5, "3", IF(PERCENTRANK(Table5[Total Weekend Frequency of Service], L2) &lt; 4/5, "4", "5"))))</calculatedColumnFormula>
    </tableColumn>
    <tableColumn id="3" name="Transit Score" dataDxfId="55">
      <calculatedColumnFormula>Table5[[#This Row],[Weekend Frequency Grade]]+Table5[[#This Row],[Weekday Frequency Grade]]+Table5[[#This Row],[Weekday Ridership Grade]]+Table5[[#This Row],[Local Bus/Shuttle Grade]]+Table5[[#This Row],[Lines/Modes Grade]]</calculatedColumnFormula>
    </tableColumn>
    <tableColumn id="16" name="Transit Score (Number)" dataDxfId="54">
      <calculatedColumnFormula>IF(PERCENTRANK(Table5[Transit Score], N2) &lt; 1/5, "1", IF(PERCENTRANK(Table5[Transit Score], N2) &lt; 2/5, "2", IF(PERCENTRANK(Table5[Transit Score], N2) &lt; 3/5, "3", IF(PERCENTRANK(Table5[Transit Score], N2) &lt; 4/5, "4", "5"))))</calculatedColumnFormula>
    </tableColumn>
    <tableColumn id="15" name="Transit Score (H/M/L)" dataDxfId="53">
      <calculatedColumnFormula>IF(PERCENTRANK(Table5[Transit Score], N2) &lt; 1/5, "LOW", IF(PERCENTRANK(Table5[Transit Score], N2) &lt; 2/5, "MEDIUM-LOW", IF(PERCENTRANK(Table5[Transit Score], N2) &lt; 3/5, "MEDIUM", IF(PERCENTRANK(Table5[Transit Score], N2) &lt; 4/5, "MEDIUM-HIGH", "HIGH"))))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L84" totalsRowShown="0" headerRowDxfId="52">
  <autoFilter ref="A1:L84"/>
  <tableColumns count="12">
    <tableColumn id="1" name="Station" dataDxfId="51"/>
    <tableColumn id="2" name="Station ID" dataDxfId="50" dataCellStyle="Normal 2"/>
    <tableColumn id="3" name="Schedule Information" dataDxfId="49"/>
    <tableColumn id="4" name="Route Information" dataDxfId="48"/>
    <tableColumn id="5" name="Ticket Booth/Machine" dataDxfId="47"/>
    <tableColumn id="6" name="Shelter" dataDxfId="46"/>
    <tableColumn id="7" name="Benches" dataDxfId="45"/>
    <tableColumn id="8" name="Public Restrooms" dataDxfId="44"/>
    <tableColumn id="9" name="Public Phones" dataDxfId="43"/>
    <tableColumn id="10" name="Station Facilities Score"/>
    <tableColumn id="12" name="Station Facilities Score (Number)" dataDxfId="42">
      <calculatedColumnFormula>IF(PERCENTRANK(Table3[Station Facilities Score], J2) &lt; 1/5, "1", IF(PERCENTRANK(Table3[Station Facilities Score], J2) &lt; 2/5, "2", IF(PERCENTRANK(Table3[Station Facilities Score], J2) &lt; 3/5, "3", IF(PERCENTRANK(Table3[Station Facilities Score], J2) &lt; 4/5, "4", "5"))))</calculatedColumnFormula>
    </tableColumn>
    <tableColumn id="11" name="Station Facilities Score (H/M/L)" dataDxfId="41">
      <calculatedColumnFormula>IF(PERCENTRANK(Table3[Station Facilities Score], J2) &lt; 1/5, "LOW", IF(PERCENTRANK(Table3[Station Facilities Score], J2) &lt; 2/5, "MEDIUM-LOW", IF(PERCENTRANK(Table3[Station Facilities Score], J2) &lt; 3/5, "MEDIUM", IF(PERCENTRANK(Table3[Station Facilities Score], J2) &lt; 4/5, "MEDIUM-HIGH", "HIGH"))))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V84" totalsRowShown="0" headerRowDxfId="40">
  <autoFilter ref="A1:V84"/>
  <sortState ref="A2:V84">
    <sortCondition ref="B1:B84"/>
  </sortState>
  <tableColumns count="22">
    <tableColumn id="1" name="Station" dataDxfId="39"/>
    <tableColumn id="2" name="Station ID" dataDxfId="38" dataCellStyle="Normal 2"/>
    <tableColumn id="3" name="Surface Parking Lots" dataDxfId="37" dataCellStyle="Normal 2"/>
    <tableColumn id="4" name="Surface Parking Acreage" dataDxfId="36" dataCellStyle="Normal 2"/>
    <tableColumn id="5" name="Surface Parking Score" dataDxfId="35" dataCellStyle="Normal 2"/>
    <tableColumn id="6" name="Parking Spots Regular" dataDxfId="34" dataCellStyle="Normal 2 2"/>
    <tableColumn id="7" name="Parking Spots Score" dataDxfId="33" dataCellStyle="Normal 2 2">
      <calculatedColumnFormula>IF(PERCENTRANK(Table1[Parking Spots Regular], F2) &lt; 1/5, "1", IF(PERCENTRANK(Table1[Parking Spots Regular], F2) &lt; 2/5, "2", IF(PERCENTRANK(Table1[Parking Spots Regular], F2) &lt; 3/5, "3", IF(PERCENTRANK(Table1[Parking Spots Regular], F2) &lt; 4/5, "4", "5"))))</calculatedColumnFormula>
    </tableColumn>
    <tableColumn id="8" name="Parking Spots ADA" dataDxfId="32" dataCellStyle="Normal 2 2"/>
    <tableColumn id="9" name="ADA Spots Score" dataDxfId="31" dataCellStyle="Normal 2 2">
      <calculatedColumnFormula>IF(PERCENTRANK(Table1[Parking Spots ADA], H2) &lt; 1/5, "1", IF(PERCENTRANK(Table1[Parking Spots ADA], H2) &lt; 2/5, "2", IF(PERCENTRANK(Table1[Parking Spots ADA], H2) &lt; 3/5, "3", IF(PERCENTRANK(Table1[Parking Spots ADA], H2) &lt; 4/5, "4", "5"))))</calculatedColumnFormula>
    </tableColumn>
    <tableColumn id="10" name="EVC Charge Stations" dataDxfId="30" dataCellStyle="Normal 2 2"/>
    <tableColumn id="11" name="EVC Charge Stations Occupied" dataDxfId="29" dataCellStyle="Normal 2 2"/>
    <tableColumn id="12" name="EVC Stations + Occupied" dataDxfId="28" dataCellStyle="Normal 2 2">
      <calculatedColumnFormula>J2+K2</calculatedColumnFormula>
    </tableColumn>
    <tableColumn id="13" name="EVC Score" dataDxfId="27" dataCellStyle="Normal 2 2">
      <calculatedColumnFormula>IF(PERCENTRANK(Table1[EVC Stations + Occupied], L2) &lt; 1/5, "1", IF(PERCENTRANK(Table1[EVC Stations + Occupied], L2) &lt; 2/5, "2", IF(PERCENTRANK(Table1[EVC Stations + Occupied], L2) &lt; 3/5, "3", IF(PERCENTRANK(Table1[EVC Stations + Occupied], L2) &lt; 4/5, "4", "5"))))</calculatedColumnFormula>
    </tableColumn>
    <tableColumn id="14" name="Vehicles Parked (2014)" dataDxfId="26" dataCellStyle="Normal 2 2"/>
    <tableColumn id="15" name="Utilization Rate (2014) " dataDxfId="25">
      <calculatedColumnFormula>N2/(F2+H2)</calculatedColumnFormula>
    </tableColumn>
    <tableColumn id="16" name="Utilization Rate from 50%" dataDxfId="24">
      <calculatedColumnFormula>ABS(O2-$X$8)</calculatedColumnFormula>
    </tableColumn>
    <tableColumn id="17" name="Utilization from 50% score" dataDxfId="23">
      <calculatedColumnFormula>IF(PERCENTRANK(Table1[Utilization Rate from 50%], P2) &lt; 1/5, "1", IF(PERCENTRANK(Table1[Utilization Rate from 50%], P2) &lt; 2/5, "2", IF(PERCENTRANK(Table1[Utilization Rate from 50%], P2) &lt; 3/5, "3", IF(PERCENTRANK(Table1[Utilization Rate from 50%], P2) &lt; 4/5, "4", "5"))))</calculatedColumnFormula>
    </tableColumn>
    <tableColumn id="18" name="Parking Fee" dataDxfId="22" dataCellStyle="Normal 2 2"/>
    <tableColumn id="19" name="Lighting" dataDxfId="21" dataCellStyle="Normal 2 2"/>
    <tableColumn id="20" name="Parking Score" dataDxfId="20">
      <calculatedColumnFormula>Table1[[#This Row],[Lighting]]+Table1[[#This Row],[Parking Fee]]+Table1[[#This Row],[Utilization from 50% score]]+Table1[[#This Row],[EVC Score]]+Table1[[#This Row],[ADA Spots Score]]+Table1[[#This Row],[Parking Spots Score]]</calculatedColumnFormula>
    </tableColumn>
    <tableColumn id="21" name="Parking Score (Number)" dataDxfId="19">
      <calculatedColumnFormula>IF(PERCENTRANK(Table1[Parking Score], T2) &lt; 1/5, "1", IF(PERCENTRANK(Table1[Parking Score], T2) &lt; 2/5, "2", IF(PERCENTRANK(Table1[Parking Score], T2) &lt; 3/5, "3", IF(PERCENTRANK(Table1[Parking Score], T2) &lt; 4/5, "4", "5"))))</calculatedColumnFormula>
    </tableColumn>
    <tableColumn id="22" name="Parking Score (H/M/L)" dataDxfId="18">
      <calculatedColumnFormula>IF(PERCENTRANK(Table1[Parking Score], T2) &lt; 1/5, "LOW", IF(PERCENTRANK(Table1[Parking Score], T2) &lt; 2/5, "MEDIUM-LOW", IF(PERCENTRANK(Table1[Parking Score], T2) &lt; 3/5, "MEDIUM", IF(PERCENTRANK(Table1[Parking Score], T2) &lt; 4/5, "MEDIUM-HIGH", "HIGH"))))</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L84" totalsRowShown="0" headerRowDxfId="17">
  <autoFilter ref="A1:L84"/>
  <tableColumns count="12">
    <tableColumn id="1" name="Station" dataDxfId="16"/>
    <tableColumn id="2" name="Station ID" dataDxfId="15" dataCellStyle="Normal 2"/>
    <tableColumn id="3" name="Bike Access Trail " dataDxfId="14" dataCellStyle="Normal 2 2"/>
    <tableColumn id="4" name="Number of Bicycle Racks Total" dataDxfId="13" dataCellStyle="Normal 2 2"/>
    <tableColumn id="5" name="Number of Covered Racks" dataDxfId="12" dataCellStyle="Normal 2 2"/>
    <tableColumn id="6" name="Number of Bicycle Lockers (half)" dataDxfId="11" dataCellStyle="Normal 2 2"/>
    <tableColumn id="7" name="Number of Bicycle Lockers Occupied" dataDxfId="10" dataCellStyle="Normal 2 2"/>
    <tableColumn id="8" name="STOA"/>
    <tableColumn id="9" name="STOA2"/>
    <tableColumn id="10" name="Bike Access Score" dataDxfId="9" dataCellStyle="Normal 2 2">
      <calculatedColumnFormula>SUM(C2:I2)</calculatedColumnFormula>
    </tableColumn>
    <tableColumn id="12" name="Bike Access Score (Number)" dataDxfId="8" dataCellStyle="Normal 2 2">
      <calculatedColumnFormula>IF(PERCENTRANK(Table4[Bike Access Score], J2) &lt; 1/5, "1", IF(PERCENTRANK(Table4[Bike Access Score], J2) &lt; 2/5, "2", IF(PERCENTRANK(Table4[Bike Access Score], J2) &lt; 3/5, "3", IF(PERCENTRANK(Table4[Bike Access Score], J2) &lt; 4/5, "4", "5"))))</calculatedColumnFormula>
    </tableColumn>
    <tableColumn id="11" name="Bike Access Score (H/M/L)" dataDxfId="7">
      <calculatedColumnFormula>IF(PERCENTRANK(Table4[Bike Access Score], J2) &lt; 1/5, "LOW", IF(PERCENTRANK(Table4[Bike Access Score], J2) &lt; 2/5, "MEDIUM-LOW", IF(PERCENTRANK(Table4[Bike Access Score], J2) &lt; 3/5, "MEDIUM", IF(PERCENTRANK(Table4[Bike Access Score], J2) &lt; 4/5, "MEDIUM-HIGH", "HIGH"))))</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1:N84" totalsRowShown="0">
  <autoFilter ref="A1:N84"/>
  <tableColumns count="14">
    <tableColumn id="1" name="Station" dataDxfId="6"/>
    <tableColumn id="2" name="Station ID" dataDxfId="5" dataCellStyle="Normal 2"/>
    <tableColumn id="7" name="Intersections (Mile Buffer)"/>
    <tableColumn id="8" name="Area (Mile Buffer - Square Miles)"/>
    <tableColumn id="9" name="Intersection Density (Mile Buffer)"/>
    <tableColumn id="13" name="Intersection Density Score Half Mile" dataDxfId="4">
      <calculatedColumnFormula>IF(PERCENTRANK(Table2[Intersection Density (Mile Buffer)], E2) &lt; 1/5, "1", IF(PERCENTRANK(Table2[Intersection Density (Mile Buffer)], E2) &lt; 2/5, "2", IF(PERCENTRANK(Table2[Intersection Density (Mile Buffer)], E2) &lt; 3/5, "3", IF(PERCENTRANK(Table2[Intersection Density (Mile Buffer)], E2) &lt; 4/5, "4", "5"))))</calculatedColumnFormula>
    </tableColumn>
    <tableColumn id="10" name="Intersections (Half Mile Buffer)"/>
    <tableColumn id="11" name="Area (Square Miles - Half Mile Buffer)"/>
    <tableColumn id="12" name="Intersection Density (Half Mile Buffer)"/>
    <tableColumn id="14" name="Intersection Density Score Mile" dataDxfId="3">
      <calculatedColumnFormula>IF(PERCENTRANK(Table2[Intersection Density (Half Mile Buffer)], I2) &lt; 1/5, "1", IF(PERCENTRANK(Table2[Intersection Density (Half Mile Buffer)], I2) &lt; 2/5, "2", IF(PERCENTRANK(Table2[Intersection Density (Half Mile Buffer)], I2) &lt; 3/5, "3", IF(PERCENTRANK(Table2[Intersection Density (Half Mile Buffer)], I2) &lt; 4/5, "4", "5"))))</calculatedColumnFormula>
    </tableColumn>
    <tableColumn id="4" name="STOA"/>
    <tableColumn id="5" name="Pedestrain Access Score" dataDxfId="2" dataCellStyle="Normal 2 2">
      <calculatedColumnFormula>Table2[[#This Row],[Intersection Density Score Half Mile]]+K2</calculatedColumnFormula>
    </tableColumn>
    <tableColumn id="15" name="Pedestrian Access Score (Number)" dataDxfId="1" dataCellStyle="Normal 2 2">
      <calculatedColumnFormula>IF(PERCENTRANK(Table2[Pedestrain Access Score], L2) &lt; 1/5, 1, IF(PERCENTRANK(Table2[Pedestrain Access Score], L2) &lt; 2/5, 2, IF(PERCENTRANK(Table2[Pedestrain Access Score], L2) &lt; 3/5,3, IF(PERCENTRANK(Table2[Pedestrain Access Score], L2) &lt; 4/5, 4, 5))))</calculatedColumnFormula>
    </tableColumn>
    <tableColumn id="6" name="Pedestrian Access Score (H/M/L)" dataDxfId="0">
      <calculatedColumnFormula>IF(PERCENTRANK(Table2[Pedestrain Access Score], L2) &lt; 1/5, "LOW", IF(PERCENTRANK(Table2[Pedestrain Access Score], L2) &lt; 2/5, "MEDIUM-LOW", IF(PERCENTRANK(Table2[Pedestrain Access Score], L2) &lt; 3/5, "MEDIUM", IF(PERCENTRANK(Table2[Pedestrain Access Score], L2) &lt; 4/5, "MEDIUM-HIGH",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archive.baltimorecity.gov/Government/AgenciesDepartments/Planning/MasterPlansMapsPublications/DevelopmentResources.aspx" TargetMode="External"/><Relationship Id="rId18" Type="http://schemas.openxmlformats.org/officeDocument/2006/relationships/hyperlink" Target="http://www.aacounty.org/PlanZone/Zoning/ZoningClassifications.cfm" TargetMode="External"/><Relationship Id="rId26" Type="http://schemas.openxmlformats.org/officeDocument/2006/relationships/hyperlink" Target="http://archive.baltimorecity.gov/Government/AgenciesDepartments/Planning/MasterPlansMapsPublications/DevelopmentResources.aspx" TargetMode="External"/><Relationship Id="rId39" Type="http://schemas.openxmlformats.org/officeDocument/2006/relationships/hyperlink" Target="http://www.baltimorecountymd.gov/Agencies/planning/zoning/classifications.html" TargetMode="External"/><Relationship Id="rId21" Type="http://schemas.openxmlformats.org/officeDocument/2006/relationships/hyperlink" Target="http://www.aacounty.org/PlanZone/Zoning/ZoningClassifications.cfm" TargetMode="External"/><Relationship Id="rId34" Type="http://schemas.openxmlformats.org/officeDocument/2006/relationships/hyperlink" Target="http://archive.baltimorecity.gov/Government/AgenciesDepartments/Planning/MasterPlansMapsPublications/DevelopmentResources.aspx" TargetMode="External"/><Relationship Id="rId42" Type="http://schemas.openxmlformats.org/officeDocument/2006/relationships/hyperlink" Target="http://www.baltimorecountymd.gov/Agencies/planning/zoning/classifications.html" TargetMode="External"/><Relationship Id="rId47" Type="http://schemas.openxmlformats.org/officeDocument/2006/relationships/hyperlink" Target="http://www.baltimorecountymd.gov/Agencies/planning/zoning/classifications.html" TargetMode="External"/><Relationship Id="rId50" Type="http://schemas.openxmlformats.org/officeDocument/2006/relationships/hyperlink" Target="http://www.harfordcountymd.gov/planningzoning/" TargetMode="External"/><Relationship Id="rId55" Type="http://schemas.openxmlformats.org/officeDocument/2006/relationships/hyperlink" Target="http://www.aacounty.org/PlanZone/Zoning/ZoningClassifications.cfm" TargetMode="External"/><Relationship Id="rId63" Type="http://schemas.openxmlformats.org/officeDocument/2006/relationships/hyperlink" Target="http://lis.princegeorgescountymd.gov/default.asp?File=&amp;Type=TOC" TargetMode="External"/><Relationship Id="rId68" Type="http://schemas.openxmlformats.org/officeDocument/2006/relationships/hyperlink" Target="../AppData/Roaming/Microsoft/Excel/Master%20Plans/Baltimore%20Metro/State%20Center/State_CenterTODDevelopmentStrategy2005.pdf" TargetMode="External"/><Relationship Id="rId76" Type="http://schemas.openxmlformats.org/officeDocument/2006/relationships/hyperlink" Target="http://www.montgomerycountymd.gov/mcg/countycode.html" TargetMode="External"/><Relationship Id="rId84" Type="http://schemas.openxmlformats.org/officeDocument/2006/relationships/hyperlink" Target="http://www.montgomerycountymd.gov/mcg/countycode.html" TargetMode="External"/><Relationship Id="rId89" Type="http://schemas.openxmlformats.org/officeDocument/2006/relationships/printerSettings" Target="../printerSettings/printerSettings1.bin"/><Relationship Id="rId7" Type="http://schemas.openxmlformats.org/officeDocument/2006/relationships/hyperlink" Target="http://archive.baltimorecity.gov/Government/AgenciesDepartments/Planning/MasterPlansMapsPublications/DevelopmentResources.aspx" TargetMode="External"/><Relationship Id="rId71" Type="http://schemas.openxmlformats.org/officeDocument/2006/relationships/hyperlink" Target="../AppData/Roaming/Microsoft/Excel/Master%20Plans/Baltimore%20Metro/Milford%20Mill/pikesvillerevitalizationplan2003.pdf" TargetMode="External"/><Relationship Id="rId2" Type="http://schemas.openxmlformats.org/officeDocument/2006/relationships/hyperlink" Target="https://frederickcountymd.gov/index.aspx?NID=1409" TargetMode="External"/><Relationship Id="rId16" Type="http://schemas.openxmlformats.org/officeDocument/2006/relationships/hyperlink" Target="http://archive.baltimorecity.gov/Government/AgenciesDepartments/Planning/MasterPlansMapsPublications/DevelopmentResources.aspx" TargetMode="External"/><Relationship Id="rId29" Type="http://schemas.openxmlformats.org/officeDocument/2006/relationships/hyperlink" Target="http://archive.baltimorecity.gov/Government/AgenciesDepartments/Planning/MasterPlansMapsPublications/DevelopmentResources.aspx" TargetMode="External"/><Relationship Id="rId11" Type="http://schemas.openxmlformats.org/officeDocument/2006/relationships/hyperlink" Target="http://archive.baltimorecity.gov/Government/AgenciesDepartments/Planning/MasterPlansMapsPublications/DevelopmentResources.aspx" TargetMode="External"/><Relationship Id="rId24" Type="http://schemas.openxmlformats.org/officeDocument/2006/relationships/hyperlink" Target="http://www.baltimorecountymd.gov/Agencies/planning/zoning/classifications.html" TargetMode="External"/><Relationship Id="rId32" Type="http://schemas.openxmlformats.org/officeDocument/2006/relationships/hyperlink" Target="http://archive.baltimorecity.gov/Government/AgenciesDepartments/Planning/MasterPlansMapsPublications/DevelopmentResources.aspx" TargetMode="External"/><Relationship Id="rId37" Type="http://schemas.openxmlformats.org/officeDocument/2006/relationships/hyperlink" Target="http://archive.baltimorecity.gov/Government/AgenciesDepartments/Planning/MasterPlansMapsPublications/DevelopmentResources.aspx" TargetMode="External"/><Relationship Id="rId40" Type="http://schemas.openxmlformats.org/officeDocument/2006/relationships/hyperlink" Target="http://www.baltimorecountymd.gov/Agencies/planning/zoning/classifications.html" TargetMode="External"/><Relationship Id="rId45" Type="http://schemas.openxmlformats.org/officeDocument/2006/relationships/hyperlink" Target="http://www.baltimorecountymd.gov/Agencies/planning/zoning/classifications.html" TargetMode="External"/><Relationship Id="rId53" Type="http://schemas.openxmlformats.org/officeDocument/2006/relationships/hyperlink" Target="http://archive.baltimorecity.gov/Government/AgenciesDepartments/Planning/MasterPlansMapsPublications/DevelopmentResources.aspx" TargetMode="External"/><Relationship Id="rId58" Type="http://schemas.openxmlformats.org/officeDocument/2006/relationships/hyperlink" Target="http://lis.princegeorgescountymd.gov/default.asp?File=&amp;Type=TOC" TargetMode="External"/><Relationship Id="rId66" Type="http://schemas.openxmlformats.org/officeDocument/2006/relationships/hyperlink" Target="..\AppData\Roaming\Microsoft\Excel\Master%20Plans\Baltimore%20Metro\Owings%20Mills\owingmills1995.pdf" TargetMode="External"/><Relationship Id="rId74" Type="http://schemas.openxmlformats.org/officeDocument/2006/relationships/hyperlink" Target="../AppData/Roaming/Microsoft/Excel/Master%20Plans/MARC/Laurel%20Mainstreet/US1Manual_AdoptedJuly2009.pdf" TargetMode="External"/><Relationship Id="rId79" Type="http://schemas.openxmlformats.org/officeDocument/2006/relationships/hyperlink" Target="http://www.montgomerycountymd.gov/mcg/countycode.html" TargetMode="External"/><Relationship Id="rId87" Type="http://schemas.openxmlformats.org/officeDocument/2006/relationships/hyperlink" Target="https://frederickcountymd.gov/index.aspx?NID=1409" TargetMode="External"/><Relationship Id="rId5" Type="http://schemas.openxmlformats.org/officeDocument/2006/relationships/hyperlink" Target="http://www.baltimorecountymd.gov/Agencies/planning/zoning/classifications.html" TargetMode="External"/><Relationship Id="rId61" Type="http://schemas.openxmlformats.org/officeDocument/2006/relationships/hyperlink" Target="http://www.baltimorecountymd.gov/Agencies/planning/zoning/classifications.html" TargetMode="External"/><Relationship Id="rId82" Type="http://schemas.openxmlformats.org/officeDocument/2006/relationships/hyperlink" Target="http://www.montgomerycountymd.gov/mcg/countycode.html" TargetMode="External"/><Relationship Id="rId90" Type="http://schemas.openxmlformats.org/officeDocument/2006/relationships/vmlDrawing" Target="../drawings/vmlDrawing1.vml"/><Relationship Id="rId19" Type="http://schemas.openxmlformats.org/officeDocument/2006/relationships/hyperlink" Target="http://www.aacounty.org/PlanZone/Zoning/ZoningClassifications.cfm" TargetMode="External"/><Relationship Id="rId14" Type="http://schemas.openxmlformats.org/officeDocument/2006/relationships/hyperlink" Target="http://archive.baltimorecity.gov/Government/AgenciesDepartments/Planning/MasterPlansMapsPublications/DevelopmentResources.aspx" TargetMode="External"/><Relationship Id="rId22" Type="http://schemas.openxmlformats.org/officeDocument/2006/relationships/hyperlink" Target="http://www.aacounty.org/PlanZone/Zoning/ZoningClassifications.cfm" TargetMode="External"/><Relationship Id="rId27" Type="http://schemas.openxmlformats.org/officeDocument/2006/relationships/hyperlink" Target="http://archive.baltimorecity.gov/Government/AgenciesDepartments/Planning/MasterPlansMapsPublications/DevelopmentResources.aspx" TargetMode="External"/><Relationship Id="rId30" Type="http://schemas.openxmlformats.org/officeDocument/2006/relationships/hyperlink" Target="http://archive.baltimorecity.gov/Government/AgenciesDepartments/Planning/MasterPlansMapsPublications/DevelopmentResources.aspx" TargetMode="External"/><Relationship Id="rId35" Type="http://schemas.openxmlformats.org/officeDocument/2006/relationships/hyperlink" Target="http://archive.baltimorecity.gov/Government/AgenciesDepartments/Planning/MasterPlansMapsPublications/DevelopmentResources.aspx" TargetMode="External"/><Relationship Id="rId43" Type="http://schemas.openxmlformats.org/officeDocument/2006/relationships/hyperlink" Target="http://www.baltimorecountymd.gov/Agencies/planning/zoning/classifications.html" TargetMode="External"/><Relationship Id="rId48" Type="http://schemas.openxmlformats.org/officeDocument/2006/relationships/hyperlink" Target="http://www.ccgov.org/uploads/PlanningAndZoning/General/ZoningOrdinance_2011.pdf" TargetMode="External"/><Relationship Id="rId56" Type="http://schemas.openxmlformats.org/officeDocument/2006/relationships/hyperlink" Target="http://www.aacounty.org/PlanZone/Zoning/ZoningClassifications.cfm" TargetMode="External"/><Relationship Id="rId64" Type="http://schemas.openxmlformats.org/officeDocument/2006/relationships/hyperlink" Target="http://lis.princegeorgescountymd.gov/default.asp?File=&amp;Type=TOC" TargetMode="External"/><Relationship Id="rId69" Type="http://schemas.openxmlformats.org/officeDocument/2006/relationships/hyperlink" Target="../AppData/Roaming/Microsoft/Excel/Master%20Plans/Baltimore%20Light%20Rail/Wesport/WestportMtWinansLakelandMP2005.pdf" TargetMode="External"/><Relationship Id="rId77" Type="http://schemas.openxmlformats.org/officeDocument/2006/relationships/hyperlink" Target="http://www.montgomerycountymd.gov/mcg/countycode.html" TargetMode="External"/><Relationship Id="rId8" Type="http://schemas.openxmlformats.org/officeDocument/2006/relationships/hyperlink" Target="http://archive.baltimorecity.gov/Government/AgenciesDepartments/Planning/MasterPlansMapsPublications/DevelopmentResources.aspx" TargetMode="External"/><Relationship Id="rId51" Type="http://schemas.openxmlformats.org/officeDocument/2006/relationships/hyperlink" Target="http://www.baltimorecountymd.gov/Agencies/planning/zoning/classifications.html" TargetMode="External"/><Relationship Id="rId72" Type="http://schemas.openxmlformats.org/officeDocument/2006/relationships/hyperlink" Target="../AppData/Roaming/Microsoft/Excel/Master%20Plans/MARC/Aberdeen/Final_Master%20Plan_Aberdeen_Report.pdf" TargetMode="External"/><Relationship Id="rId80" Type="http://schemas.openxmlformats.org/officeDocument/2006/relationships/hyperlink" Target="http://www.montgomerycountymd.gov/mcg/countycode.html" TargetMode="External"/><Relationship Id="rId85" Type="http://schemas.openxmlformats.org/officeDocument/2006/relationships/hyperlink" Target="http://www.montgomerycountymd.gov/mcg/countycode.html" TargetMode="External"/><Relationship Id="rId3" Type="http://schemas.openxmlformats.org/officeDocument/2006/relationships/hyperlink" Target="http://www.baltimorecountymd.gov/Agencies/planning/zoning/classifications.html" TargetMode="External"/><Relationship Id="rId12" Type="http://schemas.openxmlformats.org/officeDocument/2006/relationships/hyperlink" Target="http://archive.baltimorecity.gov/Government/AgenciesDepartments/Planning/MasterPlansMapsPublications/DevelopmentResources.aspx" TargetMode="External"/><Relationship Id="rId17" Type="http://schemas.openxmlformats.org/officeDocument/2006/relationships/hyperlink" Target="http://www.aacounty.org/PlanZone/Zoning/ZoningClassifications.cfm" TargetMode="External"/><Relationship Id="rId25" Type="http://schemas.openxmlformats.org/officeDocument/2006/relationships/hyperlink" Target="http://www.baltimorecountymd.gov/Agencies/planning/zoning/classifications.html" TargetMode="External"/><Relationship Id="rId33" Type="http://schemas.openxmlformats.org/officeDocument/2006/relationships/hyperlink" Target="http://archive.baltimorecity.gov/Government/AgenciesDepartments/Planning/MasterPlansMapsPublications/DevelopmentResources.aspx" TargetMode="External"/><Relationship Id="rId38" Type="http://schemas.openxmlformats.org/officeDocument/2006/relationships/hyperlink" Target="http://archive.baltimorecity.gov/Government/AgenciesDepartments/Planning/MasterPlansMapsPublications/DevelopmentResources.aspx" TargetMode="External"/><Relationship Id="rId46" Type="http://schemas.openxmlformats.org/officeDocument/2006/relationships/hyperlink" Target="http://www.baltimorecountymd.gov/Agencies/planning/zoning/classifications.html" TargetMode="External"/><Relationship Id="rId59" Type="http://schemas.openxmlformats.org/officeDocument/2006/relationships/hyperlink" Target="http://lis.princegeorgescountymd.gov/default.asp?File=&amp;Type=TOC" TargetMode="External"/><Relationship Id="rId67" Type="http://schemas.openxmlformats.org/officeDocument/2006/relationships/hyperlink" Target="../AppData/Roaming/Microsoft/Excel/Master%20Plans/Baltimore%20Metro/Reisterstown/Reisterstown%20Plaza%20URP1981.pdf" TargetMode="External"/><Relationship Id="rId20" Type="http://schemas.openxmlformats.org/officeDocument/2006/relationships/hyperlink" Target="http://www.aacounty.org/PlanZone/Zoning/ZoningClassifications.cfm" TargetMode="External"/><Relationship Id="rId41" Type="http://schemas.openxmlformats.org/officeDocument/2006/relationships/hyperlink" Target="http://www.baltimorecountymd.gov/Agencies/planning/zoning/classifications.html" TargetMode="External"/><Relationship Id="rId54" Type="http://schemas.openxmlformats.org/officeDocument/2006/relationships/hyperlink" Target="http://www.baltimorecountymd.gov/Agencies/planning/zoning/classifications.html" TargetMode="External"/><Relationship Id="rId62" Type="http://schemas.openxmlformats.org/officeDocument/2006/relationships/hyperlink" Target="http://lis.princegeorgescountymd.gov/default.asp?File=&amp;Type=TOC" TargetMode="External"/><Relationship Id="rId70" Type="http://schemas.openxmlformats.org/officeDocument/2006/relationships/hyperlink" Target="../AppData/Roaming/Microsoft/Excel/Master%20Plans/Baltimore%20Metro/State%20Center/State_CenterTODDevelopmentStrategy2005.pdf" TargetMode="External"/><Relationship Id="rId75" Type="http://schemas.openxmlformats.org/officeDocument/2006/relationships/hyperlink" Target="../AppData/Roaming/Microsoft/Excel/Master%20Plans/MARC/Laurel%20Mainstreet/US1Manual_AdoptedJuly2009.pdf" TargetMode="External"/><Relationship Id="rId83" Type="http://schemas.openxmlformats.org/officeDocument/2006/relationships/hyperlink" Target="http://www.montgomerycountymd.gov/mcg/countycode.html" TargetMode="External"/><Relationship Id="rId88" Type="http://schemas.openxmlformats.org/officeDocument/2006/relationships/hyperlink" Target="http://www.cityoffrederick.com/DocumentCenter/Home/View/428" TargetMode="External"/><Relationship Id="rId91" Type="http://schemas.openxmlformats.org/officeDocument/2006/relationships/comments" Target="../comments1.xml"/><Relationship Id="rId1" Type="http://schemas.openxmlformats.org/officeDocument/2006/relationships/hyperlink" Target="https://www.brunswickmd.gov/zoning-ordinance/" TargetMode="External"/><Relationship Id="rId6" Type="http://schemas.openxmlformats.org/officeDocument/2006/relationships/hyperlink" Target="http://archive.baltimorecity.gov/Government/AgenciesDepartments/Planning/MasterPlansMapsPublications/DevelopmentResources.aspx" TargetMode="External"/><Relationship Id="rId15" Type="http://schemas.openxmlformats.org/officeDocument/2006/relationships/hyperlink" Target="http://archive.baltimorecity.gov/Government/AgenciesDepartments/Planning/MasterPlansMapsPublications/DevelopmentResources.aspx" TargetMode="External"/><Relationship Id="rId23" Type="http://schemas.openxmlformats.org/officeDocument/2006/relationships/hyperlink" Target="http://www.aacounty.org/PlanZone/Zoning/ZoningClassifications.cfm" TargetMode="External"/><Relationship Id="rId28" Type="http://schemas.openxmlformats.org/officeDocument/2006/relationships/hyperlink" Target="http://archive.baltimorecity.gov/Government/AgenciesDepartments/Planning/MasterPlansMapsPublications/DevelopmentResources.aspx" TargetMode="External"/><Relationship Id="rId36" Type="http://schemas.openxmlformats.org/officeDocument/2006/relationships/hyperlink" Target="http://archive.baltimorecity.gov/Government/AgenciesDepartments/Planning/MasterPlansMapsPublications/DevelopmentResources.aspx" TargetMode="External"/><Relationship Id="rId49" Type="http://schemas.openxmlformats.org/officeDocument/2006/relationships/hyperlink" Target="http://www.harfordcountymd.gov/planningzoning/" TargetMode="External"/><Relationship Id="rId57" Type="http://schemas.openxmlformats.org/officeDocument/2006/relationships/hyperlink" Target="http://lis.princegeorgescountymd.gov/default.asp?File=&amp;Type=TOC" TargetMode="External"/><Relationship Id="rId10" Type="http://schemas.openxmlformats.org/officeDocument/2006/relationships/hyperlink" Target="http://archive.baltimorecity.gov/Government/AgenciesDepartments/Planning/MasterPlansMapsPublications/DevelopmentResources.aspx" TargetMode="External"/><Relationship Id="rId31" Type="http://schemas.openxmlformats.org/officeDocument/2006/relationships/hyperlink" Target="http://archive.baltimorecity.gov/Government/AgenciesDepartments/Planning/MasterPlansMapsPublications/DevelopmentResources.aspx" TargetMode="External"/><Relationship Id="rId44" Type="http://schemas.openxmlformats.org/officeDocument/2006/relationships/hyperlink" Target="http://www.baltimorecountymd.gov/Agencies/planning/zoning/classifications.html" TargetMode="External"/><Relationship Id="rId52" Type="http://schemas.openxmlformats.org/officeDocument/2006/relationships/hyperlink" Target="http://archive.baltimorecity.gov/Government/AgenciesDepartments/Planning/MasterPlansMapsPublications/DevelopmentResources.aspx" TargetMode="External"/><Relationship Id="rId60" Type="http://schemas.openxmlformats.org/officeDocument/2006/relationships/hyperlink" Target="http://archive.baltimorecity.gov/Government/AgenciesDepartments/Planning/MasterPlansMapsPublications/DevelopmentResources.aspx" TargetMode="External"/><Relationship Id="rId65" Type="http://schemas.openxmlformats.org/officeDocument/2006/relationships/hyperlink" Target="http://lis.princegeorgescountymd.gov/default.asp?File=&amp;Type=TOC" TargetMode="External"/><Relationship Id="rId73" Type="http://schemas.openxmlformats.org/officeDocument/2006/relationships/hyperlink" Target="../AppData/Roaming/Microsoft/Excel/Master%20Plans/MARC/Odenton/OdentonTC_2009.pdf" TargetMode="External"/><Relationship Id="rId78" Type="http://schemas.openxmlformats.org/officeDocument/2006/relationships/hyperlink" Target="http://www.montgomerycountymd.gov/mcg/countycode.html" TargetMode="External"/><Relationship Id="rId81" Type="http://schemas.openxmlformats.org/officeDocument/2006/relationships/hyperlink" Target="http://www.montgomerycountymd.gov/mcg/countycode.html" TargetMode="External"/><Relationship Id="rId86" Type="http://schemas.openxmlformats.org/officeDocument/2006/relationships/hyperlink" Target="http://www.montgomerycountymd.gov/mcg/countycode.html" TargetMode="External"/><Relationship Id="rId4" Type="http://schemas.openxmlformats.org/officeDocument/2006/relationships/hyperlink" Target="http://www.baltimorecountymd.gov/Agencies/planning/zoning/classifications.html" TargetMode="External"/><Relationship Id="rId9" Type="http://schemas.openxmlformats.org/officeDocument/2006/relationships/hyperlink" Target="http://archive.baltimorecity.gov/Government/AgenciesDepartments/Planning/MasterPlansMapsPublications/DevelopmentResources.asp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3" Type="http://schemas.openxmlformats.org/officeDocument/2006/relationships/hyperlink" Target="http://archive.baltimorecity.gov/Government/AgenciesDepartments/Planning/MasterPlansMapsPublications/DevelopmentResources.aspx" TargetMode="External"/><Relationship Id="rId18" Type="http://schemas.openxmlformats.org/officeDocument/2006/relationships/hyperlink" Target="http://www.aacounty.org/PlanZone/Zoning/ZoningClassifications.cfm" TargetMode="External"/><Relationship Id="rId26" Type="http://schemas.openxmlformats.org/officeDocument/2006/relationships/hyperlink" Target="http://www.baltimorecountymd.gov/Agencies/planning/zoning/classifications.html" TargetMode="External"/><Relationship Id="rId39" Type="http://schemas.openxmlformats.org/officeDocument/2006/relationships/hyperlink" Target="http://archive.baltimorecity.gov/Government/AgenciesDepartments/Planning/MasterPlansMapsPublications/DevelopmentResources.aspx" TargetMode="External"/><Relationship Id="rId21" Type="http://schemas.openxmlformats.org/officeDocument/2006/relationships/hyperlink" Target="http://www.aacounty.org/PlanZone/Zoning/ZoningClassifications.cfm" TargetMode="External"/><Relationship Id="rId34" Type="http://schemas.openxmlformats.org/officeDocument/2006/relationships/hyperlink" Target="http://archive.baltimorecity.gov/Government/AgenciesDepartments/Planning/MasterPlansMapsPublications/DevelopmentResources.aspx" TargetMode="External"/><Relationship Id="rId42" Type="http://schemas.openxmlformats.org/officeDocument/2006/relationships/hyperlink" Target="http://www.baltimorecountymd.gov/Agencies/planning/zoning/classifications.html" TargetMode="External"/><Relationship Id="rId47" Type="http://schemas.openxmlformats.org/officeDocument/2006/relationships/hyperlink" Target="http://www.baltimorecountymd.gov/Agencies/planning/zoning/classifications.html" TargetMode="External"/><Relationship Id="rId50" Type="http://schemas.openxmlformats.org/officeDocument/2006/relationships/hyperlink" Target="http://www.harfordcountymd.gov/planningzoning/" TargetMode="External"/><Relationship Id="rId55" Type="http://schemas.openxmlformats.org/officeDocument/2006/relationships/hyperlink" Target="http://www.baltimorecountymd.gov/Agencies/planning/zoning/classifications.html" TargetMode="External"/><Relationship Id="rId63" Type="http://schemas.openxmlformats.org/officeDocument/2006/relationships/hyperlink" Target="http://lis.princegeorgescountymd.gov/default.asp?File=&amp;Type=TOC" TargetMode="External"/><Relationship Id="rId68" Type="http://schemas.openxmlformats.org/officeDocument/2006/relationships/hyperlink" Target="http://www.montgomerycountymd.gov/mcg/countycode.html" TargetMode="External"/><Relationship Id="rId76" Type="http://schemas.openxmlformats.org/officeDocument/2006/relationships/hyperlink" Target="http://www.montgomerycountymd.gov/mcg/countycode.html" TargetMode="External"/><Relationship Id="rId7" Type="http://schemas.openxmlformats.org/officeDocument/2006/relationships/hyperlink" Target="http://archive.baltimorecity.gov/Government/AgenciesDepartments/Planning/MasterPlansMapsPublications/DevelopmentResources.aspx" TargetMode="External"/><Relationship Id="rId71" Type="http://schemas.openxmlformats.org/officeDocument/2006/relationships/hyperlink" Target="http://www.montgomerycountymd.gov/mcg/countycode.html" TargetMode="External"/><Relationship Id="rId2" Type="http://schemas.openxmlformats.org/officeDocument/2006/relationships/hyperlink" Target="https://www.brunswickmd.gov/zoning-ordinance/" TargetMode="External"/><Relationship Id="rId16" Type="http://schemas.openxmlformats.org/officeDocument/2006/relationships/hyperlink" Target="http://archive.baltimorecity.gov/Government/AgenciesDepartments/Planning/MasterPlansMapsPublications/DevelopmentResources.aspx" TargetMode="External"/><Relationship Id="rId29" Type="http://schemas.openxmlformats.org/officeDocument/2006/relationships/hyperlink" Target="http://archive.baltimorecity.gov/Government/AgenciesDepartments/Planning/MasterPlansMapsPublications/DevelopmentResources.aspx" TargetMode="External"/><Relationship Id="rId11" Type="http://schemas.openxmlformats.org/officeDocument/2006/relationships/hyperlink" Target="http://archive.baltimorecity.gov/Government/AgenciesDepartments/Planning/MasterPlansMapsPublications/DevelopmentResources.aspx" TargetMode="External"/><Relationship Id="rId24" Type="http://schemas.openxmlformats.org/officeDocument/2006/relationships/hyperlink" Target="http://www.aacounty.org/PlanZone/Zoning/ZoningClassifications.cfm" TargetMode="External"/><Relationship Id="rId32" Type="http://schemas.openxmlformats.org/officeDocument/2006/relationships/hyperlink" Target="http://archive.baltimorecity.gov/Government/AgenciesDepartments/Planning/MasterPlansMapsPublications/DevelopmentResources.aspx" TargetMode="External"/><Relationship Id="rId37" Type="http://schemas.openxmlformats.org/officeDocument/2006/relationships/hyperlink" Target="http://archive.baltimorecity.gov/Government/AgenciesDepartments/Planning/MasterPlansMapsPublications/DevelopmentResources.aspx" TargetMode="External"/><Relationship Id="rId40" Type="http://schemas.openxmlformats.org/officeDocument/2006/relationships/hyperlink" Target="http://www.baltimorecountymd.gov/Agencies/planning/zoning/classifications.html" TargetMode="External"/><Relationship Id="rId45" Type="http://schemas.openxmlformats.org/officeDocument/2006/relationships/hyperlink" Target="http://www.baltimorecountymd.gov/Agencies/planning/zoning/classifications.html" TargetMode="External"/><Relationship Id="rId53" Type="http://schemas.openxmlformats.org/officeDocument/2006/relationships/hyperlink" Target="http://archive.baltimorecity.gov/Government/AgenciesDepartments/Planning/MasterPlansMapsPublications/DevelopmentResources.aspx" TargetMode="External"/><Relationship Id="rId58" Type="http://schemas.openxmlformats.org/officeDocument/2006/relationships/hyperlink" Target="http://lis.princegeorgescountymd.gov/default.asp?File=&amp;Type=TOC" TargetMode="External"/><Relationship Id="rId66" Type="http://schemas.openxmlformats.org/officeDocument/2006/relationships/hyperlink" Target="http://lis.princegeorgescountymd.gov/default.asp?File=&amp;Type=TOC" TargetMode="External"/><Relationship Id="rId74" Type="http://schemas.openxmlformats.org/officeDocument/2006/relationships/hyperlink" Target="http://www.montgomerycountymd.gov/mcg/countycode.html" TargetMode="External"/><Relationship Id="rId79" Type="http://schemas.openxmlformats.org/officeDocument/2006/relationships/hyperlink" Target="http://www.cityoffrederick.com/DocumentCenter/Home/View/428" TargetMode="External"/><Relationship Id="rId5" Type="http://schemas.openxmlformats.org/officeDocument/2006/relationships/hyperlink" Target="http://www.baltimorecountymd.gov/Agencies/planning/zoning/classifications.html" TargetMode="External"/><Relationship Id="rId61" Type="http://schemas.openxmlformats.org/officeDocument/2006/relationships/hyperlink" Target="http://archive.baltimorecity.gov/Government/AgenciesDepartments/Planning/MasterPlansMapsPublications/DevelopmentResources.aspx" TargetMode="External"/><Relationship Id="rId10" Type="http://schemas.openxmlformats.org/officeDocument/2006/relationships/hyperlink" Target="http://archive.baltimorecity.gov/Government/AgenciesDepartments/Planning/MasterPlansMapsPublications/DevelopmentResources.aspx" TargetMode="External"/><Relationship Id="rId19" Type="http://schemas.openxmlformats.org/officeDocument/2006/relationships/hyperlink" Target="http://www.aacounty.org/PlanZone/Zoning/ZoningClassifications.cfm" TargetMode="External"/><Relationship Id="rId31" Type="http://schemas.openxmlformats.org/officeDocument/2006/relationships/hyperlink" Target="http://archive.baltimorecity.gov/Government/AgenciesDepartments/Planning/MasterPlansMapsPublications/DevelopmentResources.aspx" TargetMode="External"/><Relationship Id="rId44" Type="http://schemas.openxmlformats.org/officeDocument/2006/relationships/hyperlink" Target="http://www.baltimorecountymd.gov/Agencies/planning/zoning/classifications.html" TargetMode="External"/><Relationship Id="rId52" Type="http://schemas.openxmlformats.org/officeDocument/2006/relationships/hyperlink" Target="http://www.baltimorecountymd.gov/Agencies/planning/zoning/classifications.html" TargetMode="External"/><Relationship Id="rId60" Type="http://schemas.openxmlformats.org/officeDocument/2006/relationships/hyperlink" Target="http://lis.princegeorgescountymd.gov/default.asp?File=&amp;Type=TOC" TargetMode="External"/><Relationship Id="rId65" Type="http://schemas.openxmlformats.org/officeDocument/2006/relationships/hyperlink" Target="http://lis.princegeorgescountymd.gov/default.asp?File=&amp;Type=TOC" TargetMode="External"/><Relationship Id="rId73" Type="http://schemas.openxmlformats.org/officeDocument/2006/relationships/hyperlink" Target="http://www.montgomerycountymd.gov/mcg/countycode.html" TargetMode="External"/><Relationship Id="rId78" Type="http://schemas.openxmlformats.org/officeDocument/2006/relationships/hyperlink" Target="https://frederickcountymd.gov/index.aspx?NID=1409" TargetMode="External"/><Relationship Id="rId4" Type="http://schemas.openxmlformats.org/officeDocument/2006/relationships/hyperlink" Target="http://www.baltimorecountymd.gov/Agencies/planning/zoning/classifications.html" TargetMode="External"/><Relationship Id="rId9" Type="http://schemas.openxmlformats.org/officeDocument/2006/relationships/hyperlink" Target="http://archive.baltimorecity.gov/Government/AgenciesDepartments/Planning/MasterPlansMapsPublications/DevelopmentResources.aspx" TargetMode="External"/><Relationship Id="rId14" Type="http://schemas.openxmlformats.org/officeDocument/2006/relationships/hyperlink" Target="http://archive.baltimorecity.gov/Government/AgenciesDepartments/Planning/MasterPlansMapsPublications/DevelopmentResources.aspx" TargetMode="External"/><Relationship Id="rId22" Type="http://schemas.openxmlformats.org/officeDocument/2006/relationships/hyperlink" Target="http://www.aacounty.org/PlanZone/Zoning/ZoningClassifications.cfm" TargetMode="External"/><Relationship Id="rId27" Type="http://schemas.openxmlformats.org/officeDocument/2006/relationships/hyperlink" Target="http://archive.baltimorecity.gov/Government/AgenciesDepartments/Planning/MasterPlansMapsPublications/DevelopmentResources.aspx" TargetMode="External"/><Relationship Id="rId30" Type="http://schemas.openxmlformats.org/officeDocument/2006/relationships/hyperlink" Target="http://archive.baltimorecity.gov/Government/AgenciesDepartments/Planning/MasterPlansMapsPublications/DevelopmentResources.aspx" TargetMode="External"/><Relationship Id="rId35" Type="http://schemas.openxmlformats.org/officeDocument/2006/relationships/hyperlink" Target="http://archive.baltimorecity.gov/Government/AgenciesDepartments/Planning/MasterPlansMapsPublications/DevelopmentResources.aspx" TargetMode="External"/><Relationship Id="rId43" Type="http://schemas.openxmlformats.org/officeDocument/2006/relationships/hyperlink" Target="http://www.baltimorecountymd.gov/Agencies/planning/zoning/classifications.html" TargetMode="External"/><Relationship Id="rId48" Type="http://schemas.openxmlformats.org/officeDocument/2006/relationships/hyperlink" Target="http://www.baltimorecountymd.gov/Agencies/planning/zoning/classifications.html" TargetMode="External"/><Relationship Id="rId56" Type="http://schemas.openxmlformats.org/officeDocument/2006/relationships/hyperlink" Target="http://www.aacounty.org/PlanZone/Zoning/ZoningClassifications.cfm" TargetMode="External"/><Relationship Id="rId64" Type="http://schemas.openxmlformats.org/officeDocument/2006/relationships/hyperlink" Target="http://lis.princegeorgescountymd.gov/default.asp?File=&amp;Type=TOC" TargetMode="External"/><Relationship Id="rId69" Type="http://schemas.openxmlformats.org/officeDocument/2006/relationships/hyperlink" Target="http://www.montgomerycountymd.gov/mcg/countycode.html" TargetMode="External"/><Relationship Id="rId77" Type="http://schemas.openxmlformats.org/officeDocument/2006/relationships/hyperlink" Target="http://www.montgomerycountymd.gov/mcg/countycode.html" TargetMode="External"/><Relationship Id="rId8" Type="http://schemas.openxmlformats.org/officeDocument/2006/relationships/hyperlink" Target="http://archive.baltimorecity.gov/Government/AgenciesDepartments/Planning/MasterPlansMapsPublications/DevelopmentResources.aspx" TargetMode="External"/><Relationship Id="rId51" Type="http://schemas.openxmlformats.org/officeDocument/2006/relationships/hyperlink" Target="http://www.harfordcountymd.gov/planningzoning/" TargetMode="External"/><Relationship Id="rId72" Type="http://schemas.openxmlformats.org/officeDocument/2006/relationships/hyperlink" Target="http://www.montgomerycountymd.gov/mcg/countycode.html" TargetMode="External"/><Relationship Id="rId80" Type="http://schemas.openxmlformats.org/officeDocument/2006/relationships/printerSettings" Target="../printerSettings/printerSettings3.bin"/><Relationship Id="rId3" Type="http://schemas.openxmlformats.org/officeDocument/2006/relationships/hyperlink" Target="https://frederickcountymd.gov/index.aspx?NID=1409" TargetMode="External"/><Relationship Id="rId12" Type="http://schemas.openxmlformats.org/officeDocument/2006/relationships/hyperlink" Target="http://archive.baltimorecity.gov/Government/AgenciesDepartments/Planning/MasterPlansMapsPublications/DevelopmentResources.aspx" TargetMode="External"/><Relationship Id="rId17" Type="http://schemas.openxmlformats.org/officeDocument/2006/relationships/hyperlink" Target="http://archive.baltimorecity.gov/Government/AgenciesDepartments/Planning/MasterPlansMapsPublications/DevelopmentResources.aspx" TargetMode="External"/><Relationship Id="rId25" Type="http://schemas.openxmlformats.org/officeDocument/2006/relationships/hyperlink" Target="http://www.baltimorecountymd.gov/Agencies/planning/zoning/classifications.html" TargetMode="External"/><Relationship Id="rId33" Type="http://schemas.openxmlformats.org/officeDocument/2006/relationships/hyperlink" Target="http://archive.baltimorecity.gov/Government/AgenciesDepartments/Planning/MasterPlansMapsPublications/DevelopmentResources.aspx" TargetMode="External"/><Relationship Id="rId38" Type="http://schemas.openxmlformats.org/officeDocument/2006/relationships/hyperlink" Target="http://archive.baltimorecity.gov/Government/AgenciesDepartments/Planning/MasterPlansMapsPublications/DevelopmentResources.aspx" TargetMode="External"/><Relationship Id="rId46" Type="http://schemas.openxmlformats.org/officeDocument/2006/relationships/hyperlink" Target="http://www.baltimorecountymd.gov/Agencies/planning/zoning/classifications.html" TargetMode="External"/><Relationship Id="rId59" Type="http://schemas.openxmlformats.org/officeDocument/2006/relationships/hyperlink" Target="http://lis.princegeorgescountymd.gov/default.asp?File=&amp;Type=TOC" TargetMode="External"/><Relationship Id="rId67" Type="http://schemas.openxmlformats.org/officeDocument/2006/relationships/hyperlink" Target="http://www.montgomerycountymd.gov/mcg/countycode.html" TargetMode="External"/><Relationship Id="rId20" Type="http://schemas.openxmlformats.org/officeDocument/2006/relationships/hyperlink" Target="http://www.aacounty.org/PlanZone/Zoning/ZoningClassifications.cfm" TargetMode="External"/><Relationship Id="rId41" Type="http://schemas.openxmlformats.org/officeDocument/2006/relationships/hyperlink" Target="http://www.baltimorecountymd.gov/Agencies/planning/zoning/classifications.html" TargetMode="External"/><Relationship Id="rId54" Type="http://schemas.openxmlformats.org/officeDocument/2006/relationships/hyperlink" Target="http://archive.baltimorecity.gov/Government/AgenciesDepartments/Planning/MasterPlansMapsPublications/DevelopmentResources.aspx" TargetMode="External"/><Relationship Id="rId62" Type="http://schemas.openxmlformats.org/officeDocument/2006/relationships/hyperlink" Target="http://www.baltimorecountymd.gov/Agencies/planning/zoning/classifications.html" TargetMode="External"/><Relationship Id="rId70" Type="http://schemas.openxmlformats.org/officeDocument/2006/relationships/hyperlink" Target="http://www.montgomerycountymd.gov/mcg/countycode.html" TargetMode="External"/><Relationship Id="rId75" Type="http://schemas.openxmlformats.org/officeDocument/2006/relationships/hyperlink" Target="http://www.montgomerycountymd.gov/mcg/countycode.html" TargetMode="External"/><Relationship Id="rId1" Type="http://schemas.openxmlformats.org/officeDocument/2006/relationships/hyperlink" Target="http://www.aacounty.org/PlanZone/MasterPlans/OTC/Resources/LandUseMixCategories.jpg" TargetMode="External"/><Relationship Id="rId6" Type="http://schemas.openxmlformats.org/officeDocument/2006/relationships/hyperlink" Target="http://www.baltimorecountymd.gov/Agencies/planning/zoning/classifications.html" TargetMode="External"/><Relationship Id="rId15" Type="http://schemas.openxmlformats.org/officeDocument/2006/relationships/hyperlink" Target="http://archive.baltimorecity.gov/Government/AgenciesDepartments/Planning/MasterPlansMapsPublications/DevelopmentResources.aspx" TargetMode="External"/><Relationship Id="rId23" Type="http://schemas.openxmlformats.org/officeDocument/2006/relationships/hyperlink" Target="http://www.aacounty.org/PlanZone/Zoning/ZoningClassifications.cfm" TargetMode="External"/><Relationship Id="rId28" Type="http://schemas.openxmlformats.org/officeDocument/2006/relationships/hyperlink" Target="http://archive.baltimorecity.gov/Government/AgenciesDepartments/Planning/MasterPlansMapsPublications/DevelopmentResources.aspx" TargetMode="External"/><Relationship Id="rId36" Type="http://schemas.openxmlformats.org/officeDocument/2006/relationships/hyperlink" Target="http://archive.baltimorecity.gov/Government/AgenciesDepartments/Planning/MasterPlansMapsPublications/DevelopmentResources.aspx" TargetMode="External"/><Relationship Id="rId49" Type="http://schemas.openxmlformats.org/officeDocument/2006/relationships/hyperlink" Target="http://www.ccgov.org/uploads/PlanningAndZoning/General/ZoningOrdinance_2011.pdf" TargetMode="External"/><Relationship Id="rId57" Type="http://schemas.openxmlformats.org/officeDocument/2006/relationships/hyperlink" Target="http://www.aacounty.org/PlanZone/Zoning/ZoningClassifications.cf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47"/>
  <sheetViews>
    <sheetView tabSelected="1" zoomScale="115" zoomScaleNormal="115" workbookViewId="0">
      <pane xSplit="2" ySplit="2" topLeftCell="C3" activePane="bottomRight" state="frozen"/>
      <selection pane="topRight" activeCell="C1" sqref="C1"/>
      <selection pane="bottomLeft" activeCell="A4" sqref="A4"/>
      <selection pane="bottomRight" activeCell="C4" sqref="C4"/>
    </sheetView>
  </sheetViews>
  <sheetFormatPr defaultRowHeight="15" x14ac:dyDescent="0.25"/>
  <cols>
    <col min="1" max="1" width="20.42578125" customWidth="1"/>
    <col min="2" max="2" width="4.7109375" customWidth="1"/>
    <col min="3" max="3" width="11.42578125" bestFit="1" customWidth="1"/>
    <col min="4" max="4" width="9.42578125" bestFit="1" customWidth="1"/>
    <col min="5" max="5" width="34.28515625" bestFit="1" customWidth="1"/>
    <col min="6" max="6" width="20.7109375" bestFit="1" customWidth="1"/>
    <col min="7" max="7" width="19" bestFit="1" customWidth="1"/>
    <col min="8" max="8" width="20.7109375" bestFit="1" customWidth="1"/>
    <col min="9" max="9" width="14.140625" bestFit="1" customWidth="1"/>
    <col min="10" max="10" width="10.42578125" bestFit="1" customWidth="1"/>
    <col min="11" max="11" width="20.42578125" bestFit="1" customWidth="1"/>
    <col min="12" max="12" width="23.5703125" bestFit="1" customWidth="1"/>
    <col min="13" max="13" width="72.85546875" bestFit="1" customWidth="1"/>
    <col min="14" max="14" width="22.28515625" customWidth="1"/>
    <col min="15" max="15" width="19.85546875" bestFit="1" customWidth="1"/>
    <col min="16" max="16" width="12.28515625" bestFit="1" customWidth="1"/>
    <col min="17" max="17" width="19.85546875" customWidth="1"/>
    <col min="18" max="18" width="12.85546875" bestFit="1" customWidth="1"/>
    <col min="19" max="19" width="16.5703125" bestFit="1" customWidth="1"/>
    <col min="20" max="20" width="16.140625" bestFit="1" customWidth="1"/>
    <col min="21" max="21" width="17.85546875" customWidth="1"/>
    <col min="22" max="24" width="8.28515625" bestFit="1" customWidth="1"/>
    <col min="25" max="25" width="13.85546875" style="16" bestFit="1" customWidth="1"/>
    <col min="26" max="26" width="51.28515625" bestFit="1" customWidth="1"/>
    <col min="27" max="27" width="131.7109375" bestFit="1" customWidth="1"/>
    <col min="28" max="39" width="10.7109375" customWidth="1"/>
    <col min="40" max="40" width="33.42578125" bestFit="1" customWidth="1"/>
    <col min="41" max="41" width="12.140625" customWidth="1"/>
    <col min="42" max="42" width="17.5703125" bestFit="1" customWidth="1"/>
    <col min="43" max="43" width="20.85546875" bestFit="1" customWidth="1"/>
    <col min="44" max="44" width="7.42578125" bestFit="1" customWidth="1"/>
    <col min="45" max="45" width="8.42578125" bestFit="1" customWidth="1"/>
    <col min="46" max="46" width="16.42578125" bestFit="1" customWidth="1"/>
    <col min="47" max="47" width="13.5703125" bestFit="1" customWidth="1"/>
    <col min="48" max="48" width="18.42578125" bestFit="1" customWidth="1"/>
    <col min="49" max="50" width="11.42578125" customWidth="1"/>
    <col min="51" max="55" width="14.28515625" customWidth="1"/>
    <col min="56" max="56" width="26.42578125" customWidth="1"/>
    <col min="57" max="57" width="25.28515625" customWidth="1"/>
    <col min="58" max="58" width="28.42578125" customWidth="1"/>
    <col min="59" max="60" width="20" customWidth="1"/>
    <col min="61" max="61" width="22.85546875" bestFit="1" customWidth="1"/>
    <col min="62" max="62" width="45.140625" bestFit="1" customWidth="1"/>
    <col min="63" max="63" width="24.5703125" bestFit="1" customWidth="1"/>
    <col min="64" max="64" width="33.5703125" bestFit="1" customWidth="1"/>
    <col min="65" max="65" width="27.7109375" bestFit="1" customWidth="1"/>
    <col min="66" max="66" width="50.85546875" bestFit="1" customWidth="1"/>
    <col min="67" max="67" width="144.42578125" bestFit="1" customWidth="1"/>
    <col min="68" max="68" width="85.28515625" bestFit="1" customWidth="1"/>
  </cols>
  <sheetData>
    <row r="1" spans="1:68" s="102" customFormat="1" ht="15.75" thickBot="1" x14ac:dyDescent="0.3">
      <c r="A1" s="17" t="s">
        <v>0</v>
      </c>
      <c r="B1" s="103"/>
      <c r="C1" s="104"/>
      <c r="D1" s="104"/>
      <c r="E1" s="107" t="s">
        <v>1</v>
      </c>
      <c r="F1" s="107"/>
      <c r="G1" s="107"/>
      <c r="H1" s="107"/>
      <c r="I1" s="107"/>
      <c r="J1" s="108"/>
      <c r="K1" s="108"/>
      <c r="L1" s="108"/>
      <c r="M1" s="108"/>
      <c r="N1" s="109"/>
      <c r="O1" s="110"/>
      <c r="P1" s="111" t="s">
        <v>2</v>
      </c>
      <c r="Q1" s="112"/>
      <c r="R1" s="112"/>
      <c r="S1" s="112"/>
      <c r="T1" s="112"/>
      <c r="U1" s="113"/>
      <c r="V1" s="118" t="s">
        <v>3</v>
      </c>
      <c r="W1" s="119"/>
      <c r="X1" s="119"/>
      <c r="Y1" s="119"/>
      <c r="Z1" s="119"/>
      <c r="AA1" s="119"/>
      <c r="AB1" s="119"/>
      <c r="AC1" s="119"/>
      <c r="AD1" s="119"/>
      <c r="AE1" s="119"/>
      <c r="AF1" s="119"/>
      <c r="AG1" s="119"/>
      <c r="AH1" s="119"/>
      <c r="AI1" s="119"/>
      <c r="AJ1" s="119"/>
      <c r="AK1" s="119"/>
      <c r="AL1" s="119"/>
      <c r="AM1" s="120"/>
      <c r="AN1" s="114" t="s">
        <v>434</v>
      </c>
      <c r="AO1" s="114"/>
      <c r="AP1" s="114"/>
      <c r="AQ1" s="114"/>
      <c r="AR1" s="114"/>
      <c r="AS1" s="114"/>
      <c r="AT1" s="114"/>
      <c r="AU1" s="114"/>
      <c r="AV1" s="115" t="s">
        <v>4</v>
      </c>
      <c r="AW1" s="116"/>
      <c r="AX1" s="116"/>
      <c r="AY1" s="117"/>
      <c r="AZ1" s="117"/>
      <c r="BA1" s="117"/>
      <c r="BB1" s="117"/>
      <c r="BC1" s="117"/>
      <c r="BD1" s="117"/>
      <c r="BE1" s="117"/>
      <c r="BF1" s="117"/>
      <c r="BG1" s="121" t="s">
        <v>340</v>
      </c>
      <c r="BH1" s="122"/>
      <c r="BI1" s="123" t="s">
        <v>341</v>
      </c>
      <c r="BJ1" s="123"/>
      <c r="BK1" s="123"/>
      <c r="BL1" s="124"/>
      <c r="BM1" s="105" t="s">
        <v>342</v>
      </c>
      <c r="BN1" s="106"/>
      <c r="BO1" s="106"/>
      <c r="BP1" s="106"/>
    </row>
    <row r="2" spans="1:68" s="56" customFormat="1" ht="60" x14ac:dyDescent="0.25">
      <c r="A2" s="50" t="s">
        <v>9</v>
      </c>
      <c r="B2" s="50" t="s">
        <v>10</v>
      </c>
      <c r="C2" s="51" t="s">
        <v>353</v>
      </c>
      <c r="D2" s="51" t="s">
        <v>352</v>
      </c>
      <c r="E2" s="50" t="s">
        <v>11</v>
      </c>
      <c r="F2" s="50" t="s">
        <v>259</v>
      </c>
      <c r="G2" s="50" t="s">
        <v>260</v>
      </c>
      <c r="H2" s="50" t="s">
        <v>261</v>
      </c>
      <c r="I2" s="50" t="s">
        <v>263</v>
      </c>
      <c r="J2" s="50" t="s">
        <v>265</v>
      </c>
      <c r="K2" s="52" t="s">
        <v>12</v>
      </c>
      <c r="L2" s="50" t="s">
        <v>13</v>
      </c>
      <c r="M2" s="50" t="s">
        <v>14</v>
      </c>
      <c r="N2" s="51" t="s">
        <v>337</v>
      </c>
      <c r="O2" s="50" t="s">
        <v>15</v>
      </c>
      <c r="P2" s="97" t="s">
        <v>16</v>
      </c>
      <c r="Q2" s="98" t="s">
        <v>17</v>
      </c>
      <c r="R2" s="99" t="s">
        <v>18</v>
      </c>
      <c r="S2" s="100" t="s">
        <v>19</v>
      </c>
      <c r="T2" s="94" t="s">
        <v>20</v>
      </c>
      <c r="U2" s="101" t="s">
        <v>21</v>
      </c>
      <c r="V2" s="54" t="s">
        <v>255</v>
      </c>
      <c r="W2" s="54" t="s">
        <v>256</v>
      </c>
      <c r="X2" s="54" t="s">
        <v>257</v>
      </c>
      <c r="Y2" s="54" t="s">
        <v>258</v>
      </c>
      <c r="Z2" s="54" t="s">
        <v>311</v>
      </c>
      <c r="AA2" s="54" t="s">
        <v>312</v>
      </c>
      <c r="AB2" s="54" t="s">
        <v>249</v>
      </c>
      <c r="AC2" s="54" t="s">
        <v>250</v>
      </c>
      <c r="AD2" s="54" t="s">
        <v>251</v>
      </c>
      <c r="AE2" s="54" t="s">
        <v>252</v>
      </c>
      <c r="AF2" s="54" t="s">
        <v>253</v>
      </c>
      <c r="AG2" s="54" t="s">
        <v>254</v>
      </c>
      <c r="AH2" s="54" t="s">
        <v>436</v>
      </c>
      <c r="AI2" s="54" t="s">
        <v>437</v>
      </c>
      <c r="AJ2" s="54" t="s">
        <v>438</v>
      </c>
      <c r="AK2" s="54" t="s">
        <v>439</v>
      </c>
      <c r="AL2" s="54" t="s">
        <v>440</v>
      </c>
      <c r="AM2" s="54" t="s">
        <v>441</v>
      </c>
      <c r="AN2" s="57" t="s">
        <v>339</v>
      </c>
      <c r="AO2" s="55" t="s">
        <v>23</v>
      </c>
      <c r="AP2" s="55" t="s">
        <v>272</v>
      </c>
      <c r="AQ2" s="55" t="s">
        <v>273</v>
      </c>
      <c r="AR2" s="55" t="s">
        <v>274</v>
      </c>
      <c r="AS2" s="51" t="s">
        <v>22</v>
      </c>
      <c r="AT2" s="51" t="s">
        <v>276</v>
      </c>
      <c r="AU2" s="51" t="s">
        <v>275</v>
      </c>
      <c r="AV2" s="51" t="s">
        <v>334</v>
      </c>
      <c r="AW2" s="51" t="s">
        <v>270</v>
      </c>
      <c r="AX2" s="51" t="s">
        <v>335</v>
      </c>
      <c r="AY2" s="51" t="s">
        <v>307</v>
      </c>
      <c r="AZ2" s="51" t="s">
        <v>308</v>
      </c>
      <c r="BA2" s="51" t="s">
        <v>309</v>
      </c>
      <c r="BB2" s="54" t="s">
        <v>310</v>
      </c>
      <c r="BC2" s="54" t="s">
        <v>336</v>
      </c>
      <c r="BD2" s="54" t="s">
        <v>359</v>
      </c>
      <c r="BE2" s="54" t="s">
        <v>360</v>
      </c>
      <c r="BF2" s="54" t="s">
        <v>338</v>
      </c>
      <c r="BG2" s="54" t="s">
        <v>390</v>
      </c>
      <c r="BH2" s="54" t="s">
        <v>435</v>
      </c>
      <c r="BI2" s="51" t="s">
        <v>24</v>
      </c>
      <c r="BJ2" s="51" t="s">
        <v>25</v>
      </c>
      <c r="BK2" s="51" t="s">
        <v>26</v>
      </c>
      <c r="BL2" s="51" t="s">
        <v>27</v>
      </c>
      <c r="BM2" s="54" t="s">
        <v>28</v>
      </c>
      <c r="BN2" s="54" t="s">
        <v>29</v>
      </c>
      <c r="BO2" s="51" t="s">
        <v>30</v>
      </c>
      <c r="BP2" s="51" t="s">
        <v>31</v>
      </c>
    </row>
    <row r="3" spans="1:68" x14ac:dyDescent="0.25">
      <c r="A3" s="12" t="s">
        <v>164</v>
      </c>
      <c r="B3" s="4">
        <v>1</v>
      </c>
      <c r="C3" s="34">
        <v>-77.028886</v>
      </c>
      <c r="D3" s="34">
        <v>38.897595000000003</v>
      </c>
      <c r="E3" s="12" t="s">
        <v>164</v>
      </c>
      <c r="F3" s="12" t="s">
        <v>131</v>
      </c>
      <c r="G3" s="12" t="s">
        <v>166</v>
      </c>
      <c r="H3" s="12" t="s">
        <v>195</v>
      </c>
      <c r="I3" s="12" t="s">
        <v>241</v>
      </c>
      <c r="J3" s="12" t="s">
        <v>264</v>
      </c>
      <c r="K3" s="5" t="s">
        <v>42</v>
      </c>
      <c r="L3" s="5" t="s">
        <v>165</v>
      </c>
      <c r="M3" s="5"/>
      <c r="N3" s="5"/>
      <c r="O3" s="5"/>
      <c r="P3" s="5"/>
      <c r="Q3" s="5"/>
      <c r="R3" s="5"/>
      <c r="S3" s="5"/>
      <c r="T3" s="5"/>
      <c r="U3" s="5"/>
      <c r="V3" s="5"/>
      <c r="W3" s="5"/>
      <c r="X3" s="5"/>
      <c r="Y3" s="5"/>
      <c r="Z3" s="5"/>
      <c r="AA3" s="5"/>
      <c r="AB3" s="49"/>
      <c r="AC3" s="49"/>
      <c r="AD3" s="49"/>
      <c r="AE3" s="5"/>
      <c r="AF3" s="5"/>
      <c r="AG3" s="5"/>
      <c r="AH3" s="34"/>
      <c r="AI3" s="34"/>
      <c r="AJ3" s="34"/>
      <c r="AK3" s="34"/>
      <c r="AL3" s="34"/>
      <c r="AM3" s="34"/>
      <c r="AN3" s="5"/>
      <c r="AO3" s="5"/>
      <c r="AP3" s="5"/>
      <c r="AQ3" s="5"/>
      <c r="AR3" s="5"/>
      <c r="AS3" s="5"/>
      <c r="AT3" s="5"/>
      <c r="AU3" s="5"/>
      <c r="AV3" s="5"/>
      <c r="AW3" s="5"/>
      <c r="AX3" s="5"/>
      <c r="AY3" s="5"/>
      <c r="AZ3" s="5"/>
      <c r="BA3" s="5"/>
      <c r="BB3" s="5"/>
      <c r="BC3" s="5"/>
      <c r="BD3" s="8"/>
      <c r="BE3" s="8"/>
      <c r="BF3" s="5"/>
      <c r="BG3" s="54"/>
      <c r="BH3" s="54"/>
      <c r="BI3" s="5"/>
      <c r="BJ3" s="5"/>
      <c r="BK3" s="5"/>
      <c r="BL3" s="5"/>
      <c r="BM3" s="5"/>
      <c r="BN3" s="5"/>
      <c r="BO3" s="5"/>
      <c r="BP3" s="5"/>
    </row>
    <row r="4" spans="1:68" s="18" customFormat="1" x14ac:dyDescent="0.25">
      <c r="A4" s="12" t="s">
        <v>110</v>
      </c>
      <c r="B4" s="4">
        <v>2</v>
      </c>
      <c r="C4" s="34">
        <v>-76.616021000000003</v>
      </c>
      <c r="D4" s="34">
        <v>39.307532999999999</v>
      </c>
      <c r="E4" s="12" t="s">
        <v>110</v>
      </c>
      <c r="F4" s="12" t="s">
        <v>131</v>
      </c>
      <c r="G4" s="12" t="s">
        <v>75</v>
      </c>
      <c r="H4" s="12" t="s">
        <v>264</v>
      </c>
      <c r="I4" s="12"/>
      <c r="J4" s="12"/>
      <c r="K4" s="5" t="s">
        <v>33</v>
      </c>
      <c r="L4" s="5" t="s">
        <v>47</v>
      </c>
      <c r="M4" s="5" t="s">
        <v>64</v>
      </c>
      <c r="N4" s="25">
        <v>604827</v>
      </c>
      <c r="O4" s="5" t="s">
        <v>145</v>
      </c>
      <c r="P4" s="64">
        <v>3</v>
      </c>
      <c r="Q4" s="64">
        <v>5</v>
      </c>
      <c r="R4" s="95">
        <v>2</v>
      </c>
      <c r="S4" s="64">
        <v>5</v>
      </c>
      <c r="T4" s="5">
        <v>5</v>
      </c>
      <c r="U4" s="5">
        <v>5</v>
      </c>
      <c r="V4" s="5">
        <v>1</v>
      </c>
      <c r="W4" s="5">
        <v>2</v>
      </c>
      <c r="X4" s="5"/>
      <c r="Y4" s="5">
        <v>5</v>
      </c>
      <c r="Z4" s="36" t="s">
        <v>354</v>
      </c>
      <c r="AA4" s="36" t="s">
        <v>442</v>
      </c>
      <c r="AB4" s="49">
        <v>3664.5</v>
      </c>
      <c r="AC4" s="49">
        <v>325.89413793103449</v>
      </c>
      <c r="AD4" s="23"/>
      <c r="AE4" s="5"/>
      <c r="AF4" s="5"/>
      <c r="AG4" s="5"/>
      <c r="AH4" s="34">
        <v>29</v>
      </c>
      <c r="AI4" s="34">
        <v>50</v>
      </c>
      <c r="AJ4" s="34"/>
      <c r="AK4" s="34">
        <v>9</v>
      </c>
      <c r="AL4" s="34">
        <v>10</v>
      </c>
      <c r="AM4" s="34"/>
      <c r="AN4" s="5" t="s">
        <v>37</v>
      </c>
      <c r="AO4" s="24" t="s">
        <v>33</v>
      </c>
      <c r="AP4" s="24" t="s">
        <v>33</v>
      </c>
      <c r="AQ4" s="24" t="s">
        <v>33</v>
      </c>
      <c r="AR4" s="24" t="s">
        <v>33</v>
      </c>
      <c r="AS4" s="24" t="s">
        <v>33</v>
      </c>
      <c r="AT4" s="24" t="s">
        <v>33</v>
      </c>
      <c r="AU4" s="24" t="s">
        <v>33</v>
      </c>
      <c r="AV4" s="24">
        <v>0</v>
      </c>
      <c r="AW4" s="24" t="s">
        <v>33</v>
      </c>
      <c r="AX4" s="24">
        <v>0</v>
      </c>
      <c r="AY4" s="24">
        <v>0</v>
      </c>
      <c r="AZ4" s="24">
        <v>0</v>
      </c>
      <c r="BA4" s="25">
        <v>494</v>
      </c>
      <c r="BB4" s="24"/>
      <c r="BC4" s="26">
        <f>BB4/BA4</f>
        <v>0</v>
      </c>
      <c r="BD4" s="27">
        <f t="shared" ref="BD4:BD35" si="0">AV4/(AB4+AC4)</f>
        <v>0</v>
      </c>
      <c r="BE4" s="27"/>
      <c r="BF4" s="5">
        <f>AV4/((SUM($AV$51:$AV$62)+$AV$4)/13)</f>
        <v>0</v>
      </c>
      <c r="BG4" s="5">
        <v>327.27499999999998</v>
      </c>
      <c r="BH4" s="5">
        <v>7</v>
      </c>
      <c r="BI4" s="24">
        <v>7</v>
      </c>
      <c r="BJ4" s="29" t="s">
        <v>277</v>
      </c>
      <c r="BK4" s="24">
        <v>0</v>
      </c>
      <c r="BL4" s="24"/>
      <c r="BM4" s="5" t="s">
        <v>33</v>
      </c>
      <c r="BN4" s="5" t="s">
        <v>146</v>
      </c>
      <c r="BO4" s="30" t="s">
        <v>51</v>
      </c>
      <c r="BP4" s="5"/>
    </row>
    <row r="5" spans="1:68" s="16" customFormat="1" x14ac:dyDescent="0.25">
      <c r="A5" s="12" t="s">
        <v>266</v>
      </c>
      <c r="B5" s="4">
        <v>3</v>
      </c>
      <c r="C5" s="34">
        <v>-76.619955000000004</v>
      </c>
      <c r="D5" s="34">
        <v>39.283762000000003</v>
      </c>
      <c r="E5" s="12" t="s">
        <v>266</v>
      </c>
      <c r="F5" s="20" t="s">
        <v>166</v>
      </c>
      <c r="G5" s="20" t="s">
        <v>75</v>
      </c>
      <c r="H5" s="20"/>
      <c r="I5" s="20"/>
      <c r="J5" s="20"/>
      <c r="K5" s="5" t="s">
        <v>42</v>
      </c>
      <c r="L5" s="5" t="s">
        <v>47</v>
      </c>
      <c r="M5" s="5" t="s">
        <v>64</v>
      </c>
      <c r="N5" s="25">
        <v>549217</v>
      </c>
      <c r="O5" s="5" t="s">
        <v>65</v>
      </c>
      <c r="P5" s="64">
        <v>2</v>
      </c>
      <c r="Q5" s="64">
        <v>1</v>
      </c>
      <c r="R5" s="96">
        <v>3</v>
      </c>
      <c r="S5" s="64">
        <v>5</v>
      </c>
      <c r="T5" s="5">
        <v>5</v>
      </c>
      <c r="U5" s="5">
        <v>5</v>
      </c>
      <c r="V5" s="5">
        <v>1</v>
      </c>
      <c r="W5" s="5">
        <v>2</v>
      </c>
      <c r="X5" s="5"/>
      <c r="Y5" s="5">
        <v>5</v>
      </c>
      <c r="Z5" s="36" t="s">
        <v>358</v>
      </c>
      <c r="AA5" s="36" t="s">
        <v>443</v>
      </c>
      <c r="AB5" s="49">
        <v>336.83333333333331</v>
      </c>
      <c r="AC5" s="49">
        <v>704.92318965517245</v>
      </c>
      <c r="AD5" s="23"/>
      <c r="AE5" s="5"/>
      <c r="AF5" s="5"/>
      <c r="AG5" s="5"/>
      <c r="AH5" s="5">
        <v>9</v>
      </c>
      <c r="AI5" s="5"/>
      <c r="AJ5" s="5"/>
      <c r="AK5" s="5"/>
      <c r="AL5" s="5"/>
      <c r="AM5" s="5"/>
      <c r="AN5" s="5" t="s">
        <v>167</v>
      </c>
      <c r="AO5" s="24" t="s">
        <v>42</v>
      </c>
      <c r="AP5" s="24" t="s">
        <v>33</v>
      </c>
      <c r="AQ5" s="24" t="s">
        <v>33</v>
      </c>
      <c r="AR5" s="24" t="s">
        <v>33</v>
      </c>
      <c r="AS5" s="24" t="s">
        <v>33</v>
      </c>
      <c r="AT5" s="24" t="s">
        <v>42</v>
      </c>
      <c r="AU5" s="24" t="s">
        <v>42</v>
      </c>
      <c r="AV5" s="24">
        <v>28</v>
      </c>
      <c r="AW5" s="24" t="s">
        <v>33</v>
      </c>
      <c r="AX5" s="24">
        <v>0</v>
      </c>
      <c r="AY5" s="24">
        <v>0</v>
      </c>
      <c r="AZ5" s="24">
        <v>0</v>
      </c>
      <c r="BA5" s="25">
        <v>0</v>
      </c>
      <c r="BB5" s="24"/>
      <c r="BC5" s="26"/>
      <c r="BD5" s="27">
        <f t="shared" si="0"/>
        <v>2.6877681475586918E-2</v>
      </c>
      <c r="BE5" s="27"/>
      <c r="BF5" s="5">
        <f>AV5/((SUM($AV$62:$AV$71)+$AV$5+(SUM($AV$20:$AV$50))+$AV$4+$AV$5)/44)</f>
        <v>0.21337028056806376</v>
      </c>
      <c r="BG5" s="5">
        <v>264.87599999999998</v>
      </c>
      <c r="BH5" s="5">
        <v>10</v>
      </c>
      <c r="BI5" s="24">
        <v>5</v>
      </c>
      <c r="BJ5" s="29" t="s">
        <v>278</v>
      </c>
      <c r="BK5" s="24">
        <v>0</v>
      </c>
      <c r="BL5" s="24"/>
      <c r="BM5" s="5" t="s">
        <v>42</v>
      </c>
      <c r="BN5" s="5" t="s">
        <v>168</v>
      </c>
      <c r="BO5" s="30" t="s">
        <v>51</v>
      </c>
      <c r="BP5" s="5"/>
    </row>
    <row r="6" spans="1:68" s="16" customFormat="1" x14ac:dyDescent="0.25">
      <c r="A6" s="4" t="s">
        <v>32</v>
      </c>
      <c r="B6" s="4">
        <v>4</v>
      </c>
      <c r="C6" s="34">
        <v>-76.781407000000002</v>
      </c>
      <c r="D6" s="34">
        <v>39.407674</v>
      </c>
      <c r="E6" s="4" t="s">
        <v>32</v>
      </c>
      <c r="F6" s="5" t="s">
        <v>262</v>
      </c>
      <c r="G6" s="5"/>
      <c r="H6" s="5"/>
      <c r="I6" s="5"/>
      <c r="J6" s="5"/>
      <c r="K6" s="5" t="s">
        <v>33</v>
      </c>
      <c r="L6" s="5" t="s">
        <v>34</v>
      </c>
      <c r="M6" s="5" t="s">
        <v>35</v>
      </c>
      <c r="N6" s="25">
        <v>175524</v>
      </c>
      <c r="O6" s="5" t="s">
        <v>36</v>
      </c>
      <c r="P6" s="64">
        <v>5</v>
      </c>
      <c r="Q6" s="64">
        <v>3</v>
      </c>
      <c r="R6" s="96">
        <v>4</v>
      </c>
      <c r="S6" s="64">
        <v>2</v>
      </c>
      <c r="T6" s="5">
        <v>2</v>
      </c>
      <c r="U6" s="5">
        <v>4</v>
      </c>
      <c r="V6" s="5">
        <v>1</v>
      </c>
      <c r="W6" s="5"/>
      <c r="X6" s="5"/>
      <c r="Y6" s="5">
        <v>2</v>
      </c>
      <c r="Z6" s="22" t="s">
        <v>314</v>
      </c>
      <c r="AA6" s="36" t="s">
        <v>444</v>
      </c>
      <c r="AB6" s="46">
        <v>4516</v>
      </c>
      <c r="AC6" s="35"/>
      <c r="AD6" s="5"/>
      <c r="AE6" s="47">
        <v>1504.1</v>
      </c>
      <c r="AF6" s="23"/>
      <c r="AG6" s="23"/>
      <c r="AH6" s="5">
        <v>116</v>
      </c>
      <c r="AI6" s="5"/>
      <c r="AJ6" s="5"/>
      <c r="AK6" s="5">
        <v>70</v>
      </c>
      <c r="AL6" s="5"/>
      <c r="AM6" s="5"/>
      <c r="AN6" s="5" t="s">
        <v>37</v>
      </c>
      <c r="AO6" s="24" t="s">
        <v>42</v>
      </c>
      <c r="AP6" s="24" t="s">
        <v>33</v>
      </c>
      <c r="AQ6" s="24" t="s">
        <v>33</v>
      </c>
      <c r="AR6" s="24" t="s">
        <v>33</v>
      </c>
      <c r="AS6" s="24" t="s">
        <v>33</v>
      </c>
      <c r="AT6" s="24" t="s">
        <v>33</v>
      </c>
      <c r="AU6" s="24" t="s">
        <v>33</v>
      </c>
      <c r="AV6" s="24">
        <v>2883</v>
      </c>
      <c r="AW6" s="24" t="s">
        <v>42</v>
      </c>
      <c r="AX6" s="24">
        <v>95</v>
      </c>
      <c r="AY6" s="24">
        <v>0</v>
      </c>
      <c r="AZ6" s="24">
        <v>0</v>
      </c>
      <c r="BA6" s="25">
        <v>2232</v>
      </c>
      <c r="BB6" s="24">
        <v>381.33333333333331</v>
      </c>
      <c r="BC6" s="26">
        <f t="shared" ref="BC6:BC12" si="1">BB6/BA6</f>
        <v>0.17084826762246116</v>
      </c>
      <c r="BD6" s="27">
        <f t="shared" si="0"/>
        <v>0.63839681133746673</v>
      </c>
      <c r="BE6" s="27">
        <f t="shared" ref="BE6:BE19" si="2">AV6/(AE6+AF6+AG6)</f>
        <v>1.9167608536666447</v>
      </c>
      <c r="BF6" s="28">
        <f>AV6/(AVERAGE($AV$6:$AV$19))</f>
        <v>6.978215767634854</v>
      </c>
      <c r="BG6" s="5">
        <v>21.648599999999998</v>
      </c>
      <c r="BH6" s="5">
        <v>3</v>
      </c>
      <c r="BI6" s="24">
        <v>0</v>
      </c>
      <c r="BJ6" s="29" t="s">
        <v>279</v>
      </c>
      <c r="BK6" s="24">
        <v>10</v>
      </c>
      <c r="BL6" s="24">
        <v>3</v>
      </c>
      <c r="BM6" s="5" t="s">
        <v>33</v>
      </c>
      <c r="BN6" s="5" t="s">
        <v>38</v>
      </c>
      <c r="BO6" s="30" t="s">
        <v>39</v>
      </c>
      <c r="BP6" s="30" t="s">
        <v>40</v>
      </c>
    </row>
    <row r="7" spans="1:68" s="16" customFormat="1" x14ac:dyDescent="0.25">
      <c r="A7" s="4" t="s">
        <v>41</v>
      </c>
      <c r="B7" s="4">
        <v>5</v>
      </c>
      <c r="C7" s="34">
        <v>-76.744460000000004</v>
      </c>
      <c r="D7" s="34">
        <v>39.371833000000002</v>
      </c>
      <c r="E7" s="4" t="s">
        <v>41</v>
      </c>
      <c r="F7" s="5" t="s">
        <v>262</v>
      </c>
      <c r="G7" s="5"/>
      <c r="H7" s="5"/>
      <c r="I7" s="5"/>
      <c r="J7" s="5"/>
      <c r="K7" s="5" t="s">
        <v>42</v>
      </c>
      <c r="L7" s="5" t="s">
        <v>34</v>
      </c>
      <c r="M7" s="5" t="s">
        <v>35</v>
      </c>
      <c r="N7" s="25">
        <v>275633</v>
      </c>
      <c r="O7" s="5" t="s">
        <v>36</v>
      </c>
      <c r="P7" s="64">
        <v>5</v>
      </c>
      <c r="Q7" s="64">
        <v>3</v>
      </c>
      <c r="R7" s="96">
        <v>5</v>
      </c>
      <c r="S7" s="64">
        <v>3</v>
      </c>
      <c r="T7" s="5">
        <v>3</v>
      </c>
      <c r="U7" s="5">
        <v>1</v>
      </c>
      <c r="V7" s="5">
        <v>1</v>
      </c>
      <c r="W7" s="5"/>
      <c r="X7" s="5"/>
      <c r="Y7" s="5">
        <v>2</v>
      </c>
      <c r="Z7" s="22" t="s">
        <v>314</v>
      </c>
      <c r="AA7" s="36" t="s">
        <v>445</v>
      </c>
      <c r="AB7" s="48">
        <v>1493</v>
      </c>
      <c r="AC7" s="35"/>
      <c r="AD7" s="5"/>
      <c r="AE7" s="49">
        <v>550.20000000000005</v>
      </c>
      <c r="AF7" s="23"/>
      <c r="AG7" s="23"/>
      <c r="AH7" s="5">
        <v>116</v>
      </c>
      <c r="AI7" s="5"/>
      <c r="AJ7" s="5"/>
      <c r="AK7" s="5">
        <v>70</v>
      </c>
      <c r="AL7" s="5"/>
      <c r="AM7" s="5"/>
      <c r="AN7" s="5" t="s">
        <v>37</v>
      </c>
      <c r="AO7" s="24" t="s">
        <v>33</v>
      </c>
      <c r="AP7" s="24" t="s">
        <v>33</v>
      </c>
      <c r="AQ7" s="24" t="s">
        <v>33</v>
      </c>
      <c r="AR7" s="24" t="s">
        <v>33</v>
      </c>
      <c r="AS7" s="24" t="s">
        <v>33</v>
      </c>
      <c r="AT7" s="24" t="s">
        <v>42</v>
      </c>
      <c r="AU7" s="24" t="s">
        <v>33</v>
      </c>
      <c r="AV7" s="24">
        <v>540</v>
      </c>
      <c r="AW7" s="24" t="s">
        <v>42</v>
      </c>
      <c r="AX7" s="24">
        <v>25</v>
      </c>
      <c r="AY7" s="24">
        <v>0</v>
      </c>
      <c r="AZ7" s="24">
        <v>0</v>
      </c>
      <c r="BA7" s="25">
        <v>411</v>
      </c>
      <c r="BB7" s="24">
        <v>362.33333333333331</v>
      </c>
      <c r="BC7" s="26">
        <f t="shared" si="1"/>
        <v>0.88158961881589615</v>
      </c>
      <c r="BD7" s="27">
        <f t="shared" si="0"/>
        <v>0.36168787675820496</v>
      </c>
      <c r="BE7" s="27">
        <f t="shared" si="2"/>
        <v>0.98146128680479816</v>
      </c>
      <c r="BF7" s="28">
        <f t="shared" ref="BF7:BF19" si="3">AV7/(AVERAGE($AV$6:$AV$19))</f>
        <v>1.3070539419087137</v>
      </c>
      <c r="BG7" s="5">
        <v>57.305</v>
      </c>
      <c r="BH7" s="5">
        <v>5</v>
      </c>
      <c r="BI7" s="24">
        <v>2</v>
      </c>
      <c r="BJ7" s="29" t="s">
        <v>280</v>
      </c>
      <c r="BK7" s="24">
        <v>8</v>
      </c>
      <c r="BL7" s="24">
        <v>0</v>
      </c>
      <c r="BM7" s="5" t="s">
        <v>42</v>
      </c>
      <c r="BN7" s="5" t="s">
        <v>43</v>
      </c>
      <c r="BO7" s="30" t="s">
        <v>39</v>
      </c>
      <c r="BP7" s="5"/>
    </row>
    <row r="8" spans="1:68" s="16" customFormat="1" x14ac:dyDescent="0.25">
      <c r="A8" s="4" t="s">
        <v>44</v>
      </c>
      <c r="B8" s="4">
        <v>6</v>
      </c>
      <c r="C8" s="34">
        <v>-76.721414999999993</v>
      </c>
      <c r="D8" s="34">
        <v>39.359546000000002</v>
      </c>
      <c r="E8" s="4" t="s">
        <v>44</v>
      </c>
      <c r="F8" s="5" t="s">
        <v>262</v>
      </c>
      <c r="G8" s="5"/>
      <c r="H8" s="5"/>
      <c r="I8" s="5"/>
      <c r="J8" s="5"/>
      <c r="K8" s="5" t="s">
        <v>42</v>
      </c>
      <c r="L8" s="5" t="s">
        <v>34</v>
      </c>
      <c r="M8" s="5" t="s">
        <v>35</v>
      </c>
      <c r="N8" s="25">
        <v>319823</v>
      </c>
      <c r="O8" s="5" t="s">
        <v>36</v>
      </c>
      <c r="P8" s="64">
        <v>5</v>
      </c>
      <c r="Q8" s="64">
        <v>3</v>
      </c>
      <c r="R8" s="96">
        <v>5</v>
      </c>
      <c r="S8" s="64">
        <v>4</v>
      </c>
      <c r="T8" s="5">
        <v>4</v>
      </c>
      <c r="U8" s="5">
        <v>1</v>
      </c>
      <c r="V8" s="5">
        <v>1</v>
      </c>
      <c r="W8" s="5"/>
      <c r="X8" s="5"/>
      <c r="Y8" s="5">
        <v>2</v>
      </c>
      <c r="Z8" s="22" t="s">
        <v>314</v>
      </c>
      <c r="AA8" s="22">
        <v>54</v>
      </c>
      <c r="AB8" s="48">
        <v>1809</v>
      </c>
      <c r="AC8" s="35"/>
      <c r="AD8" s="5"/>
      <c r="AE8" s="49">
        <v>717</v>
      </c>
      <c r="AF8" s="23"/>
      <c r="AG8" s="23"/>
      <c r="AH8" s="5">
        <v>116</v>
      </c>
      <c r="AI8" s="5"/>
      <c r="AJ8" s="5"/>
      <c r="AK8" s="5">
        <v>70</v>
      </c>
      <c r="AL8" s="5"/>
      <c r="AM8" s="5"/>
      <c r="AN8" s="5" t="s">
        <v>37</v>
      </c>
      <c r="AO8" s="24" t="s">
        <v>33</v>
      </c>
      <c r="AP8" s="24" t="s">
        <v>33</v>
      </c>
      <c r="AQ8" s="24" t="s">
        <v>33</v>
      </c>
      <c r="AR8" s="24" t="s">
        <v>33</v>
      </c>
      <c r="AS8" s="24" t="s">
        <v>33</v>
      </c>
      <c r="AT8" s="24" t="s">
        <v>42</v>
      </c>
      <c r="AU8" s="24" t="s">
        <v>33</v>
      </c>
      <c r="AV8" s="24">
        <v>1000</v>
      </c>
      <c r="AW8" s="24" t="s">
        <v>42</v>
      </c>
      <c r="AX8" s="24">
        <v>44</v>
      </c>
      <c r="AY8" s="24">
        <v>0</v>
      </c>
      <c r="AZ8" s="24">
        <v>0</v>
      </c>
      <c r="BA8" s="25">
        <v>677</v>
      </c>
      <c r="BB8" s="24">
        <v>535.33333333333337</v>
      </c>
      <c r="BC8" s="26">
        <f t="shared" si="1"/>
        <v>0.79074347612013796</v>
      </c>
      <c r="BD8" s="27">
        <f t="shared" si="0"/>
        <v>0.55279159756771701</v>
      </c>
      <c r="BE8" s="27">
        <f t="shared" si="2"/>
        <v>1.394700139470014</v>
      </c>
      <c r="BF8" s="28">
        <f t="shared" si="3"/>
        <v>2.4204702627939141</v>
      </c>
      <c r="BG8" s="5">
        <v>86.594200000000001</v>
      </c>
      <c r="BH8" s="5">
        <v>6</v>
      </c>
      <c r="BI8" s="24">
        <v>2</v>
      </c>
      <c r="BJ8" s="29" t="s">
        <v>280</v>
      </c>
      <c r="BK8" s="24">
        <v>10</v>
      </c>
      <c r="BL8" s="24">
        <v>0</v>
      </c>
      <c r="BM8" s="5" t="s">
        <v>33</v>
      </c>
      <c r="BN8" s="5" t="s">
        <v>43</v>
      </c>
      <c r="BO8" s="30" t="s">
        <v>39</v>
      </c>
      <c r="BP8" s="30" t="s">
        <v>45</v>
      </c>
    </row>
    <row r="9" spans="1:68" s="16" customFormat="1" x14ac:dyDescent="0.25">
      <c r="A9" s="4" t="s">
        <v>46</v>
      </c>
      <c r="B9" s="4">
        <v>7</v>
      </c>
      <c r="C9" s="34">
        <v>-76.705895999999996</v>
      </c>
      <c r="D9" s="34">
        <v>39.352452</v>
      </c>
      <c r="E9" s="4" t="s">
        <v>46</v>
      </c>
      <c r="F9" s="5" t="s">
        <v>262</v>
      </c>
      <c r="G9" s="5"/>
      <c r="H9" s="5"/>
      <c r="I9" s="5"/>
      <c r="J9" s="5"/>
      <c r="K9" s="5" t="s">
        <v>33</v>
      </c>
      <c r="L9" s="5" t="s">
        <v>47</v>
      </c>
      <c r="M9" s="5" t="s">
        <v>48</v>
      </c>
      <c r="N9" s="25">
        <v>400814</v>
      </c>
      <c r="O9" s="5" t="s">
        <v>49</v>
      </c>
      <c r="P9" s="64">
        <v>5</v>
      </c>
      <c r="Q9" s="64">
        <v>2</v>
      </c>
      <c r="R9" s="96">
        <v>5</v>
      </c>
      <c r="S9" s="64">
        <v>3</v>
      </c>
      <c r="T9" s="5">
        <v>4</v>
      </c>
      <c r="U9" s="5">
        <v>5</v>
      </c>
      <c r="V9" s="5">
        <v>1</v>
      </c>
      <c r="W9" s="5"/>
      <c r="X9" s="5"/>
      <c r="Y9" s="5">
        <v>2</v>
      </c>
      <c r="Z9" s="22" t="s">
        <v>314</v>
      </c>
      <c r="AA9" s="36" t="s">
        <v>446</v>
      </c>
      <c r="AB9" s="48">
        <v>2469</v>
      </c>
      <c r="AC9" s="35"/>
      <c r="AD9" s="5"/>
      <c r="AE9" s="49">
        <v>1000</v>
      </c>
      <c r="AF9" s="23"/>
      <c r="AG9" s="23"/>
      <c r="AH9" s="5">
        <v>117</v>
      </c>
      <c r="AI9" s="5"/>
      <c r="AJ9" s="5"/>
      <c r="AK9" s="5">
        <v>71</v>
      </c>
      <c r="AL9" s="5"/>
      <c r="AM9" s="5"/>
      <c r="AN9" s="5" t="s">
        <v>37</v>
      </c>
      <c r="AO9" s="24" t="s">
        <v>42</v>
      </c>
      <c r="AP9" s="24" t="s">
        <v>33</v>
      </c>
      <c r="AQ9" s="24" t="s">
        <v>33</v>
      </c>
      <c r="AR9" s="24" t="s">
        <v>33</v>
      </c>
      <c r="AS9" s="24" t="s">
        <v>33</v>
      </c>
      <c r="AT9" s="24" t="s">
        <v>42</v>
      </c>
      <c r="AU9" s="24" t="s">
        <v>33</v>
      </c>
      <c r="AV9" s="24">
        <v>675</v>
      </c>
      <c r="AW9" s="24" t="s">
        <v>42</v>
      </c>
      <c r="AX9" s="24">
        <v>22</v>
      </c>
      <c r="AY9" s="24">
        <v>0</v>
      </c>
      <c r="AZ9" s="24">
        <v>0</v>
      </c>
      <c r="BA9" s="25">
        <v>258</v>
      </c>
      <c r="BB9" s="24">
        <v>403</v>
      </c>
      <c r="BC9" s="26">
        <f t="shared" si="1"/>
        <v>1.5620155038759691</v>
      </c>
      <c r="BD9" s="27">
        <f t="shared" si="0"/>
        <v>0.27339003645200488</v>
      </c>
      <c r="BE9" s="27">
        <f t="shared" si="2"/>
        <v>0.67500000000000004</v>
      </c>
      <c r="BF9" s="28">
        <f t="shared" si="3"/>
        <v>1.6338174273858921</v>
      </c>
      <c r="BG9" s="5">
        <v>99.328599999999994</v>
      </c>
      <c r="BH9" s="5">
        <v>6</v>
      </c>
      <c r="BI9" s="24">
        <v>2</v>
      </c>
      <c r="BJ9" s="29" t="s">
        <v>280</v>
      </c>
      <c r="BK9" s="24">
        <v>10</v>
      </c>
      <c r="BL9" s="24">
        <v>0</v>
      </c>
      <c r="BM9" s="5" t="s">
        <v>42</v>
      </c>
      <c r="BN9" s="5" t="s">
        <v>50</v>
      </c>
      <c r="BO9" s="30" t="s">
        <v>51</v>
      </c>
      <c r="BP9" s="30" t="s">
        <v>52</v>
      </c>
    </row>
    <row r="10" spans="1:68" s="16" customFormat="1" x14ac:dyDescent="0.25">
      <c r="A10" s="4" t="s">
        <v>53</v>
      </c>
      <c r="B10" s="4">
        <v>8</v>
      </c>
      <c r="C10" s="34">
        <v>-76.693504000000004</v>
      </c>
      <c r="D10" s="34">
        <v>39.344458000000003</v>
      </c>
      <c r="E10" s="4" t="s">
        <v>53</v>
      </c>
      <c r="F10" s="5" t="s">
        <v>262</v>
      </c>
      <c r="G10" s="5"/>
      <c r="H10" s="5"/>
      <c r="I10" s="5"/>
      <c r="J10" s="5"/>
      <c r="K10" s="5" t="s">
        <v>42</v>
      </c>
      <c r="L10" s="5" t="s">
        <v>47</v>
      </c>
      <c r="M10" s="5" t="s">
        <v>48</v>
      </c>
      <c r="N10" s="25">
        <v>470630</v>
      </c>
      <c r="O10" s="5" t="s">
        <v>49</v>
      </c>
      <c r="P10" s="64">
        <v>5</v>
      </c>
      <c r="Q10" s="64">
        <v>3</v>
      </c>
      <c r="R10" s="96">
        <v>5</v>
      </c>
      <c r="S10" s="64">
        <v>3</v>
      </c>
      <c r="T10" s="5">
        <v>4</v>
      </c>
      <c r="U10" s="5">
        <v>5</v>
      </c>
      <c r="V10" s="5">
        <v>1</v>
      </c>
      <c r="W10" s="5"/>
      <c r="X10" s="5"/>
      <c r="Y10" s="5">
        <v>2</v>
      </c>
      <c r="Z10" s="22" t="s">
        <v>314</v>
      </c>
      <c r="AA10" s="36" t="s">
        <v>447</v>
      </c>
      <c r="AB10" s="48">
        <v>2974</v>
      </c>
      <c r="AC10" s="35"/>
      <c r="AD10" s="5"/>
      <c r="AE10" s="49">
        <v>1322.3</v>
      </c>
      <c r="AF10" s="23"/>
      <c r="AG10" s="23"/>
      <c r="AH10" s="5">
        <v>117</v>
      </c>
      <c r="AI10" s="5"/>
      <c r="AJ10" s="5"/>
      <c r="AK10" s="5">
        <v>71</v>
      </c>
      <c r="AL10" s="5"/>
      <c r="AM10" s="5"/>
      <c r="AN10" s="5" t="s">
        <v>37</v>
      </c>
      <c r="AO10" s="24" t="s">
        <v>33</v>
      </c>
      <c r="AP10" s="24" t="s">
        <v>33</v>
      </c>
      <c r="AQ10" s="24" t="s">
        <v>33</v>
      </c>
      <c r="AR10" s="24" t="s">
        <v>33</v>
      </c>
      <c r="AS10" s="24" t="s">
        <v>33</v>
      </c>
      <c r="AT10" s="24" t="s">
        <v>42</v>
      </c>
      <c r="AU10" s="24" t="s">
        <v>33</v>
      </c>
      <c r="AV10" s="24">
        <v>318</v>
      </c>
      <c r="AW10" s="24" t="s">
        <v>42</v>
      </c>
      <c r="AX10" s="24">
        <v>19</v>
      </c>
      <c r="AY10" s="24">
        <v>0</v>
      </c>
      <c r="AZ10" s="24">
        <v>0</v>
      </c>
      <c r="BA10" s="25">
        <v>266</v>
      </c>
      <c r="BB10" s="24">
        <v>238.33333333333334</v>
      </c>
      <c r="BC10" s="26">
        <f t="shared" si="1"/>
        <v>0.89598997493734345</v>
      </c>
      <c r="BD10" s="27">
        <f t="shared" si="0"/>
        <v>0.10692669804976462</v>
      </c>
      <c r="BE10" s="27">
        <f t="shared" si="2"/>
        <v>0.24049005520683658</v>
      </c>
      <c r="BF10" s="28">
        <f t="shared" si="3"/>
        <v>0.76970954356846466</v>
      </c>
      <c r="BG10" s="5">
        <v>191.017</v>
      </c>
      <c r="BH10" s="5">
        <v>6</v>
      </c>
      <c r="BI10" s="24">
        <v>2</v>
      </c>
      <c r="BJ10" s="29" t="s">
        <v>280</v>
      </c>
      <c r="BK10" s="24">
        <v>10</v>
      </c>
      <c r="BL10" s="24">
        <v>0</v>
      </c>
      <c r="BM10" s="5" t="s">
        <v>33</v>
      </c>
      <c r="BN10" s="5" t="s">
        <v>54</v>
      </c>
      <c r="BO10" s="30" t="s">
        <v>51</v>
      </c>
      <c r="BP10" s="5"/>
    </row>
    <row r="11" spans="1:68" s="16" customFormat="1" x14ac:dyDescent="0.25">
      <c r="A11" s="4" t="s">
        <v>351</v>
      </c>
      <c r="B11" s="4">
        <v>9</v>
      </c>
      <c r="C11" s="34">
        <v>-76.673412999999996</v>
      </c>
      <c r="D11" s="34">
        <v>39.337018</v>
      </c>
      <c r="E11" s="4" t="s">
        <v>351</v>
      </c>
      <c r="F11" s="5" t="s">
        <v>262</v>
      </c>
      <c r="G11" s="5"/>
      <c r="H11" s="5"/>
      <c r="I11" s="5"/>
      <c r="J11" s="5"/>
      <c r="K11" s="5" t="s">
        <v>42</v>
      </c>
      <c r="L11" s="5" t="s">
        <v>47</v>
      </c>
      <c r="M11" s="5" t="s">
        <v>48</v>
      </c>
      <c r="N11" s="25">
        <v>546561</v>
      </c>
      <c r="O11" s="5" t="s">
        <v>49</v>
      </c>
      <c r="P11" s="64">
        <v>5</v>
      </c>
      <c r="Q11" s="64">
        <v>3</v>
      </c>
      <c r="R11" s="96">
        <v>5</v>
      </c>
      <c r="S11" s="64">
        <v>4</v>
      </c>
      <c r="T11" s="5">
        <v>4</v>
      </c>
      <c r="U11" s="5">
        <v>5</v>
      </c>
      <c r="V11" s="5">
        <v>1</v>
      </c>
      <c r="W11" s="5"/>
      <c r="X11" s="5"/>
      <c r="Y11" s="5">
        <v>3</v>
      </c>
      <c r="Z11" s="22" t="s">
        <v>315</v>
      </c>
      <c r="AA11" s="36" t="s">
        <v>448</v>
      </c>
      <c r="AB11" s="48">
        <v>1921</v>
      </c>
      <c r="AC11" s="35"/>
      <c r="AD11" s="5"/>
      <c r="AE11" s="49">
        <v>925.2</v>
      </c>
      <c r="AF11" s="23"/>
      <c r="AG11" s="23"/>
      <c r="AH11" s="5">
        <v>117</v>
      </c>
      <c r="AI11" s="5"/>
      <c r="AJ11" s="5"/>
      <c r="AK11" s="5">
        <v>71</v>
      </c>
      <c r="AL11" s="5"/>
      <c r="AM11" s="5"/>
      <c r="AN11" s="5" t="s">
        <v>37</v>
      </c>
      <c r="AO11" s="24" t="s">
        <v>33</v>
      </c>
      <c r="AP11" s="24" t="s">
        <v>33</v>
      </c>
      <c r="AQ11" s="24" t="s">
        <v>33</v>
      </c>
      <c r="AR11" s="24" t="s">
        <v>33</v>
      </c>
      <c r="AS11" s="24" t="s">
        <v>33</v>
      </c>
      <c r="AT11" s="24" t="s">
        <v>42</v>
      </c>
      <c r="AU11" s="24" t="s">
        <v>33</v>
      </c>
      <c r="AV11" s="24">
        <v>235</v>
      </c>
      <c r="AW11" s="24" t="s">
        <v>42</v>
      </c>
      <c r="AX11" s="24">
        <v>12</v>
      </c>
      <c r="AY11" s="24">
        <v>0</v>
      </c>
      <c r="AZ11" s="24">
        <v>0</v>
      </c>
      <c r="BA11" s="25">
        <v>137</v>
      </c>
      <c r="BB11" s="24">
        <v>142</v>
      </c>
      <c r="BC11" s="26">
        <f t="shared" si="1"/>
        <v>1.0364963503649636</v>
      </c>
      <c r="BD11" s="27">
        <f t="shared" si="0"/>
        <v>0.12233211868818324</v>
      </c>
      <c r="BE11" s="27">
        <f t="shared" si="2"/>
        <v>0.25399913532209251</v>
      </c>
      <c r="BF11" s="28">
        <f t="shared" si="3"/>
        <v>0.56881051175656983</v>
      </c>
      <c r="BG11" s="5">
        <v>217.75899999999999</v>
      </c>
      <c r="BH11" s="5">
        <v>7</v>
      </c>
      <c r="BI11" s="24">
        <v>2</v>
      </c>
      <c r="BJ11" s="29" t="s">
        <v>280</v>
      </c>
      <c r="BK11" s="24">
        <v>10</v>
      </c>
      <c r="BL11" s="24">
        <v>0</v>
      </c>
      <c r="BM11" s="5" t="s">
        <v>42</v>
      </c>
      <c r="BN11" s="5" t="s">
        <v>54</v>
      </c>
      <c r="BO11" s="30" t="s">
        <v>51</v>
      </c>
      <c r="BP11" s="5"/>
    </row>
    <row r="12" spans="1:68" s="16" customFormat="1" x14ac:dyDescent="0.25">
      <c r="A12" s="4" t="s">
        <v>56</v>
      </c>
      <c r="B12" s="4">
        <v>10</v>
      </c>
      <c r="C12" s="34">
        <v>-76.652789999999996</v>
      </c>
      <c r="D12" s="34">
        <v>39.318272999999998</v>
      </c>
      <c r="E12" s="4" t="s">
        <v>56</v>
      </c>
      <c r="F12" s="5" t="s">
        <v>262</v>
      </c>
      <c r="G12" s="5"/>
      <c r="H12" s="5"/>
      <c r="I12" s="5"/>
      <c r="J12" s="5"/>
      <c r="K12" s="5" t="s">
        <v>42</v>
      </c>
      <c r="L12" s="5" t="s">
        <v>47</v>
      </c>
      <c r="M12" s="5" t="s">
        <v>48</v>
      </c>
      <c r="N12" s="25">
        <v>622731</v>
      </c>
      <c r="O12" s="5" t="s">
        <v>49</v>
      </c>
      <c r="P12" s="64">
        <v>5</v>
      </c>
      <c r="Q12" s="64">
        <v>3</v>
      </c>
      <c r="R12" s="96">
        <v>3</v>
      </c>
      <c r="S12" s="64">
        <v>3</v>
      </c>
      <c r="T12" s="5">
        <v>4</v>
      </c>
      <c r="U12" s="5">
        <v>5</v>
      </c>
      <c r="V12" s="5">
        <v>1</v>
      </c>
      <c r="W12" s="5"/>
      <c r="X12" s="5"/>
      <c r="Y12" s="5">
        <v>3</v>
      </c>
      <c r="Z12" s="22" t="s">
        <v>315</v>
      </c>
      <c r="AA12" s="36" t="s">
        <v>449</v>
      </c>
      <c r="AB12" s="48">
        <v>6122</v>
      </c>
      <c r="AC12" s="35"/>
      <c r="AD12" s="5"/>
      <c r="AE12" s="49">
        <v>3082.1</v>
      </c>
      <c r="AF12" s="23"/>
      <c r="AG12" s="23"/>
      <c r="AH12" s="5">
        <v>117</v>
      </c>
      <c r="AI12" s="5"/>
      <c r="AJ12" s="5"/>
      <c r="AK12" s="5">
        <v>71</v>
      </c>
      <c r="AL12" s="5"/>
      <c r="AM12" s="5"/>
      <c r="AN12" s="5" t="s">
        <v>57</v>
      </c>
      <c r="AO12" s="24" t="s">
        <v>33</v>
      </c>
      <c r="AP12" s="24" t="s">
        <v>33</v>
      </c>
      <c r="AQ12" s="24" t="s">
        <v>33</v>
      </c>
      <c r="AR12" s="24" t="s">
        <v>33</v>
      </c>
      <c r="AS12" s="24" t="s">
        <v>33</v>
      </c>
      <c r="AT12" s="24" t="s">
        <v>42</v>
      </c>
      <c r="AU12" s="24" t="s">
        <v>33</v>
      </c>
      <c r="AV12" s="24">
        <v>133</v>
      </c>
      <c r="AW12" s="24" t="s">
        <v>42</v>
      </c>
      <c r="AX12" s="24">
        <v>6</v>
      </c>
      <c r="AY12" s="24">
        <v>0</v>
      </c>
      <c r="AZ12" s="24">
        <v>0</v>
      </c>
      <c r="BA12" s="25">
        <v>133</v>
      </c>
      <c r="BB12" s="24">
        <v>137.66666666666666</v>
      </c>
      <c r="BC12" s="26">
        <f t="shared" si="1"/>
        <v>1.0350877192982455</v>
      </c>
      <c r="BD12" s="27">
        <f t="shared" si="0"/>
        <v>2.1724926494609605E-2</v>
      </c>
      <c r="BE12" s="27">
        <f t="shared" si="2"/>
        <v>4.3152396093572562E-2</v>
      </c>
      <c r="BF12" s="28">
        <f t="shared" si="3"/>
        <v>0.32192254495159056</v>
      </c>
      <c r="BG12" s="5">
        <v>196.11</v>
      </c>
      <c r="BH12" s="5">
        <v>6</v>
      </c>
      <c r="BI12" s="24">
        <v>0</v>
      </c>
      <c r="BJ12" s="29" t="s">
        <v>279</v>
      </c>
      <c r="BK12" s="24">
        <v>10</v>
      </c>
      <c r="BL12" s="24">
        <v>0</v>
      </c>
      <c r="BM12" s="5" t="s">
        <v>33</v>
      </c>
      <c r="BN12" s="5" t="s">
        <v>58</v>
      </c>
      <c r="BO12" s="30" t="s">
        <v>51</v>
      </c>
      <c r="BP12" s="5"/>
    </row>
    <row r="13" spans="1:68" s="16" customFormat="1" x14ac:dyDescent="0.25">
      <c r="A13" s="4" t="s">
        <v>59</v>
      </c>
      <c r="B13" s="4">
        <v>11</v>
      </c>
      <c r="C13" s="34">
        <v>-76.642858000000004</v>
      </c>
      <c r="D13" s="34">
        <v>39.309933000000001</v>
      </c>
      <c r="E13" s="4" t="s">
        <v>59</v>
      </c>
      <c r="F13" s="5" t="s">
        <v>262</v>
      </c>
      <c r="G13" s="5"/>
      <c r="H13" s="5"/>
      <c r="I13" s="5"/>
      <c r="J13" s="5"/>
      <c r="K13" s="5" t="s">
        <v>42</v>
      </c>
      <c r="L13" s="5" t="s">
        <v>47</v>
      </c>
      <c r="M13" s="5" t="s">
        <v>48</v>
      </c>
      <c r="N13" s="25">
        <v>623771</v>
      </c>
      <c r="O13" s="5" t="s">
        <v>49</v>
      </c>
      <c r="P13" s="64">
        <v>5</v>
      </c>
      <c r="Q13" s="64">
        <v>3</v>
      </c>
      <c r="R13" s="96">
        <v>1</v>
      </c>
      <c r="S13" s="64">
        <v>4</v>
      </c>
      <c r="T13" s="5">
        <v>5</v>
      </c>
      <c r="U13" s="5">
        <v>5</v>
      </c>
      <c r="V13" s="5">
        <v>1</v>
      </c>
      <c r="W13" s="5"/>
      <c r="X13" s="5"/>
      <c r="Y13" s="5">
        <v>2</v>
      </c>
      <c r="Z13" s="22" t="s">
        <v>314</v>
      </c>
      <c r="AA13" s="36" t="s">
        <v>450</v>
      </c>
      <c r="AB13" s="48">
        <v>3349</v>
      </c>
      <c r="AC13" s="35"/>
      <c r="AD13" s="5"/>
      <c r="AE13" s="49">
        <v>1665</v>
      </c>
      <c r="AF13" s="23"/>
      <c r="AG13" s="23"/>
      <c r="AH13" s="5">
        <v>117</v>
      </c>
      <c r="AI13" s="5"/>
      <c r="AJ13" s="5"/>
      <c r="AK13" s="5">
        <v>71</v>
      </c>
      <c r="AL13" s="5"/>
      <c r="AM13" s="5"/>
      <c r="AN13" s="5" t="s">
        <v>57</v>
      </c>
      <c r="AO13" s="24" t="s">
        <v>33</v>
      </c>
      <c r="AP13" s="24" t="s">
        <v>33</v>
      </c>
      <c r="AQ13" s="24" t="s">
        <v>33</v>
      </c>
      <c r="AR13" s="24" t="s">
        <v>33</v>
      </c>
      <c r="AS13" s="24" t="s">
        <v>33</v>
      </c>
      <c r="AT13" s="24" t="s">
        <v>42</v>
      </c>
      <c r="AU13" s="24" t="s">
        <v>33</v>
      </c>
      <c r="AV13" s="24">
        <v>0</v>
      </c>
      <c r="AW13" s="24" t="s">
        <v>42</v>
      </c>
      <c r="AX13" s="24">
        <v>0</v>
      </c>
      <c r="AY13" s="24">
        <v>0</v>
      </c>
      <c r="AZ13" s="24">
        <v>0</v>
      </c>
      <c r="BA13" s="25">
        <v>0</v>
      </c>
      <c r="BB13" s="24"/>
      <c r="BC13" s="26"/>
      <c r="BD13" s="27">
        <f t="shared" si="0"/>
        <v>0</v>
      </c>
      <c r="BE13" s="27">
        <f t="shared" si="2"/>
        <v>0</v>
      </c>
      <c r="BF13" s="28">
        <f t="shared" si="3"/>
        <v>0</v>
      </c>
      <c r="BG13" s="5">
        <v>342.55599999999998</v>
      </c>
      <c r="BH13" s="5">
        <v>8</v>
      </c>
      <c r="BI13" s="24">
        <v>0</v>
      </c>
      <c r="BJ13" s="29" t="s">
        <v>279</v>
      </c>
      <c r="BK13" s="24">
        <v>0</v>
      </c>
      <c r="BL13" s="24"/>
      <c r="BM13" s="5" t="s">
        <v>42</v>
      </c>
      <c r="BN13" s="5" t="s">
        <v>60</v>
      </c>
      <c r="BO13" s="30" t="s">
        <v>51</v>
      </c>
      <c r="BP13" s="5"/>
    </row>
    <row r="14" spans="1:68" s="16" customFormat="1" x14ac:dyDescent="0.25">
      <c r="A14" s="4" t="s">
        <v>61</v>
      </c>
      <c r="B14" s="4">
        <v>12</v>
      </c>
      <c r="C14" s="34">
        <v>-76.636859999999999</v>
      </c>
      <c r="D14" s="34">
        <v>39.304782000000003</v>
      </c>
      <c r="E14" s="4" t="s">
        <v>61</v>
      </c>
      <c r="F14" s="5" t="s">
        <v>262</v>
      </c>
      <c r="G14" s="5"/>
      <c r="H14" s="5"/>
      <c r="I14" s="5"/>
      <c r="J14" s="5"/>
      <c r="K14" s="5" t="s">
        <v>42</v>
      </c>
      <c r="L14" s="5" t="s">
        <v>47</v>
      </c>
      <c r="M14" s="5" t="s">
        <v>48</v>
      </c>
      <c r="N14" s="25">
        <v>608105</v>
      </c>
      <c r="O14" s="5" t="s">
        <v>49</v>
      </c>
      <c r="P14" s="64">
        <v>5</v>
      </c>
      <c r="Q14" s="64">
        <v>1</v>
      </c>
      <c r="R14" s="96">
        <v>1</v>
      </c>
      <c r="S14" s="64">
        <v>4</v>
      </c>
      <c r="T14" s="5">
        <v>5</v>
      </c>
      <c r="U14" s="5">
        <v>5</v>
      </c>
      <c r="V14" s="5">
        <v>1</v>
      </c>
      <c r="W14" s="5"/>
      <c r="X14" s="5"/>
      <c r="Y14" s="5">
        <v>2</v>
      </c>
      <c r="Z14" s="22" t="s">
        <v>314</v>
      </c>
      <c r="AA14" s="22">
        <v>7</v>
      </c>
      <c r="AB14" s="48">
        <v>1919</v>
      </c>
      <c r="AC14" s="35"/>
      <c r="AD14" s="5"/>
      <c r="AE14" s="49">
        <v>1052.8</v>
      </c>
      <c r="AF14" s="23"/>
      <c r="AG14" s="23"/>
      <c r="AH14" s="5">
        <v>117</v>
      </c>
      <c r="AI14" s="5"/>
      <c r="AJ14" s="5"/>
      <c r="AK14" s="5">
        <v>71</v>
      </c>
      <c r="AL14" s="5"/>
      <c r="AM14" s="5"/>
      <c r="AN14" s="5" t="s">
        <v>57</v>
      </c>
      <c r="AO14" s="24" t="s">
        <v>42</v>
      </c>
      <c r="AP14" s="24" t="s">
        <v>33</v>
      </c>
      <c r="AQ14" s="24" t="s">
        <v>33</v>
      </c>
      <c r="AR14" s="24" t="s">
        <v>42</v>
      </c>
      <c r="AS14" s="24" t="s">
        <v>42</v>
      </c>
      <c r="AT14" s="24" t="s">
        <v>42</v>
      </c>
      <c r="AU14" s="24" t="s">
        <v>33</v>
      </c>
      <c r="AV14" s="24">
        <v>0</v>
      </c>
      <c r="AW14" s="24" t="s">
        <v>42</v>
      </c>
      <c r="AX14" s="24">
        <v>0</v>
      </c>
      <c r="AY14" s="24">
        <v>0</v>
      </c>
      <c r="AZ14" s="24">
        <v>0</v>
      </c>
      <c r="BA14" s="25">
        <v>0</v>
      </c>
      <c r="BB14" s="24"/>
      <c r="BC14" s="26"/>
      <c r="BD14" s="27">
        <f t="shared" si="0"/>
        <v>0</v>
      </c>
      <c r="BE14" s="27">
        <f t="shared" si="2"/>
        <v>0</v>
      </c>
      <c r="BF14" s="28">
        <f t="shared" si="3"/>
        <v>0</v>
      </c>
      <c r="BG14" s="5">
        <v>352.74400000000003</v>
      </c>
      <c r="BH14" s="5">
        <v>8</v>
      </c>
      <c r="BI14" s="24">
        <v>0</v>
      </c>
      <c r="BJ14" s="29" t="s">
        <v>279</v>
      </c>
      <c r="BK14" s="24">
        <v>0</v>
      </c>
      <c r="BL14" s="24"/>
      <c r="BM14" s="5" t="s">
        <v>33</v>
      </c>
      <c r="BN14" s="5" t="s">
        <v>62</v>
      </c>
      <c r="BO14" s="30" t="s">
        <v>51</v>
      </c>
      <c r="BP14" s="5"/>
    </row>
    <row r="15" spans="1:68" s="16" customFormat="1" x14ac:dyDescent="0.25">
      <c r="A15" s="4" t="s">
        <v>63</v>
      </c>
      <c r="B15" s="4">
        <v>13</v>
      </c>
      <c r="C15" s="34">
        <v>-76.623459999999994</v>
      </c>
      <c r="D15" s="34">
        <v>39.301358</v>
      </c>
      <c r="E15" s="4" t="s">
        <v>63</v>
      </c>
      <c r="F15" s="5" t="s">
        <v>262</v>
      </c>
      <c r="G15" s="5"/>
      <c r="H15" s="5"/>
      <c r="I15" s="5"/>
      <c r="J15" s="5"/>
      <c r="K15" s="5" t="s">
        <v>33</v>
      </c>
      <c r="L15" s="5" t="s">
        <v>47</v>
      </c>
      <c r="M15" s="5" t="s">
        <v>64</v>
      </c>
      <c r="N15" s="25">
        <v>598132</v>
      </c>
      <c r="O15" s="5" t="s">
        <v>65</v>
      </c>
      <c r="P15" s="64">
        <v>5</v>
      </c>
      <c r="Q15" s="64">
        <v>1</v>
      </c>
      <c r="R15" s="96">
        <v>1</v>
      </c>
      <c r="S15" s="64">
        <v>5</v>
      </c>
      <c r="T15" s="5">
        <v>5</v>
      </c>
      <c r="U15" s="5">
        <v>5</v>
      </c>
      <c r="V15" s="5">
        <v>1</v>
      </c>
      <c r="W15" s="5"/>
      <c r="X15" s="5"/>
      <c r="Y15" s="5">
        <v>3</v>
      </c>
      <c r="Z15" s="22" t="s">
        <v>316</v>
      </c>
      <c r="AA15" s="36" t="s">
        <v>451</v>
      </c>
      <c r="AB15" s="48">
        <v>2140</v>
      </c>
      <c r="AC15" s="35"/>
      <c r="AD15" s="5"/>
      <c r="AE15" s="49">
        <v>672.9</v>
      </c>
      <c r="AF15" s="23"/>
      <c r="AG15" s="23"/>
      <c r="AH15" s="5">
        <v>117</v>
      </c>
      <c r="AI15" s="5"/>
      <c r="AJ15" s="5"/>
      <c r="AK15" s="5">
        <v>71</v>
      </c>
      <c r="AL15" s="5"/>
      <c r="AM15" s="5"/>
      <c r="AN15" s="5" t="s">
        <v>57</v>
      </c>
      <c r="AO15" s="24" t="s">
        <v>33</v>
      </c>
      <c r="AP15" s="24" t="s">
        <v>33</v>
      </c>
      <c r="AQ15" s="24" t="s">
        <v>33</v>
      </c>
      <c r="AR15" s="24" t="s">
        <v>42</v>
      </c>
      <c r="AS15" s="24" t="s">
        <v>42</v>
      </c>
      <c r="AT15" s="24" t="s">
        <v>42</v>
      </c>
      <c r="AU15" s="24" t="s">
        <v>33</v>
      </c>
      <c r="AV15" s="24">
        <v>0</v>
      </c>
      <c r="AW15" s="24" t="s">
        <v>42</v>
      </c>
      <c r="AX15" s="24">
        <v>0</v>
      </c>
      <c r="AY15" s="24">
        <v>0</v>
      </c>
      <c r="AZ15" s="24">
        <v>0</v>
      </c>
      <c r="BA15" s="25">
        <v>0</v>
      </c>
      <c r="BB15" s="24"/>
      <c r="BC15" s="26"/>
      <c r="BD15" s="27">
        <f t="shared" si="0"/>
        <v>0</v>
      </c>
      <c r="BE15" s="27">
        <f t="shared" si="2"/>
        <v>0</v>
      </c>
      <c r="BF15" s="28">
        <f t="shared" si="3"/>
        <v>0</v>
      </c>
      <c r="BG15" s="5">
        <v>342.55599999999998</v>
      </c>
      <c r="BH15" s="5">
        <v>11</v>
      </c>
      <c r="BI15" s="24">
        <v>0</v>
      </c>
      <c r="BJ15" s="29" t="s">
        <v>279</v>
      </c>
      <c r="BK15" s="24">
        <v>0</v>
      </c>
      <c r="BL15" s="24"/>
      <c r="BM15" s="5" t="s">
        <v>42</v>
      </c>
      <c r="BN15" s="5" t="s">
        <v>66</v>
      </c>
      <c r="BO15" s="30" t="s">
        <v>51</v>
      </c>
      <c r="BP15" s="30" t="s">
        <v>67</v>
      </c>
    </row>
    <row r="16" spans="1:68" s="16" customFormat="1" x14ac:dyDescent="0.25">
      <c r="A16" s="4" t="s">
        <v>68</v>
      </c>
      <c r="B16" s="4">
        <v>14</v>
      </c>
      <c r="C16" s="35">
        <v>-76.621410999999995</v>
      </c>
      <c r="D16" s="35">
        <v>39.292102</v>
      </c>
      <c r="E16" s="4" t="s">
        <v>68</v>
      </c>
      <c r="F16" s="5" t="s">
        <v>262</v>
      </c>
      <c r="G16" s="5"/>
      <c r="H16" s="5"/>
      <c r="I16" s="5"/>
      <c r="J16" s="5"/>
      <c r="K16" s="5" t="s">
        <v>42</v>
      </c>
      <c r="L16" s="5" t="s">
        <v>47</v>
      </c>
      <c r="M16" s="5" t="s">
        <v>64</v>
      </c>
      <c r="N16" s="25">
        <v>575933</v>
      </c>
      <c r="O16" s="5" t="s">
        <v>65</v>
      </c>
      <c r="P16" s="64">
        <v>5</v>
      </c>
      <c r="Q16" s="64">
        <v>1</v>
      </c>
      <c r="R16" s="96">
        <v>1</v>
      </c>
      <c r="S16" s="64">
        <v>5</v>
      </c>
      <c r="T16" s="5">
        <v>5</v>
      </c>
      <c r="U16" s="5">
        <v>5</v>
      </c>
      <c r="V16" s="5">
        <v>1</v>
      </c>
      <c r="W16" s="5"/>
      <c r="X16" s="5"/>
      <c r="Y16" s="5">
        <v>5</v>
      </c>
      <c r="Z16" s="22" t="s">
        <v>317</v>
      </c>
      <c r="AA16" s="36" t="s">
        <v>452</v>
      </c>
      <c r="AB16" s="48">
        <f>2797+3751</f>
        <v>6548</v>
      </c>
      <c r="AC16" s="35"/>
      <c r="AD16" s="5"/>
      <c r="AE16" s="49">
        <f>1416.9+1555.9</f>
        <v>2972.8</v>
      </c>
      <c r="AF16" s="23"/>
      <c r="AG16" s="23"/>
      <c r="AH16" s="5">
        <v>117</v>
      </c>
      <c r="AI16" s="5"/>
      <c r="AJ16" s="5"/>
      <c r="AK16" s="5">
        <v>71</v>
      </c>
      <c r="AL16" s="5"/>
      <c r="AM16" s="5"/>
      <c r="AN16" s="5" t="s">
        <v>57</v>
      </c>
      <c r="AO16" s="24" t="s">
        <v>42</v>
      </c>
      <c r="AP16" s="24" t="s">
        <v>33</v>
      </c>
      <c r="AQ16" s="24" t="s">
        <v>33</v>
      </c>
      <c r="AR16" s="24" t="s">
        <v>33</v>
      </c>
      <c r="AS16" s="24" t="s">
        <v>42</v>
      </c>
      <c r="AT16" s="24" t="s">
        <v>42</v>
      </c>
      <c r="AU16" s="24" t="s">
        <v>33</v>
      </c>
      <c r="AV16" s="24">
        <v>0</v>
      </c>
      <c r="AW16" s="24" t="s">
        <v>42</v>
      </c>
      <c r="AX16" s="24">
        <v>0</v>
      </c>
      <c r="AY16" s="24">
        <v>0</v>
      </c>
      <c r="AZ16" s="24">
        <v>0</v>
      </c>
      <c r="BA16" s="25">
        <v>0</v>
      </c>
      <c r="BB16" s="24"/>
      <c r="BC16" s="26"/>
      <c r="BD16" s="27">
        <f t="shared" si="0"/>
        <v>0</v>
      </c>
      <c r="BE16" s="27">
        <f t="shared" si="2"/>
        <v>0</v>
      </c>
      <c r="BF16" s="28">
        <f t="shared" si="3"/>
        <v>0</v>
      </c>
      <c r="BG16" s="5">
        <v>371.846</v>
      </c>
      <c r="BH16" s="5">
        <v>9</v>
      </c>
      <c r="BI16" s="24">
        <v>0</v>
      </c>
      <c r="BJ16" s="29" t="s">
        <v>279</v>
      </c>
      <c r="BK16" s="24">
        <v>0</v>
      </c>
      <c r="BL16" s="24"/>
      <c r="BM16" s="5" t="s">
        <v>33</v>
      </c>
      <c r="BN16" s="5" t="s">
        <v>69</v>
      </c>
      <c r="BO16" s="30" t="s">
        <v>51</v>
      </c>
      <c r="BP16" s="5"/>
    </row>
    <row r="17" spans="1:68" s="16" customFormat="1" x14ac:dyDescent="0.25">
      <c r="A17" s="4" t="s">
        <v>70</v>
      </c>
      <c r="B17" s="4">
        <v>15</v>
      </c>
      <c r="C17" s="34">
        <v>-76.613370000000003</v>
      </c>
      <c r="D17" s="34">
        <v>39.289569</v>
      </c>
      <c r="E17" s="4" t="s">
        <v>70</v>
      </c>
      <c r="F17" s="5" t="s">
        <v>262</v>
      </c>
      <c r="G17" s="5"/>
      <c r="H17" s="5"/>
      <c r="I17" s="5"/>
      <c r="J17" s="5"/>
      <c r="K17" s="5" t="s">
        <v>42</v>
      </c>
      <c r="L17" s="5" t="s">
        <v>47</v>
      </c>
      <c r="M17" s="5" t="s">
        <v>64</v>
      </c>
      <c r="N17" s="25">
        <v>566012</v>
      </c>
      <c r="O17" s="5" t="s">
        <v>65</v>
      </c>
      <c r="P17" s="64">
        <v>5</v>
      </c>
      <c r="Q17" s="64">
        <v>1</v>
      </c>
      <c r="R17" s="96">
        <v>1</v>
      </c>
      <c r="S17" s="64">
        <v>5</v>
      </c>
      <c r="T17" s="5">
        <v>5</v>
      </c>
      <c r="U17" s="5">
        <v>5</v>
      </c>
      <c r="V17" s="5">
        <v>1</v>
      </c>
      <c r="W17" s="5"/>
      <c r="X17" s="5"/>
      <c r="Y17" s="5">
        <v>5</v>
      </c>
      <c r="Z17" s="22" t="s">
        <v>317</v>
      </c>
      <c r="AA17" s="36" t="s">
        <v>453</v>
      </c>
      <c r="AB17" s="48">
        <f>3163+3081</f>
        <v>6244</v>
      </c>
      <c r="AC17" s="35"/>
      <c r="AD17" s="5"/>
      <c r="AE17" s="49">
        <f>1291.7+801.8</f>
        <v>2093.5</v>
      </c>
      <c r="AF17" s="23"/>
      <c r="AG17" s="23"/>
      <c r="AH17" s="5">
        <v>117</v>
      </c>
      <c r="AI17" s="5"/>
      <c r="AJ17" s="5"/>
      <c r="AK17" s="5">
        <v>71</v>
      </c>
      <c r="AL17" s="5"/>
      <c r="AM17" s="5"/>
      <c r="AN17" s="5" t="s">
        <v>57</v>
      </c>
      <c r="AO17" s="24" t="s">
        <v>33</v>
      </c>
      <c r="AP17" s="24" t="s">
        <v>33</v>
      </c>
      <c r="AQ17" s="24" t="s">
        <v>33</v>
      </c>
      <c r="AR17" s="24" t="s">
        <v>42</v>
      </c>
      <c r="AS17" s="24" t="s">
        <v>42</v>
      </c>
      <c r="AT17" s="24" t="s">
        <v>42</v>
      </c>
      <c r="AU17" s="24" t="s">
        <v>33</v>
      </c>
      <c r="AV17" s="24">
        <v>0</v>
      </c>
      <c r="AW17" s="24" t="s">
        <v>42</v>
      </c>
      <c r="AX17" s="24">
        <v>0</v>
      </c>
      <c r="AY17" s="24">
        <v>0</v>
      </c>
      <c r="AZ17" s="24">
        <v>0</v>
      </c>
      <c r="BA17" s="25">
        <v>0</v>
      </c>
      <c r="BB17" s="24"/>
      <c r="BC17" s="26"/>
      <c r="BD17" s="27">
        <f t="shared" si="0"/>
        <v>0</v>
      </c>
      <c r="BE17" s="27">
        <f t="shared" si="2"/>
        <v>0</v>
      </c>
      <c r="BF17" s="28">
        <f t="shared" si="3"/>
        <v>0</v>
      </c>
      <c r="BG17" s="5">
        <v>318.36099999999999</v>
      </c>
      <c r="BH17" s="5">
        <v>10</v>
      </c>
      <c r="BI17" s="24">
        <v>0</v>
      </c>
      <c r="BJ17" s="29" t="s">
        <v>279</v>
      </c>
      <c r="BK17" s="24">
        <v>0</v>
      </c>
      <c r="BL17" s="24"/>
      <c r="BM17" s="5" t="s">
        <v>42</v>
      </c>
      <c r="BN17" s="5" t="s">
        <v>69</v>
      </c>
      <c r="BO17" s="30" t="s">
        <v>51</v>
      </c>
      <c r="BP17" s="5"/>
    </row>
    <row r="18" spans="1:68" s="16" customFormat="1" x14ac:dyDescent="0.25">
      <c r="A18" s="4" t="s">
        <v>71</v>
      </c>
      <c r="B18" s="4">
        <v>16</v>
      </c>
      <c r="C18" s="34">
        <v>-76.606281999999993</v>
      </c>
      <c r="D18" s="34">
        <v>39.289777000000001</v>
      </c>
      <c r="E18" s="4" t="s">
        <v>71</v>
      </c>
      <c r="F18" s="5" t="s">
        <v>262</v>
      </c>
      <c r="G18" s="5"/>
      <c r="H18" s="5"/>
      <c r="I18" s="5"/>
      <c r="J18" s="5"/>
      <c r="K18" s="5" t="s">
        <v>42</v>
      </c>
      <c r="L18" s="5" t="s">
        <v>47</v>
      </c>
      <c r="M18" s="5" t="s">
        <v>64</v>
      </c>
      <c r="N18" s="25">
        <v>561369</v>
      </c>
      <c r="O18" s="5" t="s">
        <v>65</v>
      </c>
      <c r="P18" s="64">
        <v>5</v>
      </c>
      <c r="Q18" s="64">
        <v>2</v>
      </c>
      <c r="R18" s="96">
        <v>1</v>
      </c>
      <c r="S18" s="64">
        <v>5</v>
      </c>
      <c r="T18" s="5">
        <v>5</v>
      </c>
      <c r="U18" s="5">
        <v>5</v>
      </c>
      <c r="V18" s="5">
        <v>1</v>
      </c>
      <c r="W18" s="5"/>
      <c r="X18" s="5"/>
      <c r="Y18" s="5">
        <v>3</v>
      </c>
      <c r="Z18" s="22" t="s">
        <v>318</v>
      </c>
      <c r="AA18" s="36" t="s">
        <v>454</v>
      </c>
      <c r="AB18" s="48">
        <v>1892</v>
      </c>
      <c r="AC18" s="35"/>
      <c r="AD18" s="5"/>
      <c r="AE18" s="49">
        <v>998</v>
      </c>
      <c r="AF18" s="23"/>
      <c r="AG18" s="23"/>
      <c r="AH18" s="5">
        <v>117</v>
      </c>
      <c r="AI18" s="5"/>
      <c r="AJ18" s="5"/>
      <c r="AK18" s="5">
        <v>71</v>
      </c>
      <c r="AL18" s="5"/>
      <c r="AM18" s="5"/>
      <c r="AN18" s="5" t="s">
        <v>57</v>
      </c>
      <c r="AO18" s="24" t="s">
        <v>33</v>
      </c>
      <c r="AP18" s="24" t="s">
        <v>33</v>
      </c>
      <c r="AQ18" s="24" t="s">
        <v>33</v>
      </c>
      <c r="AR18" s="24" t="s">
        <v>33</v>
      </c>
      <c r="AS18" s="24" t="s">
        <v>33</v>
      </c>
      <c r="AT18" s="24" t="s">
        <v>42</v>
      </c>
      <c r="AU18" s="24" t="s">
        <v>42</v>
      </c>
      <c r="AV18" s="24">
        <v>0</v>
      </c>
      <c r="AW18" s="24" t="s">
        <v>42</v>
      </c>
      <c r="AX18" s="24">
        <v>0</v>
      </c>
      <c r="AY18" s="24">
        <v>0</v>
      </c>
      <c r="AZ18" s="24">
        <v>0</v>
      </c>
      <c r="BA18" s="25">
        <v>0</v>
      </c>
      <c r="BB18" s="24"/>
      <c r="BC18" s="26"/>
      <c r="BD18" s="27">
        <f t="shared" si="0"/>
        <v>0</v>
      </c>
      <c r="BE18" s="27">
        <f t="shared" si="2"/>
        <v>0</v>
      </c>
      <c r="BF18" s="28">
        <f t="shared" si="3"/>
        <v>0</v>
      </c>
      <c r="BG18" s="5">
        <v>332.36900000000003</v>
      </c>
      <c r="BH18" s="5">
        <v>11</v>
      </c>
      <c r="BI18" s="24">
        <v>0</v>
      </c>
      <c r="BJ18" s="29" t="s">
        <v>279</v>
      </c>
      <c r="BK18" s="24">
        <v>0</v>
      </c>
      <c r="BL18" s="24"/>
      <c r="BM18" s="5" t="s">
        <v>33</v>
      </c>
      <c r="BN18" s="5" t="s">
        <v>69</v>
      </c>
      <c r="BO18" s="30" t="s">
        <v>51</v>
      </c>
      <c r="BP18" s="5"/>
    </row>
    <row r="19" spans="1:68" s="16" customFormat="1" x14ac:dyDescent="0.25">
      <c r="A19" s="4" t="s">
        <v>348</v>
      </c>
      <c r="B19" s="4">
        <v>17</v>
      </c>
      <c r="C19" s="34">
        <v>-76.594475000000003</v>
      </c>
      <c r="D19" s="34">
        <v>39.295819999999999</v>
      </c>
      <c r="E19" s="4" t="s">
        <v>348</v>
      </c>
      <c r="F19" s="5" t="s">
        <v>262</v>
      </c>
      <c r="G19" s="5"/>
      <c r="H19" s="5"/>
      <c r="I19" s="5"/>
      <c r="J19" s="5"/>
      <c r="K19" s="5" t="s">
        <v>42</v>
      </c>
      <c r="L19" s="5" t="s">
        <v>47</v>
      </c>
      <c r="M19" s="5" t="s">
        <v>64</v>
      </c>
      <c r="N19" s="25">
        <v>574352</v>
      </c>
      <c r="O19" s="5" t="s">
        <v>65</v>
      </c>
      <c r="P19" s="64">
        <v>5</v>
      </c>
      <c r="Q19" s="64">
        <v>2</v>
      </c>
      <c r="R19" s="96">
        <v>1</v>
      </c>
      <c r="S19" s="64">
        <v>4</v>
      </c>
      <c r="T19" s="5">
        <v>5</v>
      </c>
      <c r="U19" s="5">
        <v>5</v>
      </c>
      <c r="V19" s="5">
        <v>1</v>
      </c>
      <c r="W19" s="5"/>
      <c r="X19" s="5"/>
      <c r="Y19" s="5">
        <v>5</v>
      </c>
      <c r="Z19" s="22" t="s">
        <v>317</v>
      </c>
      <c r="AA19" s="36" t="s">
        <v>455</v>
      </c>
      <c r="AB19" s="48">
        <f>2178+2139</f>
        <v>4317</v>
      </c>
      <c r="AC19" s="35"/>
      <c r="AD19" s="5"/>
      <c r="AE19" s="49">
        <f>440+989.6</f>
        <v>1429.6</v>
      </c>
      <c r="AF19" s="23"/>
      <c r="AG19" s="23"/>
      <c r="AH19" s="5">
        <v>117</v>
      </c>
      <c r="AI19" s="5"/>
      <c r="AJ19" s="5"/>
      <c r="AK19" s="5">
        <v>71</v>
      </c>
      <c r="AL19" s="5"/>
      <c r="AM19" s="5"/>
      <c r="AN19" s="5" t="s">
        <v>57</v>
      </c>
      <c r="AO19" s="24" t="s">
        <v>33</v>
      </c>
      <c r="AP19" s="24" t="s">
        <v>33</v>
      </c>
      <c r="AQ19" s="24" t="s">
        <v>33</v>
      </c>
      <c r="AR19" s="24" t="s">
        <v>33</v>
      </c>
      <c r="AS19" s="24" t="s">
        <v>42</v>
      </c>
      <c r="AT19" s="24" t="s">
        <v>42</v>
      </c>
      <c r="AU19" s="24" t="s">
        <v>33</v>
      </c>
      <c r="AV19" s="24">
        <v>0</v>
      </c>
      <c r="AW19" s="24" t="s">
        <v>42</v>
      </c>
      <c r="AX19" s="24">
        <v>0</v>
      </c>
      <c r="AY19" s="24">
        <v>0</v>
      </c>
      <c r="AZ19" s="24">
        <v>0</v>
      </c>
      <c r="BA19" s="25">
        <v>0</v>
      </c>
      <c r="BB19" s="24"/>
      <c r="BC19" s="26"/>
      <c r="BD19" s="27">
        <f t="shared" si="0"/>
        <v>0</v>
      </c>
      <c r="BE19" s="27">
        <f t="shared" si="2"/>
        <v>0</v>
      </c>
      <c r="BF19" s="28">
        <f t="shared" si="3"/>
        <v>0</v>
      </c>
      <c r="BG19" s="5">
        <v>297.98599999999999</v>
      </c>
      <c r="BH19" s="5">
        <v>10</v>
      </c>
      <c r="BI19" s="24">
        <v>0</v>
      </c>
      <c r="BJ19" s="29" t="s">
        <v>279</v>
      </c>
      <c r="BK19" s="24">
        <v>0</v>
      </c>
      <c r="BL19" s="24"/>
      <c r="BM19" s="5" t="s">
        <v>42</v>
      </c>
      <c r="BN19" s="5" t="s">
        <v>73</v>
      </c>
      <c r="BO19" s="30" t="s">
        <v>51</v>
      </c>
      <c r="BP19" s="5"/>
    </row>
    <row r="20" spans="1:68" s="16" customFormat="1" x14ac:dyDescent="0.25">
      <c r="A20" s="12" t="s">
        <v>74</v>
      </c>
      <c r="B20" s="4">
        <v>18</v>
      </c>
      <c r="C20" s="34">
        <v>-76.669015999999999</v>
      </c>
      <c r="D20" s="34">
        <v>39.181527000000003</v>
      </c>
      <c r="E20" s="12" t="s">
        <v>74</v>
      </c>
      <c r="F20" s="4" t="s">
        <v>75</v>
      </c>
      <c r="G20" s="4"/>
      <c r="H20" s="4"/>
      <c r="I20" s="4"/>
      <c r="J20" s="4"/>
      <c r="K20" s="5" t="s">
        <v>42</v>
      </c>
      <c r="L20" s="5" t="s">
        <v>76</v>
      </c>
      <c r="M20" s="5" t="s">
        <v>35</v>
      </c>
      <c r="N20" s="25">
        <v>202689</v>
      </c>
      <c r="O20" s="5" t="s">
        <v>77</v>
      </c>
      <c r="P20" s="64">
        <v>4</v>
      </c>
      <c r="Q20" s="64">
        <v>3</v>
      </c>
      <c r="R20" s="96">
        <v>1</v>
      </c>
      <c r="S20" s="64">
        <v>2</v>
      </c>
      <c r="T20" s="5">
        <v>1</v>
      </c>
      <c r="U20" s="5">
        <v>1</v>
      </c>
      <c r="V20" s="5">
        <v>1</v>
      </c>
      <c r="W20" s="5"/>
      <c r="X20" s="5"/>
      <c r="Y20" s="5">
        <v>3</v>
      </c>
      <c r="Z20" s="22" t="s">
        <v>316</v>
      </c>
      <c r="AA20" s="36" t="s">
        <v>456</v>
      </c>
      <c r="AB20" s="49">
        <v>1137.087155172414</v>
      </c>
      <c r="AC20" s="23"/>
      <c r="AD20" s="23"/>
      <c r="AE20" s="49"/>
      <c r="AF20" s="5"/>
      <c r="AG20" s="5"/>
      <c r="AH20" s="5">
        <v>120</v>
      </c>
      <c r="AI20" s="5"/>
      <c r="AJ20" s="5"/>
      <c r="AK20" s="5">
        <v>30</v>
      </c>
      <c r="AL20" s="5"/>
      <c r="AM20" s="5"/>
      <c r="AN20" s="5" t="s">
        <v>37</v>
      </c>
      <c r="AO20" s="24" t="s">
        <v>33</v>
      </c>
      <c r="AP20" s="24" t="s">
        <v>33</v>
      </c>
      <c r="AQ20" s="24" t="s">
        <v>42</v>
      </c>
      <c r="AR20" s="24" t="s">
        <v>33</v>
      </c>
      <c r="AS20" s="24" t="s">
        <v>33</v>
      </c>
      <c r="AT20" s="24" t="s">
        <v>33</v>
      </c>
      <c r="AU20" s="24" t="s">
        <v>33</v>
      </c>
      <c r="AV20" s="24">
        <v>0</v>
      </c>
      <c r="AW20" s="24" t="s">
        <v>42</v>
      </c>
      <c r="AX20" s="24">
        <v>0</v>
      </c>
      <c r="AY20" s="24">
        <v>0</v>
      </c>
      <c r="AZ20" s="24">
        <v>0</v>
      </c>
      <c r="BA20" s="25">
        <v>0</v>
      </c>
      <c r="BB20" s="24"/>
      <c r="BC20" s="26"/>
      <c r="BD20" s="27">
        <f t="shared" si="0"/>
        <v>0</v>
      </c>
      <c r="BE20" s="27"/>
      <c r="BF20" s="5">
        <f t="shared" ref="BF20:BF50" si="4">AV20/((SUM($AV$20:$AV$50)+$AV$4+$AV$5)/33)</f>
        <v>0</v>
      </c>
      <c r="BG20" s="5">
        <v>0</v>
      </c>
      <c r="BH20" s="5">
        <v>3</v>
      </c>
      <c r="BI20" s="24">
        <v>1</v>
      </c>
      <c r="BJ20" s="29" t="s">
        <v>281</v>
      </c>
      <c r="BK20" s="24">
        <v>0</v>
      </c>
      <c r="BL20" s="24"/>
      <c r="BM20" s="5" t="s">
        <v>33</v>
      </c>
      <c r="BN20" s="5" t="s">
        <v>78</v>
      </c>
      <c r="BO20" s="30" t="s">
        <v>79</v>
      </c>
      <c r="BP20" s="5"/>
    </row>
    <row r="21" spans="1:68" s="16" customFormat="1" x14ac:dyDescent="0.25">
      <c r="A21" s="12" t="s">
        <v>346</v>
      </c>
      <c r="B21" s="4">
        <v>19</v>
      </c>
      <c r="C21" s="34">
        <v>-76.676177999999993</v>
      </c>
      <c r="D21" s="34">
        <v>39.190674000000001</v>
      </c>
      <c r="E21" s="12" t="s">
        <v>346</v>
      </c>
      <c r="F21" s="4" t="s">
        <v>75</v>
      </c>
      <c r="G21" s="4"/>
      <c r="H21" s="4"/>
      <c r="I21" s="4"/>
      <c r="J21" s="4"/>
      <c r="K21" s="5" t="s">
        <v>42</v>
      </c>
      <c r="L21" s="5" t="s">
        <v>76</v>
      </c>
      <c r="M21" s="5" t="s">
        <v>35</v>
      </c>
      <c r="N21" s="25">
        <v>208356</v>
      </c>
      <c r="O21" s="5" t="s">
        <v>36</v>
      </c>
      <c r="P21" s="64">
        <v>4</v>
      </c>
      <c r="Q21" s="64">
        <v>2</v>
      </c>
      <c r="R21" s="96">
        <v>3</v>
      </c>
      <c r="S21" s="64">
        <v>2</v>
      </c>
      <c r="T21" s="5">
        <v>1</v>
      </c>
      <c r="U21" s="5">
        <v>2</v>
      </c>
      <c r="V21" s="5">
        <v>1</v>
      </c>
      <c r="W21" s="5"/>
      <c r="X21" s="5"/>
      <c r="Y21" s="5">
        <v>2</v>
      </c>
      <c r="Z21" s="22" t="s">
        <v>314</v>
      </c>
      <c r="AA21" s="36" t="s">
        <v>457</v>
      </c>
      <c r="AB21" s="49">
        <v>233.79362068965517</v>
      </c>
      <c r="AC21" s="23"/>
      <c r="AD21" s="23"/>
      <c r="AE21" s="49"/>
      <c r="AF21" s="5"/>
      <c r="AG21" s="5"/>
      <c r="AH21" s="5">
        <v>120</v>
      </c>
      <c r="AI21" s="5"/>
      <c r="AJ21" s="5"/>
      <c r="AK21" s="5">
        <v>30</v>
      </c>
      <c r="AL21" s="5"/>
      <c r="AM21" s="5"/>
      <c r="AN21" s="5" t="s">
        <v>81</v>
      </c>
      <c r="AO21" s="24" t="s">
        <v>33</v>
      </c>
      <c r="AP21" s="24" t="s">
        <v>33</v>
      </c>
      <c r="AQ21" s="24" t="s">
        <v>33</v>
      </c>
      <c r="AR21" s="24" t="s">
        <v>33</v>
      </c>
      <c r="AS21" s="24" t="s">
        <v>33</v>
      </c>
      <c r="AT21" s="24" t="s">
        <v>42</v>
      </c>
      <c r="AU21" s="24" t="s">
        <v>42</v>
      </c>
      <c r="AV21" s="24">
        <v>30</v>
      </c>
      <c r="AW21" s="24" t="s">
        <v>42</v>
      </c>
      <c r="AX21" s="24">
        <v>4</v>
      </c>
      <c r="AY21" s="24">
        <v>0</v>
      </c>
      <c r="AZ21" s="24">
        <v>0</v>
      </c>
      <c r="BA21" s="25">
        <v>22</v>
      </c>
      <c r="BB21" s="24">
        <v>30.333333333333332</v>
      </c>
      <c r="BC21" s="26">
        <f>BB21/BA21</f>
        <v>1.3787878787878787</v>
      </c>
      <c r="BD21" s="27">
        <f t="shared" si="0"/>
        <v>0.12831830018075183</v>
      </c>
      <c r="BE21" s="27"/>
      <c r="BF21" s="5">
        <f t="shared" si="4"/>
        <v>0.30631188118811881</v>
      </c>
      <c r="BG21" s="5">
        <v>19.101700000000001</v>
      </c>
      <c r="BH21" s="5">
        <v>2</v>
      </c>
      <c r="BI21" s="24">
        <v>0</v>
      </c>
      <c r="BJ21" s="29" t="s">
        <v>279</v>
      </c>
      <c r="BK21" s="24">
        <v>10</v>
      </c>
      <c r="BL21" s="24">
        <v>2</v>
      </c>
      <c r="BM21" s="5" t="s">
        <v>42</v>
      </c>
      <c r="BN21" s="5" t="s">
        <v>82</v>
      </c>
      <c r="BO21" s="30" t="s">
        <v>79</v>
      </c>
      <c r="BP21" s="5"/>
    </row>
    <row r="22" spans="1:68" s="16" customFormat="1" x14ac:dyDescent="0.25">
      <c r="A22" s="12" t="s">
        <v>347</v>
      </c>
      <c r="B22" s="4">
        <v>20</v>
      </c>
      <c r="C22" s="34">
        <v>-76.632465999999994</v>
      </c>
      <c r="D22" s="34">
        <v>39.170873</v>
      </c>
      <c r="E22" s="12" t="s">
        <v>347</v>
      </c>
      <c r="F22" s="4" t="s">
        <v>75</v>
      </c>
      <c r="G22" s="4"/>
      <c r="H22" s="4"/>
      <c r="I22" s="4"/>
      <c r="J22" s="4"/>
      <c r="K22" s="5" t="s">
        <v>42</v>
      </c>
      <c r="L22" s="5" t="s">
        <v>76</v>
      </c>
      <c r="M22" s="5" t="s">
        <v>35</v>
      </c>
      <c r="N22" s="25">
        <v>188867</v>
      </c>
      <c r="O22" s="5" t="s">
        <v>36</v>
      </c>
      <c r="P22" s="64">
        <v>4</v>
      </c>
      <c r="Q22" s="64">
        <v>3</v>
      </c>
      <c r="R22" s="96">
        <v>5</v>
      </c>
      <c r="S22" s="64">
        <v>5</v>
      </c>
      <c r="T22" s="5">
        <v>4</v>
      </c>
      <c r="U22" s="5">
        <v>2</v>
      </c>
      <c r="V22" s="5">
        <v>1</v>
      </c>
      <c r="W22" s="5"/>
      <c r="X22" s="5"/>
      <c r="Y22" s="5">
        <v>2</v>
      </c>
      <c r="Z22" s="22" t="s">
        <v>314</v>
      </c>
      <c r="AA22" s="22">
        <v>14</v>
      </c>
      <c r="AB22" s="49">
        <v>1232.73</v>
      </c>
      <c r="AC22" s="23"/>
      <c r="AD22" s="23"/>
      <c r="AE22" s="49"/>
      <c r="AF22" s="5"/>
      <c r="AG22" s="5"/>
      <c r="AH22" s="5">
        <v>120</v>
      </c>
      <c r="AI22" s="5"/>
      <c r="AJ22" s="5"/>
      <c r="AK22" s="5">
        <v>30</v>
      </c>
      <c r="AL22" s="5"/>
      <c r="AM22" s="5"/>
      <c r="AN22" s="5" t="s">
        <v>81</v>
      </c>
      <c r="AO22" s="24" t="s">
        <v>33</v>
      </c>
      <c r="AP22" s="24" t="s">
        <v>33</v>
      </c>
      <c r="AQ22" s="24" t="s">
        <v>33</v>
      </c>
      <c r="AR22" s="24" t="s">
        <v>33</v>
      </c>
      <c r="AS22" s="24" t="s">
        <v>33</v>
      </c>
      <c r="AT22" s="24" t="s">
        <v>42</v>
      </c>
      <c r="AU22" s="24" t="s">
        <v>33</v>
      </c>
      <c r="AV22" s="24">
        <v>707</v>
      </c>
      <c r="AW22" s="24" t="s">
        <v>42</v>
      </c>
      <c r="AX22" s="24">
        <v>16</v>
      </c>
      <c r="AY22" s="24">
        <v>0</v>
      </c>
      <c r="AZ22" s="24">
        <v>0</v>
      </c>
      <c r="BA22" s="25">
        <v>152</v>
      </c>
      <c r="BB22" s="24">
        <v>152</v>
      </c>
      <c r="BC22" s="26">
        <f>BB22/BA22</f>
        <v>1</v>
      </c>
      <c r="BD22" s="27">
        <f t="shared" si="0"/>
        <v>0.57352380488833721</v>
      </c>
      <c r="BE22" s="27"/>
      <c r="BF22" s="5">
        <f t="shared" si="4"/>
        <v>7.21875</v>
      </c>
      <c r="BG22" s="5">
        <v>89.141099999999994</v>
      </c>
      <c r="BH22" s="5">
        <v>6</v>
      </c>
      <c r="BI22" s="24">
        <v>2</v>
      </c>
      <c r="BJ22" s="29" t="s">
        <v>282</v>
      </c>
      <c r="BK22" s="24">
        <v>10</v>
      </c>
      <c r="BL22" s="24">
        <v>2</v>
      </c>
      <c r="BM22" s="5" t="s">
        <v>33</v>
      </c>
      <c r="BN22" s="5" t="s">
        <v>82</v>
      </c>
      <c r="BO22" s="30" t="s">
        <v>79</v>
      </c>
      <c r="BP22" s="5"/>
    </row>
    <row r="23" spans="1:68" s="16" customFormat="1" x14ac:dyDescent="0.25">
      <c r="A23" s="12" t="s">
        <v>84</v>
      </c>
      <c r="B23" s="4">
        <v>21</v>
      </c>
      <c r="C23" s="34">
        <v>-76.641745999999998</v>
      </c>
      <c r="D23" s="34">
        <v>39.185065000000002</v>
      </c>
      <c r="E23" s="12" t="s">
        <v>84</v>
      </c>
      <c r="F23" s="4" t="s">
        <v>75</v>
      </c>
      <c r="G23" s="4"/>
      <c r="H23" s="4"/>
      <c r="I23" s="4"/>
      <c r="J23" s="4"/>
      <c r="K23" s="5" t="s">
        <v>42</v>
      </c>
      <c r="L23" s="5" t="s">
        <v>76</v>
      </c>
      <c r="M23" s="5" t="s">
        <v>48</v>
      </c>
      <c r="N23" s="25">
        <v>199270</v>
      </c>
      <c r="O23" s="5" t="s">
        <v>49</v>
      </c>
      <c r="P23" s="64">
        <v>4</v>
      </c>
      <c r="Q23" s="64">
        <v>2</v>
      </c>
      <c r="R23" s="96">
        <v>1</v>
      </c>
      <c r="S23" s="64">
        <v>2</v>
      </c>
      <c r="T23" s="5">
        <v>2</v>
      </c>
      <c r="U23" s="5">
        <v>1</v>
      </c>
      <c r="V23" s="5">
        <v>1</v>
      </c>
      <c r="W23" s="5"/>
      <c r="X23" s="5"/>
      <c r="Y23" s="5">
        <v>1</v>
      </c>
      <c r="Z23" s="22"/>
      <c r="AA23" s="36"/>
      <c r="AB23" s="49">
        <v>106.2698275862069</v>
      </c>
      <c r="AC23" s="23"/>
      <c r="AD23" s="23"/>
      <c r="AE23" s="49"/>
      <c r="AF23" s="5"/>
      <c r="AG23" s="5"/>
      <c r="AH23" s="5">
        <v>120</v>
      </c>
      <c r="AI23" s="5"/>
      <c r="AJ23" s="5"/>
      <c r="AK23" s="5">
        <v>30</v>
      </c>
      <c r="AL23" s="5"/>
      <c r="AM23" s="5"/>
      <c r="AN23" s="5" t="s">
        <v>81</v>
      </c>
      <c r="AO23" s="24" t="s">
        <v>33</v>
      </c>
      <c r="AP23" s="24" t="s">
        <v>33</v>
      </c>
      <c r="AQ23" s="24" t="s">
        <v>33</v>
      </c>
      <c r="AR23" s="24" t="s">
        <v>33</v>
      </c>
      <c r="AS23" s="24" t="s">
        <v>33</v>
      </c>
      <c r="AT23" s="24" t="s">
        <v>42</v>
      </c>
      <c r="AU23" s="24" t="s">
        <v>42</v>
      </c>
      <c r="AV23" s="24">
        <v>0</v>
      </c>
      <c r="AW23" s="24" t="s">
        <v>42</v>
      </c>
      <c r="AX23" s="24">
        <v>0</v>
      </c>
      <c r="AY23" s="24">
        <v>0</v>
      </c>
      <c r="AZ23" s="24">
        <v>0</v>
      </c>
      <c r="BA23" s="25">
        <v>0</v>
      </c>
      <c r="BB23" s="24"/>
      <c r="BC23" s="26"/>
      <c r="BD23" s="27">
        <f t="shared" si="0"/>
        <v>0</v>
      </c>
      <c r="BE23" s="27"/>
      <c r="BF23" s="5">
        <f t="shared" si="4"/>
        <v>0</v>
      </c>
      <c r="BG23" s="5">
        <v>127.34399999999999</v>
      </c>
      <c r="BH23" s="5">
        <v>3</v>
      </c>
      <c r="BI23" s="24">
        <v>2</v>
      </c>
      <c r="BJ23" s="29" t="s">
        <v>280</v>
      </c>
      <c r="BK23" s="24">
        <v>0</v>
      </c>
      <c r="BL23" s="24"/>
      <c r="BM23" s="5" t="s">
        <v>42</v>
      </c>
      <c r="BN23" s="5" t="s">
        <v>85</v>
      </c>
      <c r="BO23" s="30" t="s">
        <v>79</v>
      </c>
      <c r="BP23" s="5"/>
    </row>
    <row r="24" spans="1:68" s="16" customFormat="1" x14ac:dyDescent="0.25">
      <c r="A24" s="12" t="s">
        <v>86</v>
      </c>
      <c r="B24" s="4">
        <v>22</v>
      </c>
      <c r="C24" s="34">
        <v>-76.655314000000004</v>
      </c>
      <c r="D24" s="34">
        <v>39.202491999999999</v>
      </c>
      <c r="E24" s="12" t="s">
        <v>86</v>
      </c>
      <c r="F24" s="4" t="s">
        <v>75</v>
      </c>
      <c r="G24" s="4"/>
      <c r="H24" s="4"/>
      <c r="I24" s="4"/>
      <c r="J24" s="4"/>
      <c r="K24" s="5" t="s">
        <v>42</v>
      </c>
      <c r="L24" s="5" t="s">
        <v>76</v>
      </c>
      <c r="M24" s="5" t="s">
        <v>48</v>
      </c>
      <c r="N24" s="25">
        <v>201438</v>
      </c>
      <c r="O24" s="5" t="s">
        <v>65</v>
      </c>
      <c r="P24" s="64">
        <v>3</v>
      </c>
      <c r="Q24" s="64">
        <v>3</v>
      </c>
      <c r="R24" s="96">
        <v>1</v>
      </c>
      <c r="S24" s="64">
        <v>2</v>
      </c>
      <c r="T24" s="5">
        <v>2</v>
      </c>
      <c r="U24" s="5">
        <v>3</v>
      </c>
      <c r="V24" s="5">
        <v>1</v>
      </c>
      <c r="W24" s="5"/>
      <c r="X24" s="5"/>
      <c r="Y24" s="5">
        <v>1</v>
      </c>
      <c r="Z24" s="22"/>
      <c r="AA24" s="22"/>
      <c r="AB24" s="49">
        <v>506.55284482758617</v>
      </c>
      <c r="AC24" s="23"/>
      <c r="AD24" s="23"/>
      <c r="AE24" s="49"/>
      <c r="AF24" s="5"/>
      <c r="AG24" s="5"/>
      <c r="AH24" s="5">
        <v>60</v>
      </c>
      <c r="AI24" s="5"/>
      <c r="AJ24" s="5"/>
      <c r="AK24" s="5">
        <v>15</v>
      </c>
      <c r="AL24" s="5"/>
      <c r="AM24" s="5"/>
      <c r="AN24" s="5" t="s">
        <v>81</v>
      </c>
      <c r="AO24" s="24" t="s">
        <v>33</v>
      </c>
      <c r="AP24" s="24" t="s">
        <v>33</v>
      </c>
      <c r="AQ24" s="24" t="s">
        <v>33</v>
      </c>
      <c r="AR24" s="24" t="s">
        <v>33</v>
      </c>
      <c r="AS24" s="24" t="s">
        <v>33</v>
      </c>
      <c r="AT24" s="24" t="s">
        <v>42</v>
      </c>
      <c r="AU24" s="24" t="s">
        <v>33</v>
      </c>
      <c r="AV24" s="24">
        <v>0</v>
      </c>
      <c r="AW24" s="24" t="s">
        <v>42</v>
      </c>
      <c r="AX24" s="24">
        <v>0</v>
      </c>
      <c r="AY24" s="24">
        <v>0</v>
      </c>
      <c r="AZ24" s="24">
        <v>0</v>
      </c>
      <c r="BA24" s="25">
        <v>0</v>
      </c>
      <c r="BB24" s="24"/>
      <c r="BC24" s="26"/>
      <c r="BD24" s="27">
        <f t="shared" si="0"/>
        <v>0</v>
      </c>
      <c r="BE24" s="27"/>
      <c r="BF24" s="5">
        <f t="shared" si="4"/>
        <v>0</v>
      </c>
      <c r="BG24" s="5">
        <v>105.696</v>
      </c>
      <c r="BH24" s="5">
        <v>3</v>
      </c>
      <c r="BI24" s="24">
        <v>2</v>
      </c>
      <c r="BJ24" s="29" t="s">
        <v>280</v>
      </c>
      <c r="BK24" s="24">
        <v>0</v>
      </c>
      <c r="BL24" s="24"/>
      <c r="BM24" s="5" t="s">
        <v>33</v>
      </c>
      <c r="BN24" s="5" t="s">
        <v>87</v>
      </c>
      <c r="BO24" s="30" t="s">
        <v>79</v>
      </c>
      <c r="BP24" s="5"/>
    </row>
    <row r="25" spans="1:68" s="16" customFormat="1" x14ac:dyDescent="0.25">
      <c r="A25" s="12" t="s">
        <v>88</v>
      </c>
      <c r="B25" s="4">
        <v>23</v>
      </c>
      <c r="C25" s="34">
        <v>-76.645713999999998</v>
      </c>
      <c r="D25" s="34">
        <v>39.215204</v>
      </c>
      <c r="E25" s="12" t="s">
        <v>88</v>
      </c>
      <c r="F25" s="4" t="s">
        <v>75</v>
      </c>
      <c r="G25" s="4"/>
      <c r="H25" s="4"/>
      <c r="I25" s="4"/>
      <c r="J25" s="4"/>
      <c r="K25" s="5" t="s">
        <v>42</v>
      </c>
      <c r="L25" s="5" t="s">
        <v>76</v>
      </c>
      <c r="M25" s="5" t="s">
        <v>35</v>
      </c>
      <c r="N25" s="25">
        <v>215086</v>
      </c>
      <c r="O25" s="5" t="s">
        <v>36</v>
      </c>
      <c r="P25" s="64">
        <v>3</v>
      </c>
      <c r="Q25" s="64">
        <v>3</v>
      </c>
      <c r="R25" s="96">
        <v>4</v>
      </c>
      <c r="S25" s="64">
        <v>2</v>
      </c>
      <c r="T25" s="5">
        <v>2</v>
      </c>
      <c r="U25" s="5">
        <v>1</v>
      </c>
      <c r="V25" s="5">
        <v>1</v>
      </c>
      <c r="W25" s="5"/>
      <c r="X25" s="5"/>
      <c r="Y25" s="5">
        <v>1</v>
      </c>
      <c r="Z25" s="22"/>
      <c r="AA25" s="22"/>
      <c r="AB25" s="49">
        <v>662.41525862068966</v>
      </c>
      <c r="AC25" s="23"/>
      <c r="AD25" s="23"/>
      <c r="AE25" s="49"/>
      <c r="AF25" s="5"/>
      <c r="AG25" s="5"/>
      <c r="AH25" s="5">
        <v>60</v>
      </c>
      <c r="AI25" s="5"/>
      <c r="AJ25" s="5"/>
      <c r="AK25" s="5">
        <v>15</v>
      </c>
      <c r="AL25" s="5"/>
      <c r="AM25" s="5"/>
      <c r="AN25" s="5" t="s">
        <v>81</v>
      </c>
      <c r="AO25" s="24" t="s">
        <v>33</v>
      </c>
      <c r="AP25" s="24" t="s">
        <v>33</v>
      </c>
      <c r="AQ25" s="24" t="s">
        <v>33</v>
      </c>
      <c r="AR25" s="24" t="s">
        <v>33</v>
      </c>
      <c r="AS25" s="24" t="s">
        <v>33</v>
      </c>
      <c r="AT25" s="24" t="s">
        <v>42</v>
      </c>
      <c r="AU25" s="24" t="s">
        <v>33</v>
      </c>
      <c r="AV25" s="24">
        <v>335</v>
      </c>
      <c r="AW25" s="24" t="s">
        <v>42</v>
      </c>
      <c r="AX25" s="24">
        <v>11</v>
      </c>
      <c r="AY25" s="24">
        <v>0</v>
      </c>
      <c r="AZ25" s="24">
        <v>0</v>
      </c>
      <c r="BA25" s="25">
        <v>265</v>
      </c>
      <c r="BB25" s="24">
        <v>267.33333333333331</v>
      </c>
      <c r="BC25" s="26">
        <f>BB25/BA25</f>
        <v>1.0088050314465409</v>
      </c>
      <c r="BD25" s="27">
        <f t="shared" si="0"/>
        <v>0.50572506541825712</v>
      </c>
      <c r="BE25" s="27"/>
      <c r="BF25" s="5">
        <f t="shared" si="4"/>
        <v>3.4204826732673266</v>
      </c>
      <c r="BG25" s="5">
        <v>76.406599999999997</v>
      </c>
      <c r="BH25" s="5">
        <v>3</v>
      </c>
      <c r="BI25" s="24">
        <v>2</v>
      </c>
      <c r="BJ25" s="29" t="s">
        <v>280</v>
      </c>
      <c r="BK25" s="24">
        <v>0</v>
      </c>
      <c r="BL25" s="24"/>
      <c r="BM25" s="5" t="s">
        <v>42</v>
      </c>
      <c r="BN25" s="5" t="s">
        <v>85</v>
      </c>
      <c r="BO25" s="30" t="s">
        <v>79</v>
      </c>
      <c r="BP25" s="5"/>
    </row>
    <row r="26" spans="1:68" s="16" customFormat="1" x14ac:dyDescent="0.25">
      <c r="A26" s="12" t="s">
        <v>89</v>
      </c>
      <c r="B26" s="4">
        <v>24</v>
      </c>
      <c r="C26" s="34">
        <v>-76.642290000000003</v>
      </c>
      <c r="D26" s="34">
        <v>39.221145999999997</v>
      </c>
      <c r="E26" s="12" t="s">
        <v>89</v>
      </c>
      <c r="F26" s="4" t="s">
        <v>75</v>
      </c>
      <c r="G26" s="4"/>
      <c r="H26" s="4"/>
      <c r="I26" s="4"/>
      <c r="J26" s="4"/>
      <c r="K26" s="5" t="s">
        <v>42</v>
      </c>
      <c r="L26" s="5" t="s">
        <v>76</v>
      </c>
      <c r="M26" s="5" t="s">
        <v>35</v>
      </c>
      <c r="N26" s="25">
        <v>230560</v>
      </c>
      <c r="O26" s="5" t="s">
        <v>36</v>
      </c>
      <c r="P26" s="64">
        <v>3</v>
      </c>
      <c r="Q26" s="64">
        <v>3</v>
      </c>
      <c r="R26" s="96">
        <v>4</v>
      </c>
      <c r="S26" s="64">
        <v>1</v>
      </c>
      <c r="T26" s="5">
        <v>2</v>
      </c>
      <c r="U26" s="5">
        <v>1</v>
      </c>
      <c r="V26" s="5">
        <v>1</v>
      </c>
      <c r="W26" s="5"/>
      <c r="X26" s="5"/>
      <c r="Y26" s="5">
        <v>2</v>
      </c>
      <c r="Z26" s="22" t="s">
        <v>314</v>
      </c>
      <c r="AA26" s="22">
        <v>17</v>
      </c>
      <c r="AB26" s="49">
        <v>488.84120689655168</v>
      </c>
      <c r="AC26" s="23"/>
      <c r="AD26" s="23"/>
      <c r="AE26" s="49"/>
      <c r="AF26" s="5"/>
      <c r="AG26" s="5"/>
      <c r="AH26" s="5">
        <v>60</v>
      </c>
      <c r="AI26" s="5"/>
      <c r="AJ26" s="5"/>
      <c r="AK26" s="5">
        <v>15</v>
      </c>
      <c r="AL26" s="5"/>
      <c r="AM26" s="5"/>
      <c r="AN26" s="5" t="s">
        <v>81</v>
      </c>
      <c r="AO26" s="24" t="s">
        <v>33</v>
      </c>
      <c r="AP26" s="24" t="s">
        <v>33</v>
      </c>
      <c r="AQ26" s="24" t="s">
        <v>33</v>
      </c>
      <c r="AR26" s="24" t="s">
        <v>33</v>
      </c>
      <c r="AS26" s="24" t="s">
        <v>33</v>
      </c>
      <c r="AT26" s="24" t="s">
        <v>42</v>
      </c>
      <c r="AU26" s="24" t="s">
        <v>33</v>
      </c>
      <c r="AV26" s="24">
        <v>33</v>
      </c>
      <c r="AW26" s="24" t="s">
        <v>42</v>
      </c>
      <c r="AX26" s="24">
        <v>2</v>
      </c>
      <c r="AY26" s="24">
        <v>0</v>
      </c>
      <c r="AZ26" s="24">
        <v>0</v>
      </c>
      <c r="BA26" s="25">
        <v>32</v>
      </c>
      <c r="BB26" s="24">
        <v>25.666666666666668</v>
      </c>
      <c r="BC26" s="26">
        <f>BB26/BA26</f>
        <v>0.80208333333333337</v>
      </c>
      <c r="BD26" s="27">
        <f t="shared" si="0"/>
        <v>6.7506584008134654E-2</v>
      </c>
      <c r="BE26" s="27"/>
      <c r="BF26" s="5">
        <f t="shared" si="4"/>
        <v>0.33694306930693069</v>
      </c>
      <c r="BG26" s="5">
        <v>61.125300000000003</v>
      </c>
      <c r="BH26" s="5">
        <v>3</v>
      </c>
      <c r="BI26" s="24">
        <v>0</v>
      </c>
      <c r="BJ26" s="29" t="s">
        <v>279</v>
      </c>
      <c r="BK26" s="24">
        <v>0</v>
      </c>
      <c r="BL26" s="24"/>
      <c r="BM26" s="5" t="s">
        <v>33</v>
      </c>
      <c r="BN26" s="5" t="s">
        <v>90</v>
      </c>
      <c r="BO26" s="30" t="s">
        <v>79</v>
      </c>
      <c r="BP26" s="5"/>
    </row>
    <row r="27" spans="1:68" s="16" customFormat="1" x14ac:dyDescent="0.25">
      <c r="A27" s="12" t="s">
        <v>91</v>
      </c>
      <c r="B27" s="4">
        <v>25</v>
      </c>
      <c r="C27" s="34">
        <v>-76.633426</v>
      </c>
      <c r="D27" s="34">
        <v>39.234546000000002</v>
      </c>
      <c r="E27" s="12" t="s">
        <v>91</v>
      </c>
      <c r="F27" s="4" t="s">
        <v>75</v>
      </c>
      <c r="G27" s="4"/>
      <c r="H27" s="4"/>
      <c r="I27" s="4"/>
      <c r="J27" s="4"/>
      <c r="K27" s="5" t="s">
        <v>42</v>
      </c>
      <c r="L27" s="5" t="s">
        <v>34</v>
      </c>
      <c r="M27" s="5" t="s">
        <v>48</v>
      </c>
      <c r="N27" s="25">
        <v>321577</v>
      </c>
      <c r="O27" s="5" t="s">
        <v>49</v>
      </c>
      <c r="P27" s="64">
        <v>3</v>
      </c>
      <c r="Q27" s="64">
        <v>3</v>
      </c>
      <c r="R27" s="96">
        <v>3</v>
      </c>
      <c r="S27" s="64">
        <v>2</v>
      </c>
      <c r="T27" s="5">
        <v>2</v>
      </c>
      <c r="U27" s="5">
        <v>1</v>
      </c>
      <c r="V27" s="5">
        <v>1</v>
      </c>
      <c r="W27" s="5"/>
      <c r="X27" s="5"/>
      <c r="Y27" s="5">
        <v>1</v>
      </c>
      <c r="Z27" s="22"/>
      <c r="AA27" s="22"/>
      <c r="AB27" s="49">
        <v>308.1825</v>
      </c>
      <c r="AC27" s="23"/>
      <c r="AD27" s="23"/>
      <c r="AE27" s="49"/>
      <c r="AF27" s="5"/>
      <c r="AG27" s="5"/>
      <c r="AH27" s="5">
        <v>60</v>
      </c>
      <c r="AI27" s="5"/>
      <c r="AJ27" s="5"/>
      <c r="AK27" s="5">
        <v>15</v>
      </c>
      <c r="AL27" s="5"/>
      <c r="AM27" s="5"/>
      <c r="AN27" s="5" t="s">
        <v>81</v>
      </c>
      <c r="AO27" s="24" t="s">
        <v>33</v>
      </c>
      <c r="AP27" s="24" t="s">
        <v>33</v>
      </c>
      <c r="AQ27" s="24" t="s">
        <v>33</v>
      </c>
      <c r="AR27" s="24" t="s">
        <v>33</v>
      </c>
      <c r="AS27" s="24" t="s">
        <v>33</v>
      </c>
      <c r="AT27" s="24" t="s">
        <v>42</v>
      </c>
      <c r="AU27" s="24" t="s">
        <v>33</v>
      </c>
      <c r="AV27" s="24">
        <v>27</v>
      </c>
      <c r="AW27" s="24" t="s">
        <v>42</v>
      </c>
      <c r="AX27" s="24">
        <v>3</v>
      </c>
      <c r="AY27" s="24">
        <v>0</v>
      </c>
      <c r="AZ27" s="24">
        <v>0</v>
      </c>
      <c r="BA27" s="25">
        <v>20</v>
      </c>
      <c r="BB27" s="24">
        <v>23.666666666666668</v>
      </c>
      <c r="BC27" s="26">
        <f>BB27/BA27</f>
        <v>1.1833333333333333</v>
      </c>
      <c r="BD27" s="27">
        <f t="shared" si="0"/>
        <v>8.7610425640651232E-2</v>
      </c>
      <c r="BE27" s="27"/>
      <c r="BF27" s="5">
        <f t="shared" si="4"/>
        <v>0.27568069306930693</v>
      </c>
      <c r="BG27" s="5">
        <v>62.398800000000001</v>
      </c>
      <c r="BH27" s="5">
        <v>3</v>
      </c>
      <c r="BI27" s="24">
        <v>2</v>
      </c>
      <c r="BJ27" s="29" t="s">
        <v>280</v>
      </c>
      <c r="BK27" s="24">
        <v>0</v>
      </c>
      <c r="BL27" s="24"/>
      <c r="BM27" s="5" t="s">
        <v>42</v>
      </c>
      <c r="BN27" s="5" t="s">
        <v>92</v>
      </c>
      <c r="BO27" s="30" t="s">
        <v>39</v>
      </c>
      <c r="BP27" s="5"/>
    </row>
    <row r="28" spans="1:68" s="16" customFormat="1" x14ac:dyDescent="0.25">
      <c r="A28" s="12" t="s">
        <v>93</v>
      </c>
      <c r="B28" s="4">
        <v>26</v>
      </c>
      <c r="C28" s="34">
        <v>-76.630071000000001</v>
      </c>
      <c r="D28" s="34">
        <v>39.241923999999997</v>
      </c>
      <c r="E28" s="12" t="s">
        <v>93</v>
      </c>
      <c r="F28" s="4" t="s">
        <v>75</v>
      </c>
      <c r="G28" s="4"/>
      <c r="H28" s="4"/>
      <c r="I28" s="4"/>
      <c r="J28" s="4"/>
      <c r="K28" s="5" t="s">
        <v>42</v>
      </c>
      <c r="L28" s="5" t="s">
        <v>34</v>
      </c>
      <c r="M28" s="5" t="s">
        <v>35</v>
      </c>
      <c r="N28" s="25">
        <v>372674</v>
      </c>
      <c r="O28" s="5" t="s">
        <v>36</v>
      </c>
      <c r="P28" s="64">
        <v>3</v>
      </c>
      <c r="Q28" s="64">
        <v>1</v>
      </c>
      <c r="R28" s="96">
        <v>4</v>
      </c>
      <c r="S28" s="64">
        <v>2</v>
      </c>
      <c r="T28" s="5">
        <v>2</v>
      </c>
      <c r="U28" s="5">
        <v>1</v>
      </c>
      <c r="V28" s="5">
        <v>1</v>
      </c>
      <c r="W28" s="5"/>
      <c r="X28" s="5"/>
      <c r="Y28" s="5">
        <v>2</v>
      </c>
      <c r="Z28" s="22" t="s">
        <v>314</v>
      </c>
      <c r="AA28" s="36" t="s">
        <v>458</v>
      </c>
      <c r="AB28" s="49">
        <v>1363.796120689655</v>
      </c>
      <c r="AC28" s="23"/>
      <c r="AD28" s="23"/>
      <c r="AE28" s="49"/>
      <c r="AF28" s="5"/>
      <c r="AG28" s="5"/>
      <c r="AH28" s="5">
        <v>60</v>
      </c>
      <c r="AI28" s="5"/>
      <c r="AJ28" s="5"/>
      <c r="AK28" s="5">
        <v>15</v>
      </c>
      <c r="AL28" s="5"/>
      <c r="AM28" s="5"/>
      <c r="AN28" s="5" t="s">
        <v>81</v>
      </c>
      <c r="AO28" s="24" t="s">
        <v>42</v>
      </c>
      <c r="AP28" s="24" t="s">
        <v>33</v>
      </c>
      <c r="AQ28" s="24" t="s">
        <v>33</v>
      </c>
      <c r="AR28" s="24" t="s">
        <v>33</v>
      </c>
      <c r="AS28" s="24" t="s">
        <v>33</v>
      </c>
      <c r="AT28" s="24" t="s">
        <v>42</v>
      </c>
      <c r="AU28" s="24" t="s">
        <v>42</v>
      </c>
      <c r="AV28" s="24">
        <v>164</v>
      </c>
      <c r="AW28" s="24" t="s">
        <v>42</v>
      </c>
      <c r="AX28" s="24">
        <v>3</v>
      </c>
      <c r="AY28" s="24">
        <v>0</v>
      </c>
      <c r="AZ28" s="24">
        <v>0</v>
      </c>
      <c r="BA28" s="25">
        <v>93</v>
      </c>
      <c r="BB28" s="24">
        <v>89</v>
      </c>
      <c r="BC28" s="26">
        <f>BB28/BA28</f>
        <v>0.956989247311828</v>
      </c>
      <c r="BD28" s="27">
        <f t="shared" si="0"/>
        <v>0.12025257845510456</v>
      </c>
      <c r="BE28" s="27"/>
      <c r="BF28" s="5">
        <f t="shared" si="4"/>
        <v>1.6745049504950495</v>
      </c>
      <c r="BG28" s="5">
        <v>71.312899999999999</v>
      </c>
      <c r="BH28" s="5">
        <v>3</v>
      </c>
      <c r="BI28" s="24">
        <v>2</v>
      </c>
      <c r="BJ28" s="29" t="s">
        <v>280</v>
      </c>
      <c r="BK28" s="24">
        <v>0</v>
      </c>
      <c r="BL28" s="24"/>
      <c r="BM28" s="5" t="s">
        <v>33</v>
      </c>
      <c r="BN28" s="5" t="s">
        <v>92</v>
      </c>
      <c r="BO28" s="30" t="s">
        <v>39</v>
      </c>
      <c r="BP28" s="5"/>
    </row>
    <row r="29" spans="1:68" s="16" customFormat="1" x14ac:dyDescent="0.25">
      <c r="A29" s="12" t="s">
        <v>94</v>
      </c>
      <c r="B29" s="4">
        <v>27</v>
      </c>
      <c r="C29" s="34">
        <v>-76.633481000000003</v>
      </c>
      <c r="D29" s="34">
        <v>39.257280000000002</v>
      </c>
      <c r="E29" s="12" t="s">
        <v>94</v>
      </c>
      <c r="F29" s="4" t="s">
        <v>75</v>
      </c>
      <c r="G29" s="4"/>
      <c r="H29" s="4"/>
      <c r="I29" s="4"/>
      <c r="J29" s="4"/>
      <c r="K29" s="5" t="s">
        <v>42</v>
      </c>
      <c r="L29" s="5" t="s">
        <v>47</v>
      </c>
      <c r="M29" s="5" t="s">
        <v>48</v>
      </c>
      <c r="N29" s="25">
        <v>432625</v>
      </c>
      <c r="O29" s="5" t="s">
        <v>49</v>
      </c>
      <c r="P29" s="64">
        <v>3</v>
      </c>
      <c r="Q29" s="64">
        <v>3</v>
      </c>
      <c r="R29" s="96">
        <v>1</v>
      </c>
      <c r="S29" s="64">
        <v>4</v>
      </c>
      <c r="T29" s="5">
        <v>3</v>
      </c>
      <c r="U29" s="5">
        <v>5</v>
      </c>
      <c r="V29" s="5">
        <v>1</v>
      </c>
      <c r="W29" s="5"/>
      <c r="X29" s="5"/>
      <c r="Y29" s="5">
        <v>2</v>
      </c>
      <c r="Z29" s="22" t="s">
        <v>314</v>
      </c>
      <c r="AA29" s="36" t="s">
        <v>459</v>
      </c>
      <c r="AB29" s="49">
        <v>758.0581034482758</v>
      </c>
      <c r="AC29" s="23"/>
      <c r="AD29" s="23"/>
      <c r="AE29" s="49"/>
      <c r="AF29" s="5"/>
      <c r="AG29" s="5"/>
      <c r="AH29" s="5">
        <v>60</v>
      </c>
      <c r="AI29" s="5"/>
      <c r="AJ29" s="5"/>
      <c r="AK29" s="5">
        <v>15</v>
      </c>
      <c r="AL29" s="5"/>
      <c r="AM29" s="5"/>
      <c r="AN29" s="5" t="s">
        <v>81</v>
      </c>
      <c r="AO29" s="24" t="s">
        <v>33</v>
      </c>
      <c r="AP29" s="24" t="s">
        <v>33</v>
      </c>
      <c r="AQ29" s="24" t="s">
        <v>33</v>
      </c>
      <c r="AR29" s="24" t="s">
        <v>33</v>
      </c>
      <c r="AS29" s="24" t="s">
        <v>33</v>
      </c>
      <c r="AT29" s="24" t="s">
        <v>42</v>
      </c>
      <c r="AU29" s="24" t="s">
        <v>33</v>
      </c>
      <c r="AV29" s="24">
        <v>0</v>
      </c>
      <c r="AW29" s="24" t="s">
        <v>42</v>
      </c>
      <c r="AX29" s="24">
        <v>0</v>
      </c>
      <c r="AY29" s="24">
        <v>0</v>
      </c>
      <c r="AZ29" s="24">
        <v>0</v>
      </c>
      <c r="BA29" s="25">
        <v>0</v>
      </c>
      <c r="BB29" s="24"/>
      <c r="BC29" s="26"/>
      <c r="BD29" s="27">
        <f t="shared" si="0"/>
        <v>0</v>
      </c>
      <c r="BE29" s="27"/>
      <c r="BF29" s="5">
        <f t="shared" si="4"/>
        <v>0</v>
      </c>
      <c r="BG29" s="5">
        <v>61.125300000000003</v>
      </c>
      <c r="BH29" s="5">
        <v>5</v>
      </c>
      <c r="BI29" s="24">
        <v>2</v>
      </c>
      <c r="BJ29" s="29" t="s">
        <v>280</v>
      </c>
      <c r="BK29" s="24">
        <v>0</v>
      </c>
      <c r="BL29" s="24"/>
      <c r="BM29" s="5" t="s">
        <v>42</v>
      </c>
      <c r="BN29" s="5" t="s">
        <v>95</v>
      </c>
      <c r="BO29" s="30" t="s">
        <v>51</v>
      </c>
      <c r="BP29" s="5"/>
    </row>
    <row r="30" spans="1:68" s="16" customFormat="1" x14ac:dyDescent="0.25">
      <c r="A30" s="12" t="s">
        <v>96</v>
      </c>
      <c r="B30" s="4">
        <v>28</v>
      </c>
      <c r="C30" s="34">
        <v>-76.630365999999995</v>
      </c>
      <c r="D30" s="34">
        <v>39.263551999999997</v>
      </c>
      <c r="E30" s="12" t="s">
        <v>96</v>
      </c>
      <c r="F30" s="4" t="s">
        <v>75</v>
      </c>
      <c r="G30" s="4"/>
      <c r="H30" s="4"/>
      <c r="I30" s="4"/>
      <c r="J30" s="4"/>
      <c r="K30" s="5" t="s">
        <v>33</v>
      </c>
      <c r="L30" s="5" t="s">
        <v>47</v>
      </c>
      <c r="M30" s="5" t="s">
        <v>48</v>
      </c>
      <c r="N30" s="25">
        <v>459602</v>
      </c>
      <c r="O30" s="5" t="s">
        <v>49</v>
      </c>
      <c r="P30" s="64">
        <v>3</v>
      </c>
      <c r="Q30" s="64">
        <v>2</v>
      </c>
      <c r="R30" s="96">
        <v>1</v>
      </c>
      <c r="S30" s="64">
        <v>3</v>
      </c>
      <c r="T30" s="5">
        <v>3</v>
      </c>
      <c r="U30" s="5">
        <v>5</v>
      </c>
      <c r="V30" s="5">
        <v>1</v>
      </c>
      <c r="W30" s="5"/>
      <c r="X30" s="5"/>
      <c r="Y30" s="5">
        <v>2</v>
      </c>
      <c r="Z30" s="22" t="s">
        <v>314</v>
      </c>
      <c r="AA30" s="36" t="s">
        <v>460</v>
      </c>
      <c r="AB30" s="49">
        <v>690.75387931034481</v>
      </c>
      <c r="AC30" s="23"/>
      <c r="AD30" s="23"/>
      <c r="AE30" s="49"/>
      <c r="AF30" s="5"/>
      <c r="AG30" s="5"/>
      <c r="AH30" s="5">
        <v>60</v>
      </c>
      <c r="AI30" s="5"/>
      <c r="AJ30" s="5"/>
      <c r="AK30" s="5">
        <v>15</v>
      </c>
      <c r="AL30" s="5"/>
      <c r="AM30" s="5"/>
      <c r="AN30" s="5" t="s">
        <v>81</v>
      </c>
      <c r="AO30" s="24" t="s">
        <v>33</v>
      </c>
      <c r="AP30" s="24" t="s">
        <v>33</v>
      </c>
      <c r="AQ30" s="24" t="s">
        <v>33</v>
      </c>
      <c r="AR30" s="24" t="s">
        <v>33</v>
      </c>
      <c r="AS30" s="24" t="s">
        <v>33</v>
      </c>
      <c r="AT30" s="24" t="s">
        <v>42</v>
      </c>
      <c r="AU30" s="24" t="s">
        <v>42</v>
      </c>
      <c r="AV30" s="24">
        <v>0</v>
      </c>
      <c r="AW30" s="24" t="s">
        <v>42</v>
      </c>
      <c r="AX30" s="24">
        <v>0</v>
      </c>
      <c r="AY30" s="24">
        <v>0</v>
      </c>
      <c r="AZ30" s="24">
        <v>0</v>
      </c>
      <c r="BA30" s="25">
        <v>0</v>
      </c>
      <c r="BB30" s="24"/>
      <c r="BC30" s="26"/>
      <c r="BD30" s="27">
        <f t="shared" si="0"/>
        <v>0</v>
      </c>
      <c r="BE30" s="27"/>
      <c r="BF30" s="5">
        <f t="shared" si="4"/>
        <v>0</v>
      </c>
      <c r="BG30" s="5">
        <v>67.492500000000007</v>
      </c>
      <c r="BH30" s="5">
        <v>6</v>
      </c>
      <c r="BI30" s="24">
        <v>0</v>
      </c>
      <c r="BJ30" s="29" t="s">
        <v>279</v>
      </c>
      <c r="BK30" s="24">
        <v>0</v>
      </c>
      <c r="BL30" s="24"/>
      <c r="BM30" s="5" t="s">
        <v>33</v>
      </c>
      <c r="BN30" s="5" t="s">
        <v>95</v>
      </c>
      <c r="BO30" s="30" t="s">
        <v>51</v>
      </c>
      <c r="BP30" s="30" t="s">
        <v>97</v>
      </c>
    </row>
    <row r="31" spans="1:68" s="16" customFormat="1" x14ac:dyDescent="0.25">
      <c r="A31" s="12" t="s">
        <v>98</v>
      </c>
      <c r="B31" s="4">
        <v>29</v>
      </c>
      <c r="C31" s="35">
        <v>-76.619831000000005</v>
      </c>
      <c r="D31" s="35">
        <v>39.279035</v>
      </c>
      <c r="E31" s="12" t="s">
        <v>98</v>
      </c>
      <c r="F31" s="4" t="s">
        <v>75</v>
      </c>
      <c r="G31" s="4"/>
      <c r="H31" s="4"/>
      <c r="I31" s="4"/>
      <c r="J31" s="4"/>
      <c r="K31" s="5" t="s">
        <v>42</v>
      </c>
      <c r="L31" s="5" t="s">
        <v>47</v>
      </c>
      <c r="M31" s="5" t="s">
        <v>64</v>
      </c>
      <c r="N31" s="25">
        <v>534100</v>
      </c>
      <c r="O31" s="5" t="s">
        <v>65</v>
      </c>
      <c r="P31" s="64">
        <v>3</v>
      </c>
      <c r="Q31" s="64">
        <v>1</v>
      </c>
      <c r="R31" s="96">
        <v>1</v>
      </c>
      <c r="S31" s="64">
        <v>4</v>
      </c>
      <c r="T31" s="5">
        <v>4</v>
      </c>
      <c r="U31" s="5">
        <v>5</v>
      </c>
      <c r="V31" s="5">
        <v>1</v>
      </c>
      <c r="W31" s="5"/>
      <c r="X31" s="5"/>
      <c r="Y31" s="5">
        <v>1</v>
      </c>
      <c r="Z31" s="22"/>
      <c r="AA31" s="22"/>
      <c r="AB31" s="49">
        <v>269.21689655172412</v>
      </c>
      <c r="AC31" s="23"/>
      <c r="AD31" s="23"/>
      <c r="AE31" s="5"/>
      <c r="AF31" s="5"/>
      <c r="AG31" s="5"/>
      <c r="AH31" s="5">
        <v>60</v>
      </c>
      <c r="AI31" s="5"/>
      <c r="AJ31" s="5"/>
      <c r="AK31" s="5">
        <v>15</v>
      </c>
      <c r="AL31" s="5"/>
      <c r="AM31" s="5"/>
      <c r="AN31" s="5" t="s">
        <v>81</v>
      </c>
      <c r="AO31" s="24" t="s">
        <v>33</v>
      </c>
      <c r="AP31" s="24" t="s">
        <v>33</v>
      </c>
      <c r="AQ31" s="24" t="s">
        <v>33</v>
      </c>
      <c r="AR31" s="24" t="s">
        <v>33</v>
      </c>
      <c r="AS31" s="24" t="s">
        <v>42</v>
      </c>
      <c r="AT31" s="24" t="s">
        <v>42</v>
      </c>
      <c r="AU31" s="24" t="s">
        <v>42</v>
      </c>
      <c r="AV31" s="24">
        <v>0</v>
      </c>
      <c r="AW31" s="24" t="s">
        <v>42</v>
      </c>
      <c r="AX31" s="24">
        <v>0</v>
      </c>
      <c r="AY31" s="24">
        <v>0</v>
      </c>
      <c r="AZ31" s="24">
        <v>0</v>
      </c>
      <c r="BA31" s="25">
        <v>0</v>
      </c>
      <c r="BB31" s="24"/>
      <c r="BC31" s="26"/>
      <c r="BD31" s="27">
        <f t="shared" si="0"/>
        <v>0</v>
      </c>
      <c r="BE31" s="27"/>
      <c r="BF31" s="5">
        <f t="shared" si="4"/>
        <v>0</v>
      </c>
      <c r="BG31" s="5">
        <v>266.14999999999998</v>
      </c>
      <c r="BH31" s="5">
        <v>6</v>
      </c>
      <c r="BI31" s="24">
        <v>0</v>
      </c>
      <c r="BJ31" s="29" t="s">
        <v>279</v>
      </c>
      <c r="BK31" s="24">
        <v>0</v>
      </c>
      <c r="BL31" s="24"/>
      <c r="BM31" s="5" t="s">
        <v>42</v>
      </c>
      <c r="BN31" s="5" t="s">
        <v>99</v>
      </c>
      <c r="BO31" s="30" t="s">
        <v>51</v>
      </c>
      <c r="BP31" s="5"/>
    </row>
    <row r="32" spans="1:68" s="16" customFormat="1" x14ac:dyDescent="0.25">
      <c r="A32" s="12" t="s">
        <v>350</v>
      </c>
      <c r="B32" s="4">
        <v>30</v>
      </c>
      <c r="C32" s="34">
        <v>-76.619568000000001</v>
      </c>
      <c r="D32" s="34">
        <v>39.286178</v>
      </c>
      <c r="E32" s="12" t="s">
        <v>350</v>
      </c>
      <c r="F32" s="4" t="s">
        <v>75</v>
      </c>
      <c r="G32" s="4"/>
      <c r="H32" s="4"/>
      <c r="I32" s="4"/>
      <c r="J32" s="4"/>
      <c r="K32" s="5" t="s">
        <v>42</v>
      </c>
      <c r="L32" s="5" t="s">
        <v>47</v>
      </c>
      <c r="M32" s="5" t="s">
        <v>64</v>
      </c>
      <c r="N32" s="25">
        <v>556292</v>
      </c>
      <c r="O32" s="5" t="s">
        <v>65</v>
      </c>
      <c r="P32" s="64">
        <v>3</v>
      </c>
      <c r="Q32" s="64">
        <v>1</v>
      </c>
      <c r="R32" s="96">
        <v>1</v>
      </c>
      <c r="S32" s="64">
        <v>3</v>
      </c>
      <c r="T32" s="5">
        <v>5</v>
      </c>
      <c r="U32" s="5">
        <v>5</v>
      </c>
      <c r="V32" s="5">
        <v>2</v>
      </c>
      <c r="W32" s="5"/>
      <c r="X32" s="5"/>
      <c r="Y32" s="5">
        <v>4</v>
      </c>
      <c r="Z32" s="22" t="s">
        <v>313</v>
      </c>
      <c r="AA32" s="36" t="s">
        <v>461</v>
      </c>
      <c r="AB32" s="49">
        <v>1154.7987931034484</v>
      </c>
      <c r="AC32" s="23"/>
      <c r="AD32" s="23"/>
      <c r="AE32" s="5"/>
      <c r="AF32" s="5"/>
      <c r="AG32" s="5"/>
      <c r="AH32" s="5">
        <v>50</v>
      </c>
      <c r="AI32" s="5"/>
      <c r="AJ32" s="5"/>
      <c r="AK32" s="5">
        <v>10</v>
      </c>
      <c r="AL32" s="5"/>
      <c r="AM32" s="5"/>
      <c r="AN32" s="5" t="s">
        <v>81</v>
      </c>
      <c r="AO32" s="24" t="s">
        <v>42</v>
      </c>
      <c r="AP32" s="24" t="s">
        <v>33</v>
      </c>
      <c r="AQ32" s="24" t="s">
        <v>33</v>
      </c>
      <c r="AR32" s="24" t="s">
        <v>33</v>
      </c>
      <c r="AS32" s="24" t="s">
        <v>33</v>
      </c>
      <c r="AT32" s="24" t="s">
        <v>42</v>
      </c>
      <c r="AU32" s="24" t="s">
        <v>42</v>
      </c>
      <c r="AV32" s="24">
        <v>0</v>
      </c>
      <c r="AW32" s="24" t="s">
        <v>42</v>
      </c>
      <c r="AX32" s="24">
        <v>0</v>
      </c>
      <c r="AY32" s="24">
        <v>0</v>
      </c>
      <c r="AZ32" s="24">
        <v>0</v>
      </c>
      <c r="BA32" s="25">
        <v>0</v>
      </c>
      <c r="BB32" s="24"/>
      <c r="BC32" s="26"/>
      <c r="BD32" s="27">
        <f t="shared" si="0"/>
        <v>0</v>
      </c>
      <c r="BE32" s="27"/>
      <c r="BF32" s="5">
        <f t="shared" si="4"/>
        <v>0</v>
      </c>
      <c r="BG32" s="5">
        <v>296.71199999999999</v>
      </c>
      <c r="BH32" s="5">
        <v>7</v>
      </c>
      <c r="BI32" s="24">
        <v>0</v>
      </c>
      <c r="BJ32" s="29" t="s">
        <v>279</v>
      </c>
      <c r="BK32" s="24">
        <v>0</v>
      </c>
      <c r="BL32" s="24"/>
      <c r="BM32" s="5" t="s">
        <v>42</v>
      </c>
      <c r="BN32" s="5" t="s">
        <v>69</v>
      </c>
      <c r="BO32" s="30" t="s">
        <v>51</v>
      </c>
      <c r="BP32" s="5"/>
    </row>
    <row r="33" spans="1:68" s="16" customFormat="1" x14ac:dyDescent="0.25">
      <c r="A33" s="12" t="s">
        <v>267</v>
      </c>
      <c r="B33" s="4">
        <v>31</v>
      </c>
      <c r="C33" s="34">
        <v>-76.619904000000005</v>
      </c>
      <c r="D33" s="34">
        <v>39.289630000000002</v>
      </c>
      <c r="E33" s="12" t="s">
        <v>267</v>
      </c>
      <c r="F33" s="4" t="s">
        <v>75</v>
      </c>
      <c r="G33" s="4"/>
      <c r="H33" s="4"/>
      <c r="I33" s="4"/>
      <c r="J33" s="4"/>
      <c r="K33" s="5" t="s">
        <v>42</v>
      </c>
      <c r="L33" s="5" t="s">
        <v>47</v>
      </c>
      <c r="M33" s="5" t="s">
        <v>64</v>
      </c>
      <c r="N33" s="25">
        <v>565504</v>
      </c>
      <c r="O33" s="5" t="s">
        <v>65</v>
      </c>
      <c r="P33" s="64">
        <v>3</v>
      </c>
      <c r="Q33" s="64">
        <v>1</v>
      </c>
      <c r="R33" s="96">
        <v>1</v>
      </c>
      <c r="S33" s="64">
        <v>4</v>
      </c>
      <c r="T33" s="5">
        <v>5</v>
      </c>
      <c r="U33" s="5">
        <v>5</v>
      </c>
      <c r="V33" s="5">
        <v>2</v>
      </c>
      <c r="W33" s="5"/>
      <c r="X33" s="5"/>
      <c r="Y33" s="5">
        <v>5</v>
      </c>
      <c r="Z33" s="22" t="s">
        <v>317</v>
      </c>
      <c r="AA33" s="36" t="s">
        <v>462</v>
      </c>
      <c r="AB33" s="49">
        <v>2529.2218965517245</v>
      </c>
      <c r="AC33" s="23"/>
      <c r="AD33" s="23"/>
      <c r="AE33" s="5"/>
      <c r="AF33" s="5"/>
      <c r="AG33" s="5"/>
      <c r="AH33" s="5">
        <v>50</v>
      </c>
      <c r="AI33" s="5"/>
      <c r="AJ33" s="5"/>
      <c r="AK33" s="5">
        <v>10</v>
      </c>
      <c r="AL33" s="5"/>
      <c r="AM33" s="5"/>
      <c r="AN33" s="5" t="s">
        <v>101</v>
      </c>
      <c r="AO33" s="24" t="s">
        <v>33</v>
      </c>
      <c r="AP33" s="24" t="s">
        <v>33</v>
      </c>
      <c r="AQ33" s="24" t="s">
        <v>33</v>
      </c>
      <c r="AR33" s="24" t="s">
        <v>33</v>
      </c>
      <c r="AS33" s="24" t="s">
        <v>42</v>
      </c>
      <c r="AT33" s="24" t="s">
        <v>42</v>
      </c>
      <c r="AU33" s="24" t="s">
        <v>42</v>
      </c>
      <c r="AV33" s="24">
        <v>0</v>
      </c>
      <c r="AW33" s="24" t="s">
        <v>42</v>
      </c>
      <c r="AX33" s="24">
        <v>0</v>
      </c>
      <c r="AY33" s="24">
        <v>0</v>
      </c>
      <c r="AZ33" s="24">
        <v>0</v>
      </c>
      <c r="BA33" s="25">
        <v>0</v>
      </c>
      <c r="BB33" s="24"/>
      <c r="BC33" s="26"/>
      <c r="BD33" s="27">
        <f t="shared" si="0"/>
        <v>0</v>
      </c>
      <c r="BE33" s="27"/>
      <c r="BF33" s="5">
        <f t="shared" si="4"/>
        <v>0</v>
      </c>
      <c r="BG33" s="5">
        <v>336.18900000000002</v>
      </c>
      <c r="BH33" s="5">
        <v>10</v>
      </c>
      <c r="BI33" s="24">
        <v>0</v>
      </c>
      <c r="BJ33" s="29" t="s">
        <v>279</v>
      </c>
      <c r="BK33" s="24">
        <v>0</v>
      </c>
      <c r="BL33" s="24"/>
      <c r="BM33" s="5" t="s">
        <v>33</v>
      </c>
      <c r="BN33" s="5" t="s">
        <v>69</v>
      </c>
      <c r="BO33" s="30" t="s">
        <v>51</v>
      </c>
      <c r="BP33" s="5"/>
    </row>
    <row r="34" spans="1:68" s="16" customFormat="1" x14ac:dyDescent="0.25">
      <c r="A34" s="12" t="s">
        <v>104</v>
      </c>
      <c r="B34" s="4">
        <v>32</v>
      </c>
      <c r="C34" s="35">
        <v>-76.620005000000006</v>
      </c>
      <c r="D34" s="35">
        <v>39.291398000000001</v>
      </c>
      <c r="E34" s="12" t="s">
        <v>104</v>
      </c>
      <c r="F34" s="4" t="s">
        <v>75</v>
      </c>
      <c r="G34" s="4"/>
      <c r="H34" s="4"/>
      <c r="I34" s="4"/>
      <c r="J34" s="4"/>
      <c r="K34" s="5" t="s">
        <v>42</v>
      </c>
      <c r="L34" s="5" t="s">
        <v>47</v>
      </c>
      <c r="M34" s="5" t="s">
        <v>64</v>
      </c>
      <c r="N34" s="25">
        <v>574546</v>
      </c>
      <c r="O34" s="5" t="s">
        <v>65</v>
      </c>
      <c r="P34" s="64">
        <v>3</v>
      </c>
      <c r="Q34" s="64">
        <v>1</v>
      </c>
      <c r="R34" s="96">
        <v>1</v>
      </c>
      <c r="S34" s="64">
        <v>5</v>
      </c>
      <c r="T34" s="5">
        <v>5</v>
      </c>
      <c r="U34" s="5">
        <v>5</v>
      </c>
      <c r="V34" s="5">
        <v>2</v>
      </c>
      <c r="W34" s="5"/>
      <c r="X34" s="5"/>
      <c r="Y34" s="5">
        <v>6</v>
      </c>
      <c r="Z34" s="36" t="s">
        <v>357</v>
      </c>
      <c r="AA34" s="36" t="s">
        <v>463</v>
      </c>
      <c r="AB34" s="49">
        <v>3485.6503448275862</v>
      </c>
      <c r="AC34" s="23"/>
      <c r="AD34" s="23"/>
      <c r="AE34" s="5"/>
      <c r="AF34" s="5"/>
      <c r="AG34" s="5"/>
      <c r="AH34" s="5">
        <v>50</v>
      </c>
      <c r="AI34" s="5"/>
      <c r="AJ34" s="5"/>
      <c r="AK34" s="5">
        <v>10</v>
      </c>
      <c r="AL34" s="5"/>
      <c r="AM34" s="5"/>
      <c r="AN34" s="5" t="s">
        <v>101</v>
      </c>
      <c r="AO34" s="24" t="s">
        <v>42</v>
      </c>
      <c r="AP34" s="24" t="s">
        <v>33</v>
      </c>
      <c r="AQ34" s="24" t="s">
        <v>33</v>
      </c>
      <c r="AR34" s="24" t="s">
        <v>33</v>
      </c>
      <c r="AS34" s="24" t="s">
        <v>33</v>
      </c>
      <c r="AT34" s="24" t="s">
        <v>42</v>
      </c>
      <c r="AU34" s="24" t="s">
        <v>42</v>
      </c>
      <c r="AV34" s="24">
        <v>0</v>
      </c>
      <c r="AW34" s="24" t="s">
        <v>42</v>
      </c>
      <c r="AX34" s="24">
        <v>0</v>
      </c>
      <c r="AY34" s="24">
        <v>0</v>
      </c>
      <c r="AZ34" s="24">
        <v>0</v>
      </c>
      <c r="BA34" s="25">
        <v>0</v>
      </c>
      <c r="BB34" s="24"/>
      <c r="BC34" s="26"/>
      <c r="BD34" s="27">
        <f t="shared" si="0"/>
        <v>0</v>
      </c>
      <c r="BE34" s="27"/>
      <c r="BF34" s="5">
        <f t="shared" si="4"/>
        <v>0</v>
      </c>
      <c r="BG34" s="5">
        <v>369.29899999999998</v>
      </c>
      <c r="BH34" s="5">
        <v>10</v>
      </c>
      <c r="BI34" s="24">
        <v>0</v>
      </c>
      <c r="BJ34" s="29" t="s">
        <v>279</v>
      </c>
      <c r="BK34" s="24">
        <v>0</v>
      </c>
      <c r="BL34" s="24"/>
      <c r="BM34" s="5" t="s">
        <v>42</v>
      </c>
      <c r="BN34" s="5" t="s">
        <v>69</v>
      </c>
      <c r="BO34" s="30" t="s">
        <v>51</v>
      </c>
      <c r="BP34" s="5"/>
    </row>
    <row r="35" spans="1:68" s="16" customFormat="1" x14ac:dyDescent="0.25">
      <c r="A35" s="12" t="s">
        <v>105</v>
      </c>
      <c r="B35" s="4">
        <v>33</v>
      </c>
      <c r="C35" s="34">
        <v>-76.620251999999994</v>
      </c>
      <c r="D35" s="34">
        <v>39.296337999999999</v>
      </c>
      <c r="E35" s="12" t="s">
        <v>105</v>
      </c>
      <c r="F35" s="4" t="s">
        <v>75</v>
      </c>
      <c r="G35" s="4"/>
      <c r="H35" s="4"/>
      <c r="I35" s="4"/>
      <c r="J35" s="4"/>
      <c r="K35" s="5" t="s">
        <v>42</v>
      </c>
      <c r="L35" s="5" t="s">
        <v>47</v>
      </c>
      <c r="M35" s="5" t="s">
        <v>64</v>
      </c>
      <c r="N35" s="25">
        <v>586468</v>
      </c>
      <c r="O35" s="5" t="s">
        <v>65</v>
      </c>
      <c r="P35" s="64">
        <v>3</v>
      </c>
      <c r="Q35" s="64">
        <v>1</v>
      </c>
      <c r="R35" s="96">
        <v>1</v>
      </c>
      <c r="S35" s="64">
        <v>4</v>
      </c>
      <c r="T35" s="5">
        <v>5</v>
      </c>
      <c r="U35" s="5">
        <v>5</v>
      </c>
      <c r="V35" s="5">
        <v>2</v>
      </c>
      <c r="W35" s="5"/>
      <c r="X35" s="5"/>
      <c r="Y35" s="5">
        <v>2</v>
      </c>
      <c r="Z35" s="22" t="s">
        <v>314</v>
      </c>
      <c r="AA35" s="36" t="s">
        <v>464</v>
      </c>
      <c r="AB35" s="49">
        <v>517.1798275862069</v>
      </c>
      <c r="AC35" s="23"/>
      <c r="AD35" s="23"/>
      <c r="AE35" s="5"/>
      <c r="AF35" s="5"/>
      <c r="AG35" s="5"/>
      <c r="AH35" s="5">
        <v>50</v>
      </c>
      <c r="AI35" s="5"/>
      <c r="AJ35" s="5"/>
      <c r="AK35" s="5">
        <v>10</v>
      </c>
      <c r="AL35" s="5"/>
      <c r="AM35" s="5"/>
      <c r="AN35" s="5" t="s">
        <v>101</v>
      </c>
      <c r="AO35" s="24" t="s">
        <v>42</v>
      </c>
      <c r="AP35" s="24" t="s">
        <v>33</v>
      </c>
      <c r="AQ35" s="24" t="s">
        <v>33</v>
      </c>
      <c r="AR35" s="24" t="s">
        <v>33</v>
      </c>
      <c r="AS35" s="24" t="s">
        <v>33</v>
      </c>
      <c r="AT35" s="24" t="s">
        <v>42</v>
      </c>
      <c r="AU35" s="24" t="s">
        <v>42</v>
      </c>
      <c r="AV35" s="24">
        <v>0</v>
      </c>
      <c r="AW35" s="24" t="s">
        <v>42</v>
      </c>
      <c r="AX35" s="24">
        <v>0</v>
      </c>
      <c r="AY35" s="24">
        <v>0</v>
      </c>
      <c r="AZ35" s="24">
        <v>0</v>
      </c>
      <c r="BA35" s="25">
        <v>0</v>
      </c>
      <c r="BB35" s="24"/>
      <c r="BC35" s="26"/>
      <c r="BD35" s="27">
        <f t="shared" si="0"/>
        <v>0</v>
      </c>
      <c r="BE35" s="27"/>
      <c r="BF35" s="5">
        <f t="shared" si="4"/>
        <v>0</v>
      </c>
      <c r="BG35" s="5">
        <v>373.11900000000003</v>
      </c>
      <c r="BH35" s="5">
        <v>8</v>
      </c>
      <c r="BI35" s="24">
        <v>0</v>
      </c>
      <c r="BJ35" s="29" t="s">
        <v>279</v>
      </c>
      <c r="BK35" s="24">
        <v>0</v>
      </c>
      <c r="BL35" s="24"/>
      <c r="BM35" s="5" t="s">
        <v>33</v>
      </c>
      <c r="BN35" s="5" t="s">
        <v>106</v>
      </c>
      <c r="BO35" s="30" t="s">
        <v>51</v>
      </c>
      <c r="BP35" s="5"/>
    </row>
    <row r="36" spans="1:68" s="16" customFormat="1" x14ac:dyDescent="0.25">
      <c r="A36" s="12" t="s">
        <v>107</v>
      </c>
      <c r="B36" s="4">
        <v>34</v>
      </c>
      <c r="C36" s="34">
        <v>-76.620634999999993</v>
      </c>
      <c r="D36" s="34">
        <v>39.303238</v>
      </c>
      <c r="E36" s="12" t="s">
        <v>107</v>
      </c>
      <c r="F36" s="4" t="s">
        <v>75</v>
      </c>
      <c r="G36" s="4"/>
      <c r="H36" s="4"/>
      <c r="I36" s="4"/>
      <c r="J36" s="4"/>
      <c r="K36" s="5" t="s">
        <v>33</v>
      </c>
      <c r="L36" s="5" t="s">
        <v>47</v>
      </c>
      <c r="M36" s="5" t="s">
        <v>64</v>
      </c>
      <c r="N36" s="25">
        <v>599830</v>
      </c>
      <c r="O36" s="5" t="s">
        <v>65</v>
      </c>
      <c r="P36" s="64">
        <v>3</v>
      </c>
      <c r="Q36" s="64">
        <v>2</v>
      </c>
      <c r="R36" s="96">
        <v>1</v>
      </c>
      <c r="S36" s="64">
        <v>4</v>
      </c>
      <c r="T36" s="5">
        <v>5</v>
      </c>
      <c r="U36" s="5">
        <v>5</v>
      </c>
      <c r="V36" s="5">
        <v>2</v>
      </c>
      <c r="W36" s="5"/>
      <c r="X36" s="5"/>
      <c r="Y36" s="5">
        <v>4</v>
      </c>
      <c r="Z36" s="22" t="s">
        <v>319</v>
      </c>
      <c r="AA36" s="36" t="s">
        <v>465</v>
      </c>
      <c r="AB36" s="49">
        <v>835.98931034482746</v>
      </c>
      <c r="AC36" s="23"/>
      <c r="AD36" s="23"/>
      <c r="AE36" s="5"/>
      <c r="AF36" s="5"/>
      <c r="AG36" s="5"/>
      <c r="AH36" s="5">
        <v>50</v>
      </c>
      <c r="AI36" s="5"/>
      <c r="AJ36" s="5"/>
      <c r="AK36" s="5">
        <v>10</v>
      </c>
      <c r="AL36" s="5"/>
      <c r="AM36" s="5"/>
      <c r="AN36" s="5" t="s">
        <v>81</v>
      </c>
      <c r="AO36" s="24" t="s">
        <v>42</v>
      </c>
      <c r="AP36" s="24" t="s">
        <v>33</v>
      </c>
      <c r="AQ36" s="24" t="s">
        <v>33</v>
      </c>
      <c r="AR36" s="24" t="s">
        <v>33</v>
      </c>
      <c r="AS36" s="24" t="s">
        <v>33</v>
      </c>
      <c r="AT36" s="24" t="s">
        <v>42</v>
      </c>
      <c r="AU36" s="24" t="s">
        <v>33</v>
      </c>
      <c r="AV36" s="24">
        <v>0</v>
      </c>
      <c r="AW36" s="24" t="s">
        <v>42</v>
      </c>
      <c r="AX36" s="24">
        <v>0</v>
      </c>
      <c r="AY36" s="24">
        <v>0</v>
      </c>
      <c r="AZ36" s="24">
        <v>0</v>
      </c>
      <c r="BA36" s="25">
        <v>0</v>
      </c>
      <c r="BB36" s="24"/>
      <c r="BC36" s="26"/>
      <c r="BD36" s="27">
        <f t="shared" ref="BD36:BD65" si="5">AV36/(AB36+AC36)</f>
        <v>0</v>
      </c>
      <c r="BE36" s="27"/>
      <c r="BF36" s="5">
        <f t="shared" si="4"/>
        <v>0</v>
      </c>
      <c r="BG36" s="5">
        <v>342.55599999999998</v>
      </c>
      <c r="BH36" s="5">
        <v>9</v>
      </c>
      <c r="BI36" s="24">
        <v>0</v>
      </c>
      <c r="BJ36" s="29" t="s">
        <v>279</v>
      </c>
      <c r="BK36" s="24">
        <v>0</v>
      </c>
      <c r="BL36" s="24"/>
      <c r="BM36" s="5" t="s">
        <v>42</v>
      </c>
      <c r="BN36" s="5" t="s">
        <v>108</v>
      </c>
      <c r="BO36" s="30" t="s">
        <v>51</v>
      </c>
      <c r="BP36" s="30" t="s">
        <v>67</v>
      </c>
    </row>
    <row r="37" spans="1:68" s="16" customFormat="1" x14ac:dyDescent="0.25">
      <c r="A37" s="12" t="s">
        <v>268</v>
      </c>
      <c r="B37" s="4">
        <v>35</v>
      </c>
      <c r="C37" s="34">
        <v>-76.620518000000004</v>
      </c>
      <c r="D37" s="34">
        <v>39.307004999999997</v>
      </c>
      <c r="E37" s="12" t="s">
        <v>268</v>
      </c>
      <c r="F37" s="4" t="s">
        <v>75</v>
      </c>
      <c r="G37" s="4"/>
      <c r="H37" s="4"/>
      <c r="I37" s="4"/>
      <c r="J37" s="4"/>
      <c r="K37" s="5" t="s">
        <v>42</v>
      </c>
      <c r="L37" s="5" t="s">
        <v>47</v>
      </c>
      <c r="M37" s="5" t="s">
        <v>64</v>
      </c>
      <c r="N37" s="25">
        <v>609062</v>
      </c>
      <c r="O37" s="5" t="s">
        <v>65</v>
      </c>
      <c r="P37" s="64">
        <v>3</v>
      </c>
      <c r="Q37" s="64">
        <v>5</v>
      </c>
      <c r="R37" s="96">
        <v>1</v>
      </c>
      <c r="S37" s="64">
        <v>4</v>
      </c>
      <c r="T37" s="5">
        <v>5</v>
      </c>
      <c r="U37" s="5">
        <v>5</v>
      </c>
      <c r="V37" s="5">
        <v>2</v>
      </c>
      <c r="W37" s="5"/>
      <c r="X37" s="5"/>
      <c r="Y37" s="5">
        <v>1</v>
      </c>
      <c r="Z37" s="22"/>
      <c r="AA37" s="36">
        <v>27</v>
      </c>
      <c r="AB37" s="49">
        <v>804.10836206896545</v>
      </c>
      <c r="AC37" s="23"/>
      <c r="AD37" s="23"/>
      <c r="AE37" s="5"/>
      <c r="AF37" s="5"/>
      <c r="AG37" s="5"/>
      <c r="AH37" s="5">
        <v>50</v>
      </c>
      <c r="AI37" s="5"/>
      <c r="AJ37" s="5"/>
      <c r="AK37" s="5">
        <v>10</v>
      </c>
      <c r="AL37" s="5"/>
      <c r="AM37" s="5"/>
      <c r="AN37" s="5" t="s">
        <v>81</v>
      </c>
      <c r="AO37" s="24" t="s">
        <v>33</v>
      </c>
      <c r="AP37" s="24" t="s">
        <v>33</v>
      </c>
      <c r="AQ37" s="24" t="s">
        <v>33</v>
      </c>
      <c r="AR37" s="24" t="s">
        <v>33</v>
      </c>
      <c r="AS37" s="24" t="s">
        <v>33</v>
      </c>
      <c r="AT37" s="24" t="s">
        <v>33</v>
      </c>
      <c r="AU37" s="24" t="s">
        <v>33</v>
      </c>
      <c r="AV37" s="24">
        <v>0</v>
      </c>
      <c r="AW37" s="24" t="s">
        <v>42</v>
      </c>
      <c r="AX37" s="24">
        <v>0</v>
      </c>
      <c r="AY37" s="24">
        <v>0</v>
      </c>
      <c r="AZ37" s="24">
        <v>0</v>
      </c>
      <c r="BA37" s="25">
        <v>0</v>
      </c>
      <c r="BB37" s="24"/>
      <c r="BC37" s="26"/>
      <c r="BD37" s="27">
        <f t="shared" si="5"/>
        <v>0</v>
      </c>
      <c r="BE37" s="27"/>
      <c r="BF37" s="5">
        <f t="shared" si="4"/>
        <v>0</v>
      </c>
      <c r="BG37" s="5">
        <v>331.09500000000003</v>
      </c>
      <c r="BH37" s="5">
        <v>8</v>
      </c>
      <c r="BI37" s="24">
        <v>2</v>
      </c>
      <c r="BJ37" s="29" t="s">
        <v>280</v>
      </c>
      <c r="BK37" s="24">
        <v>0</v>
      </c>
      <c r="BL37" s="24"/>
      <c r="BM37" s="5" t="s">
        <v>33</v>
      </c>
      <c r="BN37" s="5" t="s">
        <v>95</v>
      </c>
      <c r="BO37" s="30" t="s">
        <v>51</v>
      </c>
      <c r="BP37" s="5"/>
    </row>
    <row r="38" spans="1:68" s="16" customFormat="1" x14ac:dyDescent="0.25">
      <c r="A38" s="12" t="s">
        <v>111</v>
      </c>
      <c r="B38" s="4">
        <v>36</v>
      </c>
      <c r="C38" s="34">
        <v>-76.622501999999997</v>
      </c>
      <c r="D38" s="34">
        <v>39.311324999999997</v>
      </c>
      <c r="E38" s="12" t="s">
        <v>111</v>
      </c>
      <c r="F38" s="4" t="s">
        <v>75</v>
      </c>
      <c r="G38" s="4"/>
      <c r="H38" s="4"/>
      <c r="I38" s="4"/>
      <c r="J38" s="4"/>
      <c r="K38" s="5" t="s">
        <v>42</v>
      </c>
      <c r="L38" s="5" t="s">
        <v>47</v>
      </c>
      <c r="M38" s="5" t="s">
        <v>48</v>
      </c>
      <c r="N38" s="25">
        <v>612599</v>
      </c>
      <c r="O38" s="5" t="s">
        <v>49</v>
      </c>
      <c r="P38" s="64">
        <v>3</v>
      </c>
      <c r="Q38" s="64">
        <v>3</v>
      </c>
      <c r="R38" s="96">
        <v>3</v>
      </c>
      <c r="S38" s="64">
        <v>3</v>
      </c>
      <c r="T38" s="5">
        <v>4</v>
      </c>
      <c r="U38" s="5">
        <v>5</v>
      </c>
      <c r="V38" s="5">
        <v>1</v>
      </c>
      <c r="W38" s="5"/>
      <c r="X38" s="5"/>
      <c r="Y38" s="5">
        <v>2</v>
      </c>
      <c r="Z38" s="22" t="s">
        <v>314</v>
      </c>
      <c r="AA38" s="22">
        <v>13</v>
      </c>
      <c r="AB38" s="49">
        <v>1066.240603448276</v>
      </c>
      <c r="AC38" s="23"/>
      <c r="AD38" s="23"/>
      <c r="AE38" s="5"/>
      <c r="AF38" s="5"/>
      <c r="AG38" s="5"/>
      <c r="AH38" s="5">
        <v>60</v>
      </c>
      <c r="AI38" s="5"/>
      <c r="AJ38" s="5"/>
      <c r="AK38" s="5">
        <v>15</v>
      </c>
      <c r="AL38" s="5"/>
      <c r="AM38" s="5"/>
      <c r="AN38" s="5" t="s">
        <v>81</v>
      </c>
      <c r="AO38" s="24" t="s">
        <v>33</v>
      </c>
      <c r="AP38" s="24" t="s">
        <v>33</v>
      </c>
      <c r="AQ38" s="24" t="s">
        <v>33</v>
      </c>
      <c r="AR38" s="24" t="s">
        <v>33</v>
      </c>
      <c r="AS38" s="24" t="s">
        <v>33</v>
      </c>
      <c r="AT38" s="24" t="s">
        <v>42</v>
      </c>
      <c r="AU38" s="24" t="s">
        <v>33</v>
      </c>
      <c r="AV38" s="24">
        <v>36</v>
      </c>
      <c r="AW38" s="24" t="s">
        <v>42</v>
      </c>
      <c r="AX38" s="24">
        <v>2</v>
      </c>
      <c r="AY38" s="24">
        <v>0</v>
      </c>
      <c r="AZ38" s="24">
        <v>0</v>
      </c>
      <c r="BA38" s="25">
        <v>36</v>
      </c>
      <c r="BB38" s="24">
        <v>32</v>
      </c>
      <c r="BC38" s="26">
        <f>BB38/BA38</f>
        <v>0.88888888888888884</v>
      </c>
      <c r="BD38" s="27">
        <f t="shared" si="5"/>
        <v>3.3763486293407113E-2</v>
      </c>
      <c r="BE38" s="27"/>
      <c r="BF38" s="5">
        <f t="shared" si="4"/>
        <v>0.36757425742574257</v>
      </c>
      <c r="BG38" s="5">
        <v>245.77500000000001</v>
      </c>
      <c r="BH38" s="5">
        <v>6</v>
      </c>
      <c r="BI38" s="24">
        <v>2</v>
      </c>
      <c r="BJ38" s="29" t="s">
        <v>280</v>
      </c>
      <c r="BK38" s="24">
        <v>0</v>
      </c>
      <c r="BL38" s="24"/>
      <c r="BM38" s="5" t="s">
        <v>33</v>
      </c>
      <c r="BN38" s="5" t="s">
        <v>112</v>
      </c>
      <c r="BO38" s="30" t="s">
        <v>51</v>
      </c>
      <c r="BP38" s="5"/>
    </row>
    <row r="39" spans="1:68" s="16" customFormat="1" x14ac:dyDescent="0.25">
      <c r="A39" s="12" t="s">
        <v>113</v>
      </c>
      <c r="B39" s="4">
        <v>37</v>
      </c>
      <c r="C39" s="34">
        <v>-76.643692999999999</v>
      </c>
      <c r="D39" s="34">
        <v>39.331572999999999</v>
      </c>
      <c r="E39" s="12" t="s">
        <v>113</v>
      </c>
      <c r="F39" s="4" t="s">
        <v>75</v>
      </c>
      <c r="G39" s="4"/>
      <c r="H39" s="4"/>
      <c r="I39" s="4"/>
      <c r="J39" s="4"/>
      <c r="K39" s="5" t="s">
        <v>42</v>
      </c>
      <c r="L39" s="5" t="s">
        <v>47</v>
      </c>
      <c r="M39" s="5" t="s">
        <v>48</v>
      </c>
      <c r="N39" s="25">
        <v>157509</v>
      </c>
      <c r="O39" s="5" t="s">
        <v>49</v>
      </c>
      <c r="P39" s="64">
        <v>3</v>
      </c>
      <c r="Q39" s="64">
        <v>3</v>
      </c>
      <c r="R39" s="96">
        <v>1</v>
      </c>
      <c r="S39" s="64">
        <v>3</v>
      </c>
      <c r="T39" s="5">
        <v>3</v>
      </c>
      <c r="U39" s="5">
        <v>5</v>
      </c>
      <c r="V39" s="5">
        <v>1</v>
      </c>
      <c r="W39" s="5"/>
      <c r="X39" s="5"/>
      <c r="Y39" s="5">
        <v>3</v>
      </c>
      <c r="Z39" s="22" t="s">
        <v>315</v>
      </c>
      <c r="AA39" s="36" t="s">
        <v>466</v>
      </c>
      <c r="AB39" s="49">
        <v>439.24862068965513</v>
      </c>
      <c r="AC39" s="23"/>
      <c r="AD39" s="23"/>
      <c r="AE39" s="5"/>
      <c r="AF39" s="5"/>
      <c r="AG39" s="5"/>
      <c r="AH39" s="5">
        <v>60</v>
      </c>
      <c r="AI39" s="5"/>
      <c r="AJ39" s="5"/>
      <c r="AK39" s="5">
        <v>15</v>
      </c>
      <c r="AL39" s="5"/>
      <c r="AM39" s="5"/>
      <c r="AN39" s="5" t="s">
        <v>81</v>
      </c>
      <c r="AO39" s="24" t="s">
        <v>33</v>
      </c>
      <c r="AP39" s="24" t="s">
        <v>33</v>
      </c>
      <c r="AQ39" s="24" t="s">
        <v>33</v>
      </c>
      <c r="AR39" s="24" t="s">
        <v>33</v>
      </c>
      <c r="AS39" s="24" t="s">
        <v>33</v>
      </c>
      <c r="AT39" s="24" t="s">
        <v>42</v>
      </c>
      <c r="AU39" s="24" t="s">
        <v>33</v>
      </c>
      <c r="AV39" s="24">
        <v>0</v>
      </c>
      <c r="AW39" s="24" t="s">
        <v>42</v>
      </c>
      <c r="AX39" s="24">
        <v>0</v>
      </c>
      <c r="AY39" s="24">
        <v>0</v>
      </c>
      <c r="AZ39" s="24">
        <v>0</v>
      </c>
      <c r="BA39" s="25">
        <v>0</v>
      </c>
      <c r="BB39" s="24"/>
      <c r="BC39" s="26"/>
      <c r="BD39" s="27">
        <f t="shared" si="5"/>
        <v>0</v>
      </c>
      <c r="BE39" s="27"/>
      <c r="BF39" s="5">
        <f t="shared" si="4"/>
        <v>0</v>
      </c>
      <c r="BG39" s="5">
        <v>105.696</v>
      </c>
      <c r="BH39" s="5">
        <v>4</v>
      </c>
      <c r="BI39" s="24">
        <v>3</v>
      </c>
      <c r="BJ39" s="29" t="s">
        <v>283</v>
      </c>
      <c r="BK39" s="24">
        <v>0</v>
      </c>
      <c r="BL39" s="24"/>
      <c r="BM39" s="5" t="s">
        <v>42</v>
      </c>
      <c r="BN39" s="5" t="s">
        <v>112</v>
      </c>
      <c r="BO39" s="30" t="s">
        <v>51</v>
      </c>
      <c r="BP39" s="5"/>
    </row>
    <row r="40" spans="1:68" s="16" customFormat="1" x14ac:dyDescent="0.25">
      <c r="A40" s="12" t="s">
        <v>114</v>
      </c>
      <c r="B40" s="4">
        <v>38</v>
      </c>
      <c r="C40" s="34">
        <v>-76.648493999999999</v>
      </c>
      <c r="D40" s="34">
        <v>39.344278000000003</v>
      </c>
      <c r="E40" s="12" t="s">
        <v>114</v>
      </c>
      <c r="F40" s="4" t="s">
        <v>75</v>
      </c>
      <c r="G40" s="4"/>
      <c r="H40" s="4"/>
      <c r="I40" s="4"/>
      <c r="J40" s="4"/>
      <c r="K40" s="5" t="s">
        <v>42</v>
      </c>
      <c r="L40" s="5" t="s">
        <v>47</v>
      </c>
      <c r="M40" s="5" t="s">
        <v>48</v>
      </c>
      <c r="N40" s="25">
        <v>592208</v>
      </c>
      <c r="O40" s="5" t="s">
        <v>49</v>
      </c>
      <c r="P40" s="64">
        <v>3</v>
      </c>
      <c r="Q40" s="64">
        <v>2</v>
      </c>
      <c r="R40" s="96">
        <v>1</v>
      </c>
      <c r="S40" s="64">
        <v>2</v>
      </c>
      <c r="T40" s="5">
        <v>3</v>
      </c>
      <c r="U40" s="5">
        <v>5</v>
      </c>
      <c r="V40" s="5">
        <v>1</v>
      </c>
      <c r="W40" s="5"/>
      <c r="X40" s="5"/>
      <c r="Y40" s="5">
        <v>2</v>
      </c>
      <c r="Z40" s="22" t="s">
        <v>314</v>
      </c>
      <c r="AA40" s="36" t="s">
        <v>467</v>
      </c>
      <c r="AB40" s="49">
        <v>673.04224137931033</v>
      </c>
      <c r="AC40" s="23"/>
      <c r="AD40" s="23"/>
      <c r="AE40" s="5"/>
      <c r="AF40" s="5"/>
      <c r="AG40" s="5"/>
      <c r="AH40" s="5">
        <v>60</v>
      </c>
      <c r="AI40" s="5"/>
      <c r="AJ40" s="5"/>
      <c r="AK40" s="5">
        <v>15</v>
      </c>
      <c r="AL40" s="5"/>
      <c r="AM40" s="5"/>
      <c r="AN40" s="5" t="s">
        <v>81</v>
      </c>
      <c r="AO40" s="24" t="s">
        <v>33</v>
      </c>
      <c r="AP40" s="24" t="s">
        <v>33</v>
      </c>
      <c r="AQ40" s="24" t="s">
        <v>33</v>
      </c>
      <c r="AR40" s="24" t="s">
        <v>33</v>
      </c>
      <c r="AS40" s="24" t="s">
        <v>33</v>
      </c>
      <c r="AT40" s="24" t="s">
        <v>42</v>
      </c>
      <c r="AU40" s="24" t="s">
        <v>42</v>
      </c>
      <c r="AV40" s="24">
        <v>0</v>
      </c>
      <c r="AW40" s="24" t="s">
        <v>42</v>
      </c>
      <c r="AX40" s="24">
        <v>0</v>
      </c>
      <c r="AY40" s="24">
        <v>0</v>
      </c>
      <c r="AZ40" s="24">
        <v>0</v>
      </c>
      <c r="BA40" s="25">
        <v>0</v>
      </c>
      <c r="BB40" s="24"/>
      <c r="BC40" s="26"/>
      <c r="BD40" s="27">
        <f t="shared" si="5"/>
        <v>0</v>
      </c>
      <c r="BE40" s="27"/>
      <c r="BF40" s="5">
        <f t="shared" si="4"/>
        <v>0</v>
      </c>
      <c r="BG40" s="5">
        <v>45.844000000000001</v>
      </c>
      <c r="BH40" s="5">
        <v>4</v>
      </c>
      <c r="BI40" s="24">
        <v>0</v>
      </c>
      <c r="BJ40" s="29" t="s">
        <v>279</v>
      </c>
      <c r="BK40" s="24">
        <v>0</v>
      </c>
      <c r="BL40" s="24"/>
      <c r="BM40" s="5" t="s">
        <v>33</v>
      </c>
      <c r="BN40" s="5" t="s">
        <v>54</v>
      </c>
      <c r="BO40" s="30" t="s">
        <v>51</v>
      </c>
      <c r="BP40" s="5"/>
    </row>
    <row r="41" spans="1:68" s="16" customFormat="1" x14ac:dyDescent="0.25">
      <c r="A41" s="12" t="s">
        <v>115</v>
      </c>
      <c r="B41" s="4">
        <v>39</v>
      </c>
      <c r="C41" s="34">
        <v>-76.652333999999996</v>
      </c>
      <c r="D41" s="34">
        <v>39.368310000000001</v>
      </c>
      <c r="E41" s="12" t="s">
        <v>115</v>
      </c>
      <c r="F41" s="4" t="s">
        <v>75</v>
      </c>
      <c r="G41" s="4"/>
      <c r="H41" s="4"/>
      <c r="I41" s="4"/>
      <c r="J41" s="4"/>
      <c r="K41" s="5" t="s">
        <v>42</v>
      </c>
      <c r="L41" s="5" t="s">
        <v>47</v>
      </c>
      <c r="M41" s="5" t="s">
        <v>48</v>
      </c>
      <c r="N41" s="25">
        <v>460390</v>
      </c>
      <c r="O41" s="5" t="s">
        <v>49</v>
      </c>
      <c r="P41" s="64">
        <v>3</v>
      </c>
      <c r="Q41" s="64">
        <v>2</v>
      </c>
      <c r="R41" s="96">
        <v>5</v>
      </c>
      <c r="S41" s="64">
        <v>4</v>
      </c>
      <c r="T41" s="5">
        <v>4</v>
      </c>
      <c r="U41" s="5">
        <v>5</v>
      </c>
      <c r="V41" s="5">
        <v>1</v>
      </c>
      <c r="W41" s="5"/>
      <c r="X41" s="5"/>
      <c r="Y41" s="5">
        <v>2</v>
      </c>
      <c r="Z41" s="22" t="s">
        <v>314</v>
      </c>
      <c r="AA41" s="36" t="s">
        <v>468</v>
      </c>
      <c r="AB41" s="49">
        <v>481.75655172413798</v>
      </c>
      <c r="AC41" s="23"/>
      <c r="AD41" s="23"/>
      <c r="AE41" s="5"/>
      <c r="AF41" s="5"/>
      <c r="AG41" s="5"/>
      <c r="AH41" s="5">
        <v>60</v>
      </c>
      <c r="AI41" s="5"/>
      <c r="AJ41" s="5"/>
      <c r="AK41" s="5">
        <v>15</v>
      </c>
      <c r="AL41" s="5"/>
      <c r="AM41" s="5"/>
      <c r="AN41" s="5" t="s">
        <v>81</v>
      </c>
      <c r="AO41" s="24" t="s">
        <v>33</v>
      </c>
      <c r="AP41" s="24" t="s">
        <v>33</v>
      </c>
      <c r="AQ41" s="24" t="s">
        <v>33</v>
      </c>
      <c r="AR41" s="24" t="s">
        <v>33</v>
      </c>
      <c r="AS41" s="24" t="s">
        <v>33</v>
      </c>
      <c r="AT41" s="24" t="s">
        <v>42</v>
      </c>
      <c r="AU41" s="24" t="s">
        <v>42</v>
      </c>
      <c r="AV41" s="24">
        <v>79</v>
      </c>
      <c r="AW41" s="24" t="s">
        <v>42</v>
      </c>
      <c r="AX41" s="24">
        <v>6</v>
      </c>
      <c r="AY41" s="24">
        <v>2</v>
      </c>
      <c r="AZ41" s="24">
        <v>0</v>
      </c>
      <c r="BA41" s="25">
        <v>75</v>
      </c>
      <c r="BB41" s="24">
        <v>73</v>
      </c>
      <c r="BC41" s="26">
        <f>BB41/BA41</f>
        <v>0.97333333333333338</v>
      </c>
      <c r="BD41" s="27">
        <f t="shared" si="5"/>
        <v>0.16398323949569604</v>
      </c>
      <c r="BE41" s="27"/>
      <c r="BF41" s="5">
        <f t="shared" si="4"/>
        <v>0.80662128712871284</v>
      </c>
      <c r="BG41" s="5">
        <v>87.867599999999996</v>
      </c>
      <c r="BH41" s="5">
        <v>7</v>
      </c>
      <c r="BI41" s="24">
        <v>3</v>
      </c>
      <c r="BJ41" s="29" t="s">
        <v>284</v>
      </c>
      <c r="BK41" s="24">
        <v>0</v>
      </c>
      <c r="BL41" s="24"/>
      <c r="BM41" s="5" t="s">
        <v>42</v>
      </c>
      <c r="BN41" s="5" t="s">
        <v>116</v>
      </c>
      <c r="BO41" s="30" t="s">
        <v>51</v>
      </c>
      <c r="BP41" s="5"/>
    </row>
    <row r="42" spans="1:68" s="16" customFormat="1" x14ac:dyDescent="0.25">
      <c r="A42" s="12" t="s">
        <v>117</v>
      </c>
      <c r="B42" s="4">
        <v>40</v>
      </c>
      <c r="C42" s="34">
        <v>-76.649368999999993</v>
      </c>
      <c r="D42" s="34">
        <v>39.376398000000002</v>
      </c>
      <c r="E42" s="12" t="s">
        <v>117</v>
      </c>
      <c r="F42" s="4" t="s">
        <v>75</v>
      </c>
      <c r="G42" s="4"/>
      <c r="H42" s="4"/>
      <c r="I42" s="4"/>
      <c r="J42" s="4"/>
      <c r="K42" s="5" t="s">
        <v>42</v>
      </c>
      <c r="L42" s="5" t="s">
        <v>34</v>
      </c>
      <c r="M42" s="5" t="s">
        <v>48</v>
      </c>
      <c r="N42" s="25">
        <v>430950</v>
      </c>
      <c r="O42" s="5" t="s">
        <v>49</v>
      </c>
      <c r="P42" s="64">
        <v>3</v>
      </c>
      <c r="Q42" s="64">
        <v>3</v>
      </c>
      <c r="R42" s="96">
        <v>5</v>
      </c>
      <c r="S42" s="64">
        <v>2</v>
      </c>
      <c r="T42" s="5">
        <v>1</v>
      </c>
      <c r="U42" s="5">
        <v>2</v>
      </c>
      <c r="V42" s="5">
        <v>1</v>
      </c>
      <c r="W42" s="5"/>
      <c r="X42" s="5"/>
      <c r="Y42" s="5">
        <v>2</v>
      </c>
      <c r="Z42" s="22" t="s">
        <v>314</v>
      </c>
      <c r="AA42" s="22">
        <v>60</v>
      </c>
      <c r="AB42" s="49">
        <v>471.12956896551725</v>
      </c>
      <c r="AC42" s="23"/>
      <c r="AD42" s="23"/>
      <c r="AE42" s="5"/>
      <c r="AF42" s="5"/>
      <c r="AG42" s="5"/>
      <c r="AH42" s="5">
        <v>60</v>
      </c>
      <c r="AI42" s="5"/>
      <c r="AJ42" s="5"/>
      <c r="AK42" s="5">
        <v>15</v>
      </c>
      <c r="AL42" s="5"/>
      <c r="AM42" s="5"/>
      <c r="AN42" s="5" t="s">
        <v>81</v>
      </c>
      <c r="AO42" s="24" t="s">
        <v>33</v>
      </c>
      <c r="AP42" s="24" t="s">
        <v>33</v>
      </c>
      <c r="AQ42" s="24" t="s">
        <v>33</v>
      </c>
      <c r="AR42" s="24" t="s">
        <v>33</v>
      </c>
      <c r="AS42" s="24" t="s">
        <v>33</v>
      </c>
      <c r="AT42" s="24" t="s">
        <v>42</v>
      </c>
      <c r="AU42" s="24" t="s">
        <v>33</v>
      </c>
      <c r="AV42" s="24">
        <v>197</v>
      </c>
      <c r="AW42" s="24" t="s">
        <v>42</v>
      </c>
      <c r="AX42" s="24">
        <v>6</v>
      </c>
      <c r="AY42" s="24">
        <v>2</v>
      </c>
      <c r="AZ42" s="24">
        <v>0</v>
      </c>
      <c r="BA42" s="25">
        <v>141</v>
      </c>
      <c r="BB42" s="24">
        <v>106.66666666666667</v>
      </c>
      <c r="BC42" s="26">
        <f>BB42/BA42</f>
        <v>0.75650118203309691</v>
      </c>
      <c r="BD42" s="27">
        <f t="shared" si="5"/>
        <v>0.4181439947243446</v>
      </c>
      <c r="BE42" s="27"/>
      <c r="BF42" s="5">
        <f t="shared" si="4"/>
        <v>2.0114480198019802</v>
      </c>
      <c r="BG42" s="5">
        <v>38.203299999999999</v>
      </c>
      <c r="BH42" s="5">
        <v>2</v>
      </c>
      <c r="BI42" s="24">
        <v>0</v>
      </c>
      <c r="BJ42" s="29" t="s">
        <v>279</v>
      </c>
      <c r="BK42" s="24">
        <v>8</v>
      </c>
      <c r="BL42" s="24">
        <v>4</v>
      </c>
      <c r="BM42" s="5" t="s">
        <v>33</v>
      </c>
      <c r="BN42" s="5" t="s">
        <v>118</v>
      </c>
      <c r="BO42" s="30" t="s">
        <v>39</v>
      </c>
      <c r="BP42" s="5"/>
    </row>
    <row r="43" spans="1:68" s="16" customFormat="1" x14ac:dyDescent="0.25">
      <c r="A43" s="12" t="s">
        <v>119</v>
      </c>
      <c r="B43" s="4">
        <v>41</v>
      </c>
      <c r="C43" s="34">
        <v>-76.625619</v>
      </c>
      <c r="D43" s="34">
        <v>39.428958000000002</v>
      </c>
      <c r="E43" s="12" t="s">
        <v>119</v>
      </c>
      <c r="F43" s="4" t="s">
        <v>75</v>
      </c>
      <c r="G43" s="4"/>
      <c r="H43" s="4"/>
      <c r="I43" s="4"/>
      <c r="J43" s="4"/>
      <c r="K43" s="5" t="s">
        <v>42</v>
      </c>
      <c r="L43" s="5" t="s">
        <v>34</v>
      </c>
      <c r="M43" s="5" t="s">
        <v>35</v>
      </c>
      <c r="N43" s="25">
        <v>191933</v>
      </c>
      <c r="O43" s="5" t="s">
        <v>36</v>
      </c>
      <c r="P43" s="64">
        <v>3</v>
      </c>
      <c r="Q43" s="64">
        <v>3</v>
      </c>
      <c r="R43" s="96">
        <v>5</v>
      </c>
      <c r="S43" s="64">
        <v>3</v>
      </c>
      <c r="T43" s="5">
        <v>4</v>
      </c>
      <c r="U43" s="5">
        <v>2</v>
      </c>
      <c r="V43" s="5">
        <v>1</v>
      </c>
      <c r="W43" s="5"/>
      <c r="X43" s="5"/>
      <c r="Y43" s="5">
        <v>2</v>
      </c>
      <c r="Z43" s="22" t="s">
        <v>314</v>
      </c>
      <c r="AA43" s="36" t="s">
        <v>469</v>
      </c>
      <c r="AB43" s="49">
        <v>903.29353448275867</v>
      </c>
      <c r="AC43" s="23"/>
      <c r="AD43" s="23"/>
      <c r="AE43" s="5"/>
      <c r="AF43" s="5"/>
      <c r="AG43" s="5"/>
      <c r="AH43" s="5">
        <v>60</v>
      </c>
      <c r="AI43" s="5"/>
      <c r="AJ43" s="5"/>
      <c r="AK43" s="5">
        <v>15</v>
      </c>
      <c r="AL43" s="5"/>
      <c r="AM43" s="5"/>
      <c r="AN43" s="5" t="s">
        <v>81</v>
      </c>
      <c r="AO43" s="24" t="s">
        <v>33</v>
      </c>
      <c r="AP43" s="24" t="s">
        <v>33</v>
      </c>
      <c r="AQ43" s="24" t="s">
        <v>33</v>
      </c>
      <c r="AR43" s="24" t="s">
        <v>33</v>
      </c>
      <c r="AS43" s="24" t="s">
        <v>33</v>
      </c>
      <c r="AT43" s="24" t="s">
        <v>42</v>
      </c>
      <c r="AU43" s="24" t="s">
        <v>33</v>
      </c>
      <c r="AV43" s="24">
        <v>341</v>
      </c>
      <c r="AW43" s="24" t="s">
        <v>42</v>
      </c>
      <c r="AX43" s="24">
        <v>15</v>
      </c>
      <c r="AY43" s="24">
        <v>0</v>
      </c>
      <c r="AZ43" s="24">
        <v>0</v>
      </c>
      <c r="BA43" s="25">
        <v>212</v>
      </c>
      <c r="BB43" s="24">
        <v>235.66666666666666</v>
      </c>
      <c r="BC43" s="26">
        <f>BB43/BA43</f>
        <v>1.1116352201257862</v>
      </c>
      <c r="BD43" s="27">
        <f t="shared" si="5"/>
        <v>0.37750740704156865</v>
      </c>
      <c r="BE43" s="27"/>
      <c r="BF43" s="5">
        <f t="shared" si="4"/>
        <v>3.4817450495049505</v>
      </c>
      <c r="BG43" s="5">
        <v>70.039400000000001</v>
      </c>
      <c r="BH43" s="5">
        <v>6</v>
      </c>
      <c r="BI43" s="24">
        <v>2</v>
      </c>
      <c r="BJ43" s="29" t="s">
        <v>280</v>
      </c>
      <c r="BK43" s="24">
        <v>0</v>
      </c>
      <c r="BL43" s="24"/>
      <c r="BM43" s="5" t="s">
        <v>42</v>
      </c>
      <c r="BN43" s="5" t="s">
        <v>120</v>
      </c>
      <c r="BO43" s="30" t="s">
        <v>39</v>
      </c>
      <c r="BP43" s="5"/>
    </row>
    <row r="44" spans="1:68" s="16" customFormat="1" x14ac:dyDescent="0.25">
      <c r="A44" s="12" t="s">
        <v>121</v>
      </c>
      <c r="B44" s="4">
        <v>42</v>
      </c>
      <c r="C44" s="34">
        <v>-76.631039999999999</v>
      </c>
      <c r="D44" s="34">
        <v>39.439853999999997</v>
      </c>
      <c r="E44" s="12" t="s">
        <v>121</v>
      </c>
      <c r="F44" s="4" t="s">
        <v>75</v>
      </c>
      <c r="G44" s="4"/>
      <c r="H44" s="4"/>
      <c r="I44" s="4"/>
      <c r="J44" s="4"/>
      <c r="K44" s="5" t="s">
        <v>42</v>
      </c>
      <c r="L44" s="5" t="s">
        <v>34</v>
      </c>
      <c r="M44" s="5" t="s">
        <v>35</v>
      </c>
      <c r="N44" s="25">
        <v>172673</v>
      </c>
      <c r="O44" s="5" t="s">
        <v>36</v>
      </c>
      <c r="P44" s="64">
        <v>3</v>
      </c>
      <c r="Q44" s="64">
        <v>3</v>
      </c>
      <c r="R44" s="96">
        <v>1</v>
      </c>
      <c r="S44" s="64">
        <v>4</v>
      </c>
      <c r="T44" s="5">
        <v>4</v>
      </c>
      <c r="U44" s="5">
        <v>3</v>
      </c>
      <c r="V44" s="5">
        <v>1</v>
      </c>
      <c r="W44" s="5"/>
      <c r="X44" s="5"/>
      <c r="Y44" s="5">
        <v>1</v>
      </c>
      <c r="Z44" s="22"/>
      <c r="AA44" s="22"/>
      <c r="AB44" s="49">
        <v>354.23275862068965</v>
      </c>
      <c r="AC44" s="23"/>
      <c r="AD44" s="23"/>
      <c r="AE44" s="5"/>
      <c r="AF44" s="5"/>
      <c r="AG44" s="5"/>
      <c r="AH44" s="5">
        <v>60</v>
      </c>
      <c r="AI44" s="5"/>
      <c r="AJ44" s="5"/>
      <c r="AK44" s="5">
        <v>15</v>
      </c>
      <c r="AL44" s="5"/>
      <c r="AM44" s="5"/>
      <c r="AN44" s="5" t="s">
        <v>81</v>
      </c>
      <c r="AO44" s="24" t="s">
        <v>33</v>
      </c>
      <c r="AP44" s="24" t="s">
        <v>33</v>
      </c>
      <c r="AQ44" s="24" t="s">
        <v>33</v>
      </c>
      <c r="AR44" s="24" t="s">
        <v>33</v>
      </c>
      <c r="AS44" s="24" t="s">
        <v>33</v>
      </c>
      <c r="AT44" s="24" t="s">
        <v>42</v>
      </c>
      <c r="AU44" s="24" t="s">
        <v>33</v>
      </c>
      <c r="AV44" s="24">
        <v>0</v>
      </c>
      <c r="AW44" s="24" t="s">
        <v>42</v>
      </c>
      <c r="AX44" s="24">
        <v>0</v>
      </c>
      <c r="AY44" s="24">
        <v>0</v>
      </c>
      <c r="AZ44" s="24">
        <v>0</v>
      </c>
      <c r="BA44" s="25">
        <v>0</v>
      </c>
      <c r="BB44" s="24"/>
      <c r="BC44" s="26"/>
      <c r="BD44" s="27">
        <f t="shared" si="5"/>
        <v>0</v>
      </c>
      <c r="BE44" s="27"/>
      <c r="BF44" s="5">
        <f t="shared" si="4"/>
        <v>0</v>
      </c>
      <c r="BG44" s="5">
        <v>63.672199999999997</v>
      </c>
      <c r="BH44" s="5">
        <v>6</v>
      </c>
      <c r="BI44" s="24">
        <v>2</v>
      </c>
      <c r="BJ44" s="29" t="s">
        <v>280</v>
      </c>
      <c r="BK44" s="24">
        <v>0</v>
      </c>
      <c r="BL44" s="24"/>
      <c r="BM44" s="5" t="s">
        <v>33</v>
      </c>
      <c r="BN44" s="5" t="s">
        <v>122</v>
      </c>
      <c r="BO44" s="30" t="s">
        <v>39</v>
      </c>
      <c r="BP44" s="5"/>
    </row>
    <row r="45" spans="1:68" s="16" customFormat="1" x14ac:dyDescent="0.25">
      <c r="A45" s="12" t="s">
        <v>123</v>
      </c>
      <c r="B45" s="4">
        <v>43</v>
      </c>
      <c r="C45" s="34">
        <v>-76.636870000000002</v>
      </c>
      <c r="D45" s="34">
        <v>39.450190999999997</v>
      </c>
      <c r="E45" s="12" t="s">
        <v>123</v>
      </c>
      <c r="F45" s="4" t="s">
        <v>75</v>
      </c>
      <c r="G45" s="4"/>
      <c r="H45" s="4"/>
      <c r="I45" s="4"/>
      <c r="J45" s="4"/>
      <c r="K45" s="5" t="s">
        <v>42</v>
      </c>
      <c r="L45" s="5" t="s">
        <v>34</v>
      </c>
      <c r="M45" s="5" t="s">
        <v>35</v>
      </c>
      <c r="N45" s="25">
        <v>129973</v>
      </c>
      <c r="O45" s="5" t="s">
        <v>36</v>
      </c>
      <c r="P45" s="64">
        <v>3</v>
      </c>
      <c r="Q45" s="64">
        <v>3</v>
      </c>
      <c r="R45" s="96">
        <v>5</v>
      </c>
      <c r="S45" s="64">
        <v>2</v>
      </c>
      <c r="T45" s="5">
        <v>2</v>
      </c>
      <c r="U45" s="5">
        <v>3</v>
      </c>
      <c r="V45" s="5">
        <v>1</v>
      </c>
      <c r="W45" s="5"/>
      <c r="X45" s="5"/>
      <c r="Y45" s="5">
        <v>2</v>
      </c>
      <c r="Z45" s="22" t="s">
        <v>314</v>
      </c>
      <c r="AA45" s="22">
        <v>9</v>
      </c>
      <c r="AB45" s="49">
        <v>1098.121551724138</v>
      </c>
      <c r="AC45" s="23"/>
      <c r="AD45" s="23"/>
      <c r="AE45" s="5"/>
      <c r="AF45" s="5"/>
      <c r="AG45" s="5"/>
      <c r="AH45" s="5">
        <v>60</v>
      </c>
      <c r="AI45" s="5"/>
      <c r="AJ45" s="5"/>
      <c r="AK45" s="5">
        <v>15</v>
      </c>
      <c r="AL45" s="5"/>
      <c r="AM45" s="5"/>
      <c r="AN45" s="5" t="s">
        <v>81</v>
      </c>
      <c r="AO45" s="24" t="s">
        <v>33</v>
      </c>
      <c r="AP45" s="24" t="s">
        <v>33</v>
      </c>
      <c r="AQ45" s="24" t="s">
        <v>33</v>
      </c>
      <c r="AR45" s="24" t="s">
        <v>33</v>
      </c>
      <c r="AS45" s="24" t="s">
        <v>33</v>
      </c>
      <c r="AT45" s="24" t="s">
        <v>42</v>
      </c>
      <c r="AU45" s="24" t="s">
        <v>33</v>
      </c>
      <c r="AV45" s="24">
        <v>769</v>
      </c>
      <c r="AW45" s="24" t="s">
        <v>42</v>
      </c>
      <c r="AX45" s="24">
        <v>17</v>
      </c>
      <c r="AY45" s="24">
        <v>0</v>
      </c>
      <c r="AZ45" s="24">
        <v>0</v>
      </c>
      <c r="BA45" s="25">
        <v>310</v>
      </c>
      <c r="BB45" s="24">
        <v>281.66666666666669</v>
      </c>
      <c r="BC45" s="26">
        <f>BB45/BA45</f>
        <v>0.90860215053763449</v>
      </c>
      <c r="BD45" s="27">
        <f t="shared" si="5"/>
        <v>0.70028677498643832</v>
      </c>
      <c r="BE45" s="27"/>
      <c r="BF45" s="5">
        <f t="shared" si="4"/>
        <v>7.8517945544554459</v>
      </c>
      <c r="BG45" s="5">
        <v>58.578400000000002</v>
      </c>
      <c r="BH45" s="5">
        <v>3</v>
      </c>
      <c r="BI45" s="24">
        <v>0</v>
      </c>
      <c r="BJ45" s="29" t="s">
        <v>279</v>
      </c>
      <c r="BK45" s="24">
        <v>14</v>
      </c>
      <c r="BL45" s="24">
        <v>3</v>
      </c>
      <c r="BM45" s="5" t="s">
        <v>42</v>
      </c>
      <c r="BN45" s="5" t="s">
        <v>122</v>
      </c>
      <c r="BO45" s="30" t="s">
        <v>39</v>
      </c>
      <c r="BP45" s="5"/>
    </row>
    <row r="46" spans="1:68" s="16" customFormat="1" x14ac:dyDescent="0.25">
      <c r="A46" s="12" t="s">
        <v>124</v>
      </c>
      <c r="B46" s="4">
        <v>44</v>
      </c>
      <c r="C46" s="34">
        <v>-76.653073000000006</v>
      </c>
      <c r="D46" s="34">
        <v>39.475048000000001</v>
      </c>
      <c r="E46" s="12" t="s">
        <v>124</v>
      </c>
      <c r="F46" s="4" t="s">
        <v>75</v>
      </c>
      <c r="G46" s="4"/>
      <c r="H46" s="4"/>
      <c r="I46" s="4"/>
      <c r="J46" s="4"/>
      <c r="K46" s="5" t="s">
        <v>42</v>
      </c>
      <c r="L46" s="5" t="s">
        <v>34</v>
      </c>
      <c r="M46" s="5" t="s">
        <v>35</v>
      </c>
      <c r="N46" s="25">
        <v>85777</v>
      </c>
      <c r="O46" s="5" t="s">
        <v>36</v>
      </c>
      <c r="P46" s="64">
        <v>4</v>
      </c>
      <c r="Q46" s="64">
        <v>2</v>
      </c>
      <c r="R46" s="96">
        <v>4</v>
      </c>
      <c r="S46" s="64">
        <v>1</v>
      </c>
      <c r="T46" s="5">
        <v>1</v>
      </c>
      <c r="U46" s="5">
        <v>3</v>
      </c>
      <c r="V46" s="5">
        <v>1</v>
      </c>
      <c r="W46" s="5"/>
      <c r="X46" s="5"/>
      <c r="Y46" s="5">
        <v>2</v>
      </c>
      <c r="Z46" s="22" t="s">
        <v>314</v>
      </c>
      <c r="AA46" s="22">
        <v>9</v>
      </c>
      <c r="AB46" s="49">
        <v>315.26715517241382</v>
      </c>
      <c r="AC46" s="23"/>
      <c r="AD46" s="23"/>
      <c r="AE46" s="5"/>
      <c r="AF46" s="5"/>
      <c r="AG46" s="5"/>
      <c r="AH46" s="5">
        <v>90</v>
      </c>
      <c r="AI46" s="5"/>
      <c r="AJ46" s="5"/>
      <c r="AK46" s="5">
        <v>15</v>
      </c>
      <c r="AL46" s="5"/>
      <c r="AM46" s="5"/>
      <c r="AN46" s="5" t="s">
        <v>81</v>
      </c>
      <c r="AO46" s="24" t="s">
        <v>33</v>
      </c>
      <c r="AP46" s="24" t="s">
        <v>33</v>
      </c>
      <c r="AQ46" s="24" t="s">
        <v>42</v>
      </c>
      <c r="AR46" s="24" t="s">
        <v>33</v>
      </c>
      <c r="AS46" s="24" t="s">
        <v>33</v>
      </c>
      <c r="AT46" s="24" t="s">
        <v>42</v>
      </c>
      <c r="AU46" s="24" t="s">
        <v>33</v>
      </c>
      <c r="AV46" s="24">
        <v>341</v>
      </c>
      <c r="AW46" s="24" t="s">
        <v>42</v>
      </c>
      <c r="AX46" s="24">
        <v>8</v>
      </c>
      <c r="AY46" s="24">
        <v>0</v>
      </c>
      <c r="AZ46" s="24">
        <v>0</v>
      </c>
      <c r="BA46" s="25">
        <v>43</v>
      </c>
      <c r="BB46" s="24">
        <v>39.333333333333336</v>
      </c>
      <c r="BC46" s="26">
        <f>BB46/BA46</f>
        <v>0.91472868217054271</v>
      </c>
      <c r="BD46" s="27">
        <f t="shared" si="5"/>
        <v>1.0816223460179775</v>
      </c>
      <c r="BE46" s="27"/>
      <c r="BF46" s="5">
        <f t="shared" si="4"/>
        <v>3.4817450495049505</v>
      </c>
      <c r="BG46" s="5">
        <v>16.5548</v>
      </c>
      <c r="BH46" s="5">
        <v>2</v>
      </c>
      <c r="BI46" s="24">
        <v>0</v>
      </c>
      <c r="BJ46" s="29" t="s">
        <v>279</v>
      </c>
      <c r="BK46" s="24">
        <v>0</v>
      </c>
      <c r="BL46" s="24"/>
      <c r="BM46" s="5" t="s">
        <v>33</v>
      </c>
      <c r="BN46" s="5" t="s">
        <v>122</v>
      </c>
      <c r="BO46" s="30" t="s">
        <v>39</v>
      </c>
      <c r="BP46" s="5"/>
    </row>
    <row r="47" spans="1:68" s="16" customFormat="1" x14ac:dyDescent="0.25">
      <c r="A47" s="12" t="s">
        <v>125</v>
      </c>
      <c r="B47" s="4">
        <v>45</v>
      </c>
      <c r="C47" s="34">
        <v>-76.662011000000007</v>
      </c>
      <c r="D47" s="34">
        <v>39.481498999999999</v>
      </c>
      <c r="E47" s="12" t="s">
        <v>125</v>
      </c>
      <c r="F47" s="4" t="s">
        <v>75</v>
      </c>
      <c r="G47" s="4"/>
      <c r="H47" s="4"/>
      <c r="I47" s="4"/>
      <c r="J47" s="4"/>
      <c r="K47" s="5" t="s">
        <v>42</v>
      </c>
      <c r="L47" s="5" t="s">
        <v>34</v>
      </c>
      <c r="M47" s="5" t="s">
        <v>35</v>
      </c>
      <c r="N47" s="25">
        <v>76318</v>
      </c>
      <c r="O47" s="5" t="s">
        <v>36</v>
      </c>
      <c r="P47" s="64">
        <v>4</v>
      </c>
      <c r="Q47" s="64">
        <v>2</v>
      </c>
      <c r="R47" s="96">
        <v>1</v>
      </c>
      <c r="S47" s="64">
        <v>1</v>
      </c>
      <c r="T47" s="5">
        <v>1</v>
      </c>
      <c r="U47" s="5">
        <v>3</v>
      </c>
      <c r="V47" s="5">
        <v>1</v>
      </c>
      <c r="W47" s="5"/>
      <c r="X47" s="5"/>
      <c r="Y47" s="5">
        <v>1</v>
      </c>
      <c r="Z47" s="22"/>
      <c r="AA47" s="22"/>
      <c r="AB47" s="49">
        <v>255.04758620689657</v>
      </c>
      <c r="AC47" s="23"/>
      <c r="AD47" s="23"/>
      <c r="AE47" s="5"/>
      <c r="AF47" s="5"/>
      <c r="AG47" s="5"/>
      <c r="AH47" s="5">
        <v>90</v>
      </c>
      <c r="AI47" s="5"/>
      <c r="AJ47" s="5"/>
      <c r="AK47" s="5">
        <v>15</v>
      </c>
      <c r="AL47" s="5"/>
      <c r="AM47" s="5"/>
      <c r="AN47" s="5" t="s">
        <v>81</v>
      </c>
      <c r="AO47" s="24" t="s">
        <v>33</v>
      </c>
      <c r="AP47" s="24" t="s">
        <v>33</v>
      </c>
      <c r="AQ47" s="24" t="s">
        <v>33</v>
      </c>
      <c r="AR47" s="24" t="s">
        <v>33</v>
      </c>
      <c r="AS47" s="24" t="s">
        <v>33</v>
      </c>
      <c r="AT47" s="24" t="s">
        <v>42</v>
      </c>
      <c r="AU47" s="24" t="s">
        <v>42</v>
      </c>
      <c r="AV47" s="24">
        <v>0</v>
      </c>
      <c r="AW47" s="24" t="s">
        <v>42</v>
      </c>
      <c r="AX47" s="24">
        <v>0</v>
      </c>
      <c r="AY47" s="24">
        <v>0</v>
      </c>
      <c r="AZ47" s="24">
        <v>0</v>
      </c>
      <c r="BA47" s="25">
        <v>0</v>
      </c>
      <c r="BB47" s="24"/>
      <c r="BC47" s="26"/>
      <c r="BD47" s="27">
        <f t="shared" si="5"/>
        <v>0</v>
      </c>
      <c r="BE47" s="27"/>
      <c r="BF47" s="5">
        <f t="shared" si="4"/>
        <v>0</v>
      </c>
      <c r="BG47" s="5">
        <v>12.734400000000001</v>
      </c>
      <c r="BH47" s="5">
        <v>1</v>
      </c>
      <c r="BI47" s="24">
        <v>0</v>
      </c>
      <c r="BJ47" s="29" t="s">
        <v>279</v>
      </c>
      <c r="BK47" s="24">
        <v>0</v>
      </c>
      <c r="BL47" s="24"/>
      <c r="BM47" s="5" t="s">
        <v>42</v>
      </c>
      <c r="BN47" s="5" t="s">
        <v>122</v>
      </c>
      <c r="BO47" s="30" t="s">
        <v>39</v>
      </c>
      <c r="BP47" s="5"/>
    </row>
    <row r="48" spans="1:68" s="16" customFormat="1" x14ac:dyDescent="0.25">
      <c r="A48" s="12" t="s">
        <v>126</v>
      </c>
      <c r="B48" s="4">
        <v>46</v>
      </c>
      <c r="C48" s="34">
        <v>-76.659389000000004</v>
      </c>
      <c r="D48" s="34">
        <v>39.489244999999997</v>
      </c>
      <c r="E48" s="12" t="s">
        <v>126</v>
      </c>
      <c r="F48" s="4" t="s">
        <v>75</v>
      </c>
      <c r="G48" s="4"/>
      <c r="H48" s="4"/>
      <c r="I48" s="4"/>
      <c r="J48" s="4"/>
      <c r="K48" s="5" t="s">
        <v>42</v>
      </c>
      <c r="L48" s="5" t="s">
        <v>34</v>
      </c>
      <c r="M48" s="5" t="s">
        <v>35</v>
      </c>
      <c r="N48" s="25">
        <v>73036</v>
      </c>
      <c r="O48" s="5" t="s">
        <v>36</v>
      </c>
      <c r="P48" s="64">
        <v>4</v>
      </c>
      <c r="Q48" s="64">
        <v>2</v>
      </c>
      <c r="R48" s="96">
        <v>1</v>
      </c>
      <c r="S48" s="64">
        <v>2</v>
      </c>
      <c r="T48" s="5">
        <v>2</v>
      </c>
      <c r="U48" s="5">
        <v>3</v>
      </c>
      <c r="V48" s="5">
        <v>1</v>
      </c>
      <c r="W48" s="5"/>
      <c r="X48" s="5"/>
      <c r="Y48" s="5">
        <v>2</v>
      </c>
      <c r="Z48" s="22" t="s">
        <v>314</v>
      </c>
      <c r="AA48" s="22">
        <v>9</v>
      </c>
      <c r="AB48" s="49">
        <v>495.92586206896556</v>
      </c>
      <c r="AC48" s="23"/>
      <c r="AD48" s="23"/>
      <c r="AE48" s="5"/>
      <c r="AF48" s="5"/>
      <c r="AG48" s="5"/>
      <c r="AH48" s="5">
        <v>90</v>
      </c>
      <c r="AI48" s="5"/>
      <c r="AJ48" s="5"/>
      <c r="AK48" s="5">
        <v>15</v>
      </c>
      <c r="AL48" s="5"/>
      <c r="AM48" s="5"/>
      <c r="AN48" s="5" t="s">
        <v>81</v>
      </c>
      <c r="AO48" s="24" t="s">
        <v>33</v>
      </c>
      <c r="AP48" s="24" t="s">
        <v>33</v>
      </c>
      <c r="AQ48" s="24" t="s">
        <v>33</v>
      </c>
      <c r="AR48" s="24" t="s">
        <v>33</v>
      </c>
      <c r="AS48" s="24" t="s">
        <v>33</v>
      </c>
      <c r="AT48" s="24" t="s">
        <v>42</v>
      </c>
      <c r="AU48" s="24" t="s">
        <v>42</v>
      </c>
      <c r="AV48" s="24">
        <v>0</v>
      </c>
      <c r="AW48" s="24" t="s">
        <v>42</v>
      </c>
      <c r="AX48" s="24">
        <v>0</v>
      </c>
      <c r="AY48" s="24">
        <v>0</v>
      </c>
      <c r="AZ48" s="24">
        <v>0</v>
      </c>
      <c r="BA48" s="25">
        <v>0</v>
      </c>
      <c r="BB48" s="24"/>
      <c r="BC48" s="26"/>
      <c r="BD48" s="27">
        <f t="shared" si="5"/>
        <v>0</v>
      </c>
      <c r="BE48" s="27"/>
      <c r="BF48" s="5">
        <f t="shared" si="4"/>
        <v>0</v>
      </c>
      <c r="BG48" s="5">
        <v>14.007899999999999</v>
      </c>
      <c r="BH48" s="5">
        <v>4</v>
      </c>
      <c r="BI48" s="24">
        <v>0</v>
      </c>
      <c r="BJ48" s="29" t="s">
        <v>279</v>
      </c>
      <c r="BK48" s="24">
        <v>0</v>
      </c>
      <c r="BL48" s="24"/>
      <c r="BM48" s="5" t="s">
        <v>33</v>
      </c>
      <c r="BN48" s="5" t="s">
        <v>122</v>
      </c>
      <c r="BO48" s="30" t="s">
        <v>39</v>
      </c>
      <c r="BP48" s="5"/>
    </row>
    <row r="49" spans="1:68" s="16" customFormat="1" x14ac:dyDescent="0.25">
      <c r="A49" s="12" t="s">
        <v>127</v>
      </c>
      <c r="B49" s="4">
        <v>47</v>
      </c>
      <c r="C49" s="34">
        <v>-76.655970999999994</v>
      </c>
      <c r="D49" s="34">
        <v>39.492057000000003</v>
      </c>
      <c r="E49" s="12" t="s">
        <v>127</v>
      </c>
      <c r="F49" s="4" t="s">
        <v>75</v>
      </c>
      <c r="G49" s="4"/>
      <c r="H49" s="4"/>
      <c r="I49" s="4"/>
      <c r="J49" s="4"/>
      <c r="K49" s="5" t="s">
        <v>42</v>
      </c>
      <c r="L49" s="5" t="s">
        <v>34</v>
      </c>
      <c r="M49" s="5" t="s">
        <v>35</v>
      </c>
      <c r="N49" s="25">
        <v>72184</v>
      </c>
      <c r="O49" s="5" t="s">
        <v>36</v>
      </c>
      <c r="P49" s="64">
        <v>4</v>
      </c>
      <c r="Q49" s="64">
        <v>3</v>
      </c>
      <c r="R49" s="96">
        <v>1</v>
      </c>
      <c r="S49" s="64">
        <v>1</v>
      </c>
      <c r="T49" s="5">
        <v>1</v>
      </c>
      <c r="U49" s="5">
        <v>3</v>
      </c>
      <c r="V49" s="5">
        <v>1</v>
      </c>
      <c r="W49" s="5"/>
      <c r="X49" s="5"/>
      <c r="Y49" s="5">
        <v>1</v>
      </c>
      <c r="Z49" s="22"/>
      <c r="AA49" s="22"/>
      <c r="AB49" s="49">
        <v>180.65870689655171</v>
      </c>
      <c r="AC49" s="23"/>
      <c r="AD49" s="23"/>
      <c r="AE49" s="5"/>
      <c r="AF49" s="5"/>
      <c r="AG49" s="5"/>
      <c r="AH49" s="5">
        <v>90</v>
      </c>
      <c r="AI49" s="5"/>
      <c r="AJ49" s="5"/>
      <c r="AK49" s="5">
        <v>15</v>
      </c>
      <c r="AL49" s="5"/>
      <c r="AM49" s="5"/>
      <c r="AN49" s="5" t="s">
        <v>81</v>
      </c>
      <c r="AO49" s="24" t="s">
        <v>33</v>
      </c>
      <c r="AP49" s="24" t="s">
        <v>33</v>
      </c>
      <c r="AQ49" s="24" t="s">
        <v>33</v>
      </c>
      <c r="AR49" s="24" t="s">
        <v>33</v>
      </c>
      <c r="AS49" s="24" t="s">
        <v>33</v>
      </c>
      <c r="AT49" s="24" t="s">
        <v>42</v>
      </c>
      <c r="AU49" s="24" t="s">
        <v>33</v>
      </c>
      <c r="AV49" s="24">
        <v>0</v>
      </c>
      <c r="AW49" s="24" t="s">
        <v>42</v>
      </c>
      <c r="AX49" s="24">
        <v>0</v>
      </c>
      <c r="AY49" s="24">
        <v>0</v>
      </c>
      <c r="AZ49" s="24">
        <v>0</v>
      </c>
      <c r="BA49" s="25">
        <v>0</v>
      </c>
      <c r="BB49" s="24"/>
      <c r="BC49" s="26"/>
      <c r="BD49" s="27">
        <f t="shared" si="5"/>
        <v>0</v>
      </c>
      <c r="BE49" s="27"/>
      <c r="BF49" s="5">
        <f t="shared" si="4"/>
        <v>0</v>
      </c>
      <c r="BG49" s="5">
        <v>22.922000000000001</v>
      </c>
      <c r="BH49" s="5">
        <v>1</v>
      </c>
      <c r="BI49" s="24">
        <v>0</v>
      </c>
      <c r="BJ49" s="29" t="s">
        <v>279</v>
      </c>
      <c r="BK49" s="24">
        <v>0</v>
      </c>
      <c r="BL49" s="24"/>
      <c r="BM49" s="5" t="s">
        <v>42</v>
      </c>
      <c r="BN49" s="5" t="s">
        <v>122</v>
      </c>
      <c r="BO49" s="30" t="s">
        <v>39</v>
      </c>
      <c r="BP49" s="5"/>
    </row>
    <row r="50" spans="1:68" s="16" customFormat="1" x14ac:dyDescent="0.25">
      <c r="A50" s="12" t="s">
        <v>128</v>
      </c>
      <c r="B50" s="4">
        <v>48</v>
      </c>
      <c r="C50" s="34">
        <v>-76.655952999999997</v>
      </c>
      <c r="D50" s="34">
        <v>39.495752000000003</v>
      </c>
      <c r="E50" s="12" t="s">
        <v>128</v>
      </c>
      <c r="F50" s="4" t="s">
        <v>75</v>
      </c>
      <c r="G50" s="4"/>
      <c r="H50" s="4"/>
      <c r="I50" s="4"/>
      <c r="J50" s="4"/>
      <c r="K50" s="5" t="s">
        <v>42</v>
      </c>
      <c r="L50" s="5" t="s">
        <v>34</v>
      </c>
      <c r="M50" s="5" t="s">
        <v>35</v>
      </c>
      <c r="N50" s="25">
        <v>69912</v>
      </c>
      <c r="O50" s="5" t="s">
        <v>77</v>
      </c>
      <c r="P50" s="64">
        <v>4</v>
      </c>
      <c r="Q50" s="64">
        <v>2</v>
      </c>
      <c r="R50" s="96">
        <v>4</v>
      </c>
      <c r="S50" s="64">
        <v>3</v>
      </c>
      <c r="T50" s="5">
        <v>2</v>
      </c>
      <c r="U50" s="5">
        <v>4</v>
      </c>
      <c r="V50" s="5">
        <v>1</v>
      </c>
      <c r="W50" s="5"/>
      <c r="X50" s="5"/>
      <c r="Y50" s="5">
        <v>2</v>
      </c>
      <c r="Z50" s="22" t="s">
        <v>314</v>
      </c>
      <c r="AA50" s="22">
        <v>9</v>
      </c>
      <c r="AB50" s="49">
        <v>832.44698275862072</v>
      </c>
      <c r="AC50" s="23"/>
      <c r="AD50" s="23"/>
      <c r="AE50" s="5"/>
      <c r="AF50" s="5"/>
      <c r="AG50" s="5"/>
      <c r="AH50" s="5">
        <v>90</v>
      </c>
      <c r="AI50" s="5"/>
      <c r="AJ50" s="5"/>
      <c r="AK50" s="5">
        <v>15</v>
      </c>
      <c r="AL50" s="5"/>
      <c r="AM50" s="5"/>
      <c r="AN50" s="5" t="s">
        <v>81</v>
      </c>
      <c r="AO50" s="24" t="s">
        <v>33</v>
      </c>
      <c r="AP50" s="24" t="s">
        <v>33</v>
      </c>
      <c r="AQ50" s="24" t="s">
        <v>33</v>
      </c>
      <c r="AR50" s="24" t="s">
        <v>33</v>
      </c>
      <c r="AS50" s="24" t="s">
        <v>33</v>
      </c>
      <c r="AT50" s="24" t="s">
        <v>42</v>
      </c>
      <c r="AU50" s="24" t="s">
        <v>42</v>
      </c>
      <c r="AV50" s="24">
        <v>145</v>
      </c>
      <c r="AW50" s="24" t="s">
        <v>42</v>
      </c>
      <c r="AX50" s="24">
        <v>5</v>
      </c>
      <c r="AY50" s="24">
        <v>0</v>
      </c>
      <c r="AZ50" s="24">
        <v>0</v>
      </c>
      <c r="BA50" s="25">
        <v>31</v>
      </c>
      <c r="BB50" s="24">
        <v>31.666666666666668</v>
      </c>
      <c r="BC50" s="26">
        <f t="shared" ref="BC50:BC60" si="6">BB50/BA50</f>
        <v>1.021505376344086</v>
      </c>
      <c r="BD50" s="27">
        <f t="shared" si="5"/>
        <v>0.17418526705387161</v>
      </c>
      <c r="BE50" s="27"/>
      <c r="BF50" s="5">
        <f t="shared" si="4"/>
        <v>1.4805074257425743</v>
      </c>
      <c r="BG50" s="5">
        <v>19.101700000000001</v>
      </c>
      <c r="BH50" s="5">
        <v>5</v>
      </c>
      <c r="BI50" s="24">
        <v>0</v>
      </c>
      <c r="BJ50" s="29" t="s">
        <v>279</v>
      </c>
      <c r="BK50" s="24">
        <v>0</v>
      </c>
      <c r="BL50" s="24"/>
      <c r="BM50" s="5" t="s">
        <v>33</v>
      </c>
      <c r="BN50" s="5" t="s">
        <v>129</v>
      </c>
      <c r="BO50" s="30" t="s">
        <v>39</v>
      </c>
      <c r="BP50" s="5"/>
    </row>
    <row r="51" spans="1:68" s="16" customFormat="1" x14ac:dyDescent="0.25">
      <c r="A51" s="12" t="s">
        <v>130</v>
      </c>
      <c r="B51" s="4">
        <v>49</v>
      </c>
      <c r="C51" s="34">
        <v>-76.075800000000001</v>
      </c>
      <c r="D51" s="34">
        <v>39.557299999999998</v>
      </c>
      <c r="E51" s="12" t="s">
        <v>130</v>
      </c>
      <c r="F51" s="12" t="s">
        <v>131</v>
      </c>
      <c r="G51" s="12"/>
      <c r="H51" s="12"/>
      <c r="I51" s="12"/>
      <c r="J51" s="12"/>
      <c r="K51" s="5" t="s">
        <v>42</v>
      </c>
      <c r="L51" s="5" t="s">
        <v>132</v>
      </c>
      <c r="M51" s="5" t="s">
        <v>35</v>
      </c>
      <c r="N51" s="25">
        <v>28554</v>
      </c>
      <c r="O51" s="5" t="s">
        <v>77</v>
      </c>
      <c r="P51" s="64">
        <v>1</v>
      </c>
      <c r="Q51" s="64">
        <v>3</v>
      </c>
      <c r="R51" s="96">
        <v>4</v>
      </c>
      <c r="S51" s="64">
        <v>1</v>
      </c>
      <c r="T51" s="5">
        <v>1</v>
      </c>
      <c r="U51" s="5">
        <v>3</v>
      </c>
      <c r="V51" s="5">
        <v>1</v>
      </c>
      <c r="W51" s="5"/>
      <c r="X51" s="5"/>
      <c r="Y51" s="5">
        <v>1</v>
      </c>
      <c r="Z51" s="22"/>
      <c r="AA51" s="22"/>
      <c r="AB51" s="49">
        <v>155.5</v>
      </c>
      <c r="AC51" s="23"/>
      <c r="AD51" s="23"/>
      <c r="AE51" s="5"/>
      <c r="AF51" s="5"/>
      <c r="AG51" s="5"/>
      <c r="AH51" s="34">
        <v>7</v>
      </c>
      <c r="AI51" s="34"/>
      <c r="AJ51" s="34"/>
      <c r="AK51" s="34">
        <v>0</v>
      </c>
      <c r="AL51" s="34"/>
      <c r="AM51" s="34"/>
      <c r="AN51" s="5" t="s">
        <v>37</v>
      </c>
      <c r="AO51" s="24" t="s">
        <v>33</v>
      </c>
      <c r="AP51" s="24" t="s">
        <v>33</v>
      </c>
      <c r="AQ51" s="24" t="s">
        <v>33</v>
      </c>
      <c r="AR51" s="24" t="s">
        <v>33</v>
      </c>
      <c r="AS51" s="24" t="s">
        <v>33</v>
      </c>
      <c r="AT51" s="24" t="s">
        <v>33</v>
      </c>
      <c r="AU51" s="24" t="s">
        <v>42</v>
      </c>
      <c r="AV51" s="24">
        <v>168</v>
      </c>
      <c r="AW51" s="24" t="s">
        <v>42</v>
      </c>
      <c r="AX51" s="24">
        <v>14</v>
      </c>
      <c r="AY51" s="24">
        <v>0</v>
      </c>
      <c r="AZ51" s="24">
        <v>0</v>
      </c>
      <c r="BA51" s="25">
        <v>165</v>
      </c>
      <c r="BB51" s="24">
        <v>170</v>
      </c>
      <c r="BC51" s="26">
        <f t="shared" si="6"/>
        <v>1.0303030303030303</v>
      </c>
      <c r="BD51" s="27">
        <f t="shared" si="5"/>
        <v>1.0803858520900322</v>
      </c>
      <c r="BE51" s="27"/>
      <c r="BF51" s="5">
        <f t="shared" ref="BF51:BF61" si="7">AV51/((SUM($AV$51:$AV$62)+$AV$4)/13)</f>
        <v>0.4304296413086322</v>
      </c>
      <c r="BG51" s="5">
        <v>50.937800000000003</v>
      </c>
      <c r="BH51" s="5">
        <v>2</v>
      </c>
      <c r="BI51" s="24">
        <v>1</v>
      </c>
      <c r="BJ51" s="29" t="s">
        <v>285</v>
      </c>
      <c r="BK51" s="24">
        <v>0</v>
      </c>
      <c r="BL51" s="24"/>
      <c r="BM51" s="5" t="s">
        <v>33</v>
      </c>
      <c r="BN51" s="5" t="s">
        <v>133</v>
      </c>
      <c r="BO51" s="30" t="s">
        <v>134</v>
      </c>
      <c r="BP51" s="5"/>
    </row>
    <row r="52" spans="1:68" s="16" customFormat="1" x14ac:dyDescent="0.25">
      <c r="A52" s="12" t="s">
        <v>135</v>
      </c>
      <c r="B52" s="4">
        <v>50</v>
      </c>
      <c r="C52" s="34">
        <v>-76.162999999999997</v>
      </c>
      <c r="D52" s="34">
        <v>39.5092</v>
      </c>
      <c r="E52" s="12" t="s">
        <v>135</v>
      </c>
      <c r="F52" s="12" t="s">
        <v>131</v>
      </c>
      <c r="G52" s="12"/>
      <c r="H52" s="12"/>
      <c r="I52" s="12"/>
      <c r="J52" s="12"/>
      <c r="K52" s="5" t="s">
        <v>33</v>
      </c>
      <c r="L52" s="5" t="s">
        <v>136</v>
      </c>
      <c r="M52" s="5" t="s">
        <v>35</v>
      </c>
      <c r="N52" s="25">
        <v>46940</v>
      </c>
      <c r="O52" s="5" t="s">
        <v>36</v>
      </c>
      <c r="P52" s="64">
        <v>1</v>
      </c>
      <c r="Q52" s="64">
        <v>3</v>
      </c>
      <c r="R52" s="96">
        <v>4</v>
      </c>
      <c r="S52" s="64">
        <v>2</v>
      </c>
      <c r="T52" s="5">
        <v>2</v>
      </c>
      <c r="U52" s="5">
        <v>4</v>
      </c>
      <c r="V52" s="5">
        <v>1</v>
      </c>
      <c r="W52" s="5"/>
      <c r="X52" s="5"/>
      <c r="Y52" s="5">
        <v>3</v>
      </c>
      <c r="Z52" s="22" t="s">
        <v>320</v>
      </c>
      <c r="AA52" s="22">
        <v>420</v>
      </c>
      <c r="AB52" s="49">
        <v>187.33333333333334</v>
      </c>
      <c r="AC52" s="23"/>
      <c r="AD52" s="23"/>
      <c r="AE52" s="5"/>
      <c r="AF52" s="5"/>
      <c r="AG52" s="5"/>
      <c r="AH52" s="34">
        <v>7</v>
      </c>
      <c r="AI52" s="34"/>
      <c r="AJ52" s="34"/>
      <c r="AK52" s="34">
        <v>0</v>
      </c>
      <c r="AL52" s="34"/>
      <c r="AM52" s="34"/>
      <c r="AN52" s="5" t="s">
        <v>37</v>
      </c>
      <c r="AO52" s="24" t="s">
        <v>33</v>
      </c>
      <c r="AP52" s="24" t="s">
        <v>33</v>
      </c>
      <c r="AQ52" s="24" t="s">
        <v>33</v>
      </c>
      <c r="AR52" s="24" t="s">
        <v>33</v>
      </c>
      <c r="AS52" s="24" t="s">
        <v>33</v>
      </c>
      <c r="AT52" s="24" t="s">
        <v>33</v>
      </c>
      <c r="AU52" s="24" t="s">
        <v>42</v>
      </c>
      <c r="AV52" s="24">
        <v>279</v>
      </c>
      <c r="AW52" s="24" t="s">
        <v>42</v>
      </c>
      <c r="AX52" s="24">
        <v>8</v>
      </c>
      <c r="AY52" s="24">
        <v>0</v>
      </c>
      <c r="AZ52" s="24">
        <v>0</v>
      </c>
      <c r="BA52" s="25">
        <v>284</v>
      </c>
      <c r="BB52" s="24">
        <v>278.66666666666669</v>
      </c>
      <c r="BC52" s="26">
        <f t="shared" si="6"/>
        <v>0.98122065727699537</v>
      </c>
      <c r="BD52" s="27">
        <f t="shared" si="5"/>
        <v>1.48932384341637</v>
      </c>
      <c r="BE52" s="27"/>
      <c r="BF52" s="5">
        <f t="shared" si="7"/>
        <v>0.71482065431612141</v>
      </c>
      <c r="BG52" s="5">
        <v>178.28200000000001</v>
      </c>
      <c r="BH52" s="5">
        <v>2</v>
      </c>
      <c r="BI52" s="24">
        <v>3</v>
      </c>
      <c r="BJ52" s="29" t="s">
        <v>286</v>
      </c>
      <c r="BK52" s="24">
        <v>0</v>
      </c>
      <c r="BL52" s="24"/>
      <c r="BM52" s="5" t="s">
        <v>33</v>
      </c>
      <c r="BN52" s="5" t="s">
        <v>137</v>
      </c>
      <c r="BO52" s="30" t="s">
        <v>138</v>
      </c>
      <c r="BP52" s="30" t="s">
        <v>139</v>
      </c>
    </row>
    <row r="53" spans="1:68" s="16" customFormat="1" x14ac:dyDescent="0.25">
      <c r="A53" s="12" t="s">
        <v>140</v>
      </c>
      <c r="B53" s="4">
        <v>51</v>
      </c>
      <c r="C53" s="34">
        <v>-76.293038999999993</v>
      </c>
      <c r="D53" s="34">
        <v>39.415897000000001</v>
      </c>
      <c r="E53" s="12" t="s">
        <v>140</v>
      </c>
      <c r="F53" s="12" t="s">
        <v>131</v>
      </c>
      <c r="G53" s="12"/>
      <c r="H53" s="12"/>
      <c r="I53" s="12"/>
      <c r="J53" s="12"/>
      <c r="K53" s="5" t="s">
        <v>42</v>
      </c>
      <c r="L53" s="5" t="s">
        <v>136</v>
      </c>
      <c r="M53" s="5" t="s">
        <v>141</v>
      </c>
      <c r="N53" s="25">
        <v>81133</v>
      </c>
      <c r="O53" s="5" t="s">
        <v>77</v>
      </c>
      <c r="P53" s="64">
        <v>1</v>
      </c>
      <c r="Q53" s="64">
        <v>3</v>
      </c>
      <c r="R53" s="96">
        <v>4</v>
      </c>
      <c r="S53" s="64">
        <v>2</v>
      </c>
      <c r="T53" s="5">
        <v>2</v>
      </c>
      <c r="U53" s="5">
        <v>3</v>
      </c>
      <c r="V53" s="5">
        <v>1</v>
      </c>
      <c r="W53" s="5"/>
      <c r="X53" s="5"/>
      <c r="Y53" s="5">
        <v>2</v>
      </c>
      <c r="Z53" s="22" t="s">
        <v>321</v>
      </c>
      <c r="AA53" s="22"/>
      <c r="AB53" s="49">
        <v>238.75</v>
      </c>
      <c r="AC53" s="23"/>
      <c r="AD53" s="23"/>
      <c r="AE53" s="5"/>
      <c r="AF53" s="5"/>
      <c r="AG53" s="5"/>
      <c r="AH53" s="34">
        <v>7</v>
      </c>
      <c r="AI53" s="34"/>
      <c r="AJ53" s="34"/>
      <c r="AK53" s="34">
        <v>0</v>
      </c>
      <c r="AL53" s="34"/>
      <c r="AM53" s="34"/>
      <c r="AN53" s="5" t="s">
        <v>37</v>
      </c>
      <c r="AO53" s="24" t="s">
        <v>33</v>
      </c>
      <c r="AP53" s="24" t="s">
        <v>33</v>
      </c>
      <c r="AQ53" s="24" t="s">
        <v>33</v>
      </c>
      <c r="AR53" s="24" t="s">
        <v>33</v>
      </c>
      <c r="AS53" s="24" t="s">
        <v>33</v>
      </c>
      <c r="AT53" s="24" t="s">
        <v>33</v>
      </c>
      <c r="AU53" s="24" t="s">
        <v>42</v>
      </c>
      <c r="AV53" s="24">
        <v>334</v>
      </c>
      <c r="AW53" s="24" t="s">
        <v>42</v>
      </c>
      <c r="AX53" s="24">
        <v>14</v>
      </c>
      <c r="AY53" s="24">
        <v>0</v>
      </c>
      <c r="AZ53" s="24">
        <v>0</v>
      </c>
      <c r="BA53" s="25">
        <v>261</v>
      </c>
      <c r="BB53" s="24">
        <v>247.66666666666666</v>
      </c>
      <c r="BC53" s="26">
        <f t="shared" si="6"/>
        <v>0.94891443167305234</v>
      </c>
      <c r="BD53" s="27">
        <f t="shared" si="5"/>
        <v>1.3989528795811519</v>
      </c>
      <c r="BE53" s="27"/>
      <c r="BF53" s="5">
        <f t="shared" si="7"/>
        <v>0.85573512022073317</v>
      </c>
      <c r="BG53" s="5">
        <v>31.836099999999998</v>
      </c>
      <c r="BH53" s="5">
        <v>3</v>
      </c>
      <c r="BI53" s="24">
        <v>1</v>
      </c>
      <c r="BJ53" s="29" t="s">
        <v>287</v>
      </c>
      <c r="BK53" s="24">
        <v>0</v>
      </c>
      <c r="BL53" s="24"/>
      <c r="BM53" s="5" t="s">
        <v>42</v>
      </c>
      <c r="BN53" s="5" t="s">
        <v>142</v>
      </c>
      <c r="BO53" s="30" t="s">
        <v>138</v>
      </c>
      <c r="BP53" s="5"/>
    </row>
    <row r="54" spans="1:68" s="16" customFormat="1" x14ac:dyDescent="0.25">
      <c r="A54" s="12" t="s">
        <v>143</v>
      </c>
      <c r="B54" s="4">
        <v>52</v>
      </c>
      <c r="C54" s="34">
        <v>-76.421234999999996</v>
      </c>
      <c r="D54" s="34">
        <v>39.338026999999997</v>
      </c>
      <c r="E54" s="12" t="s">
        <v>143</v>
      </c>
      <c r="F54" s="12" t="s">
        <v>131</v>
      </c>
      <c r="G54" s="12"/>
      <c r="H54" s="12"/>
      <c r="I54" s="12"/>
      <c r="J54" s="12"/>
      <c r="K54" s="5" t="s">
        <v>42</v>
      </c>
      <c r="L54" s="5" t="s">
        <v>34</v>
      </c>
      <c r="M54" s="5" t="s">
        <v>35</v>
      </c>
      <c r="N54" s="25">
        <v>135189</v>
      </c>
      <c r="O54" s="5" t="s">
        <v>36</v>
      </c>
      <c r="P54" s="64">
        <v>2</v>
      </c>
      <c r="Q54" s="64">
        <v>3</v>
      </c>
      <c r="R54" s="96">
        <v>4</v>
      </c>
      <c r="S54" s="64">
        <v>1</v>
      </c>
      <c r="T54" s="5">
        <v>1</v>
      </c>
      <c r="U54" s="5">
        <v>4</v>
      </c>
      <c r="V54" s="5">
        <v>1</v>
      </c>
      <c r="W54" s="5"/>
      <c r="X54" s="5"/>
      <c r="Y54" s="5">
        <v>3</v>
      </c>
      <c r="Z54" s="22" t="s">
        <v>322</v>
      </c>
      <c r="AA54" s="22">
        <v>24160</v>
      </c>
      <c r="AB54" s="49">
        <v>343.83333333333331</v>
      </c>
      <c r="AC54" s="23"/>
      <c r="AD54" s="23"/>
      <c r="AE54" s="5"/>
      <c r="AF54" s="5"/>
      <c r="AG54" s="5"/>
      <c r="AH54" s="34">
        <v>8</v>
      </c>
      <c r="AI54" s="34"/>
      <c r="AJ54" s="34"/>
      <c r="AK54" s="34">
        <v>3</v>
      </c>
      <c r="AL54" s="34"/>
      <c r="AM54" s="34"/>
      <c r="AN54" s="5" t="s">
        <v>37</v>
      </c>
      <c r="AO54" s="24" t="s">
        <v>33</v>
      </c>
      <c r="AP54" s="24" t="s">
        <v>33</v>
      </c>
      <c r="AQ54" s="24" t="s">
        <v>33</v>
      </c>
      <c r="AR54" s="24" t="s">
        <v>33</v>
      </c>
      <c r="AS54" s="24" t="s">
        <v>33</v>
      </c>
      <c r="AT54" s="24" t="s">
        <v>33</v>
      </c>
      <c r="AU54" s="24" t="s">
        <v>42</v>
      </c>
      <c r="AV54" s="24">
        <v>348</v>
      </c>
      <c r="AW54" s="24" t="s">
        <v>42</v>
      </c>
      <c r="AX54" s="24">
        <v>6</v>
      </c>
      <c r="AY54" s="24">
        <v>0</v>
      </c>
      <c r="AZ54" s="24">
        <v>0</v>
      </c>
      <c r="BA54" s="25">
        <v>290</v>
      </c>
      <c r="BB54" s="24">
        <v>316.33333333333331</v>
      </c>
      <c r="BC54" s="26">
        <f t="shared" si="6"/>
        <v>1.0908045977011493</v>
      </c>
      <c r="BD54" s="27">
        <f t="shared" si="5"/>
        <v>1.0121182743577315</v>
      </c>
      <c r="BE54" s="27"/>
      <c r="BF54" s="5">
        <f t="shared" si="7"/>
        <v>0.89160425699645252</v>
      </c>
      <c r="BG54" s="5">
        <v>33.109499999999997</v>
      </c>
      <c r="BH54" s="5">
        <v>1</v>
      </c>
      <c r="BI54" s="24">
        <v>0</v>
      </c>
      <c r="BJ54" s="29" t="s">
        <v>279</v>
      </c>
      <c r="BK54" s="24">
        <v>10</v>
      </c>
      <c r="BL54" s="24">
        <v>1</v>
      </c>
      <c r="BM54" s="5" t="s">
        <v>42</v>
      </c>
      <c r="BN54" s="5" t="s">
        <v>144</v>
      </c>
      <c r="BO54" s="30" t="s">
        <v>39</v>
      </c>
      <c r="BP54" s="5"/>
    </row>
    <row r="55" spans="1:68" s="16" customFormat="1" x14ac:dyDescent="0.25">
      <c r="A55" s="12" t="s">
        <v>147</v>
      </c>
      <c r="B55" s="4">
        <v>53</v>
      </c>
      <c r="C55" s="34">
        <v>-76.653940000000006</v>
      </c>
      <c r="D55" s="34">
        <v>39.293191999999998</v>
      </c>
      <c r="E55" s="12" t="s">
        <v>147</v>
      </c>
      <c r="F55" s="12" t="s">
        <v>131</v>
      </c>
      <c r="G55" s="12"/>
      <c r="H55" s="12"/>
      <c r="I55" s="12"/>
      <c r="J55" s="12"/>
      <c r="K55" s="5" t="s">
        <v>42</v>
      </c>
      <c r="L55" s="5" t="s">
        <v>47</v>
      </c>
      <c r="M55" s="5" t="s">
        <v>48</v>
      </c>
      <c r="N55" s="25">
        <v>572849</v>
      </c>
      <c r="O55" s="5" t="s">
        <v>49</v>
      </c>
      <c r="P55" s="64">
        <v>2</v>
      </c>
      <c r="Q55" s="64">
        <v>1</v>
      </c>
      <c r="R55" s="96">
        <v>4</v>
      </c>
      <c r="S55" s="64">
        <v>3</v>
      </c>
      <c r="T55" s="5">
        <v>4</v>
      </c>
      <c r="U55" s="5">
        <v>5</v>
      </c>
      <c r="V55" s="5">
        <v>1</v>
      </c>
      <c r="W55" s="5"/>
      <c r="X55" s="5"/>
      <c r="Y55" s="5">
        <v>4</v>
      </c>
      <c r="Z55" s="22" t="s">
        <v>323</v>
      </c>
      <c r="AA55" s="36" t="s">
        <v>470</v>
      </c>
      <c r="AB55" s="49">
        <v>723.08333333333337</v>
      </c>
      <c r="AC55" s="23"/>
      <c r="AD55" s="23"/>
      <c r="AE55" s="5"/>
      <c r="AF55" s="5"/>
      <c r="AG55" s="5"/>
      <c r="AH55" s="34">
        <v>22</v>
      </c>
      <c r="AI55" s="34"/>
      <c r="AJ55" s="34"/>
      <c r="AK55" s="34">
        <v>9</v>
      </c>
      <c r="AL55" s="34"/>
      <c r="AM55" s="34"/>
      <c r="AN55" s="5" t="s">
        <v>37</v>
      </c>
      <c r="AO55" s="24" t="s">
        <v>33</v>
      </c>
      <c r="AP55" s="24" t="s">
        <v>33</v>
      </c>
      <c r="AQ55" s="24" t="s">
        <v>42</v>
      </c>
      <c r="AR55" s="24" t="s">
        <v>33</v>
      </c>
      <c r="AS55" s="24" t="s">
        <v>33</v>
      </c>
      <c r="AT55" s="24" t="s">
        <v>42</v>
      </c>
      <c r="AU55" s="24" t="s">
        <v>42</v>
      </c>
      <c r="AV55" s="24">
        <v>323</v>
      </c>
      <c r="AW55" s="24" t="s">
        <v>42</v>
      </c>
      <c r="AX55" s="24">
        <v>11</v>
      </c>
      <c r="AY55" s="24">
        <v>0</v>
      </c>
      <c r="AZ55" s="24">
        <v>0</v>
      </c>
      <c r="BA55" s="25">
        <v>333</v>
      </c>
      <c r="BB55" s="24">
        <v>316</v>
      </c>
      <c r="BC55" s="26">
        <f t="shared" si="6"/>
        <v>0.94894894894894899</v>
      </c>
      <c r="BD55" s="27">
        <f t="shared" si="5"/>
        <v>0.44669816756943642</v>
      </c>
      <c r="BE55" s="27"/>
      <c r="BF55" s="5">
        <f t="shared" si="7"/>
        <v>0.82755222703981079</v>
      </c>
      <c r="BG55" s="5">
        <v>276.33699999999999</v>
      </c>
      <c r="BH55" s="5">
        <v>6</v>
      </c>
      <c r="BI55" s="24">
        <v>1</v>
      </c>
      <c r="BJ55" s="29" t="s">
        <v>285</v>
      </c>
      <c r="BK55" s="24">
        <v>0</v>
      </c>
      <c r="BL55" s="24"/>
      <c r="BM55" s="5" t="s">
        <v>33</v>
      </c>
      <c r="BN55" s="5" t="s">
        <v>148</v>
      </c>
      <c r="BO55" s="30" t="s">
        <v>51</v>
      </c>
      <c r="BP55" s="5"/>
    </row>
    <row r="56" spans="1:68" s="16" customFormat="1" x14ac:dyDescent="0.25">
      <c r="A56" s="12" t="s">
        <v>149</v>
      </c>
      <c r="B56" s="4">
        <v>54</v>
      </c>
      <c r="C56" s="34">
        <v>-76.691914999999995</v>
      </c>
      <c r="D56" s="34">
        <v>39.23798</v>
      </c>
      <c r="E56" s="12" t="s">
        <v>149</v>
      </c>
      <c r="F56" s="12" t="s">
        <v>131</v>
      </c>
      <c r="G56" s="12"/>
      <c r="H56" s="12"/>
      <c r="I56" s="12"/>
      <c r="J56" s="12"/>
      <c r="K56" s="5" t="s">
        <v>42</v>
      </c>
      <c r="L56" s="5" t="s">
        <v>34</v>
      </c>
      <c r="M56" s="5" t="s">
        <v>35</v>
      </c>
      <c r="N56" s="25">
        <v>282770</v>
      </c>
      <c r="O56" s="5" t="s">
        <v>36</v>
      </c>
      <c r="P56" s="64">
        <v>2</v>
      </c>
      <c r="Q56" s="64">
        <v>3</v>
      </c>
      <c r="R56" s="96">
        <v>4</v>
      </c>
      <c r="S56" s="64">
        <v>3</v>
      </c>
      <c r="T56" s="5">
        <v>2</v>
      </c>
      <c r="U56" s="5">
        <v>2</v>
      </c>
      <c r="V56" s="5">
        <v>1</v>
      </c>
      <c r="W56" s="5"/>
      <c r="X56" s="5"/>
      <c r="Y56" s="5">
        <v>2</v>
      </c>
      <c r="Z56" s="22" t="s">
        <v>314</v>
      </c>
      <c r="AA56" s="36" t="s">
        <v>471</v>
      </c>
      <c r="AB56" s="49">
        <v>1283.0833333333333</v>
      </c>
      <c r="AC56" s="23"/>
      <c r="AD56" s="23"/>
      <c r="AE56" s="5"/>
      <c r="AF56" s="5"/>
      <c r="AG56" s="5"/>
      <c r="AH56" s="34">
        <v>23</v>
      </c>
      <c r="AI56" s="34"/>
      <c r="AJ56" s="34"/>
      <c r="AK56" s="34">
        <v>9</v>
      </c>
      <c r="AL56" s="34"/>
      <c r="AM56" s="34"/>
      <c r="AN56" s="5" t="s">
        <v>37</v>
      </c>
      <c r="AO56" s="24" t="s">
        <v>33</v>
      </c>
      <c r="AP56" s="24" t="s">
        <v>33</v>
      </c>
      <c r="AQ56" s="24" t="s">
        <v>33</v>
      </c>
      <c r="AR56" s="24" t="s">
        <v>33</v>
      </c>
      <c r="AS56" s="24" t="s">
        <v>33</v>
      </c>
      <c r="AT56" s="24" t="s">
        <v>33</v>
      </c>
      <c r="AU56" s="24" t="s">
        <v>42</v>
      </c>
      <c r="AV56" s="24">
        <v>795</v>
      </c>
      <c r="AW56" s="24" t="s">
        <v>42</v>
      </c>
      <c r="AX56" s="24">
        <v>44</v>
      </c>
      <c r="AY56" s="24">
        <v>0</v>
      </c>
      <c r="AZ56" s="24">
        <v>0</v>
      </c>
      <c r="BA56" s="25">
        <v>699</v>
      </c>
      <c r="BB56" s="24">
        <v>1074.6666666666667</v>
      </c>
      <c r="BC56" s="26">
        <f t="shared" si="6"/>
        <v>1.537434430138293</v>
      </c>
      <c r="BD56" s="27">
        <f t="shared" si="5"/>
        <v>0.61960122101708126</v>
      </c>
      <c r="BE56" s="27"/>
      <c r="BF56" s="5">
        <f t="shared" si="7"/>
        <v>2.0368545526212061</v>
      </c>
      <c r="BG56" s="5">
        <v>118.43</v>
      </c>
      <c r="BH56" s="5">
        <v>3</v>
      </c>
      <c r="BI56" s="24">
        <v>1</v>
      </c>
      <c r="BJ56" s="29" t="s">
        <v>285</v>
      </c>
      <c r="BK56" s="24">
        <v>6</v>
      </c>
      <c r="BL56" s="24">
        <v>5</v>
      </c>
      <c r="BM56" s="5" t="s">
        <v>42</v>
      </c>
      <c r="BN56" s="5" t="s">
        <v>150</v>
      </c>
      <c r="BO56" s="30" t="s">
        <v>39</v>
      </c>
      <c r="BP56" s="5"/>
    </row>
    <row r="57" spans="1:68" s="16" customFormat="1" x14ac:dyDescent="0.25">
      <c r="A57" s="12" t="s">
        <v>248</v>
      </c>
      <c r="B57" s="4">
        <v>55</v>
      </c>
      <c r="C57" s="34">
        <v>-76.694816000000003</v>
      </c>
      <c r="D57" s="34">
        <v>39.191845000000001</v>
      </c>
      <c r="E57" s="12" t="s">
        <v>248</v>
      </c>
      <c r="F57" s="12" t="s">
        <v>131</v>
      </c>
      <c r="G57" s="12"/>
      <c r="H57" s="12"/>
      <c r="I57" s="12"/>
      <c r="J57" s="12"/>
      <c r="K57" s="5" t="s">
        <v>42</v>
      </c>
      <c r="L57" s="5" t="s">
        <v>76</v>
      </c>
      <c r="M57" s="5" t="s">
        <v>35</v>
      </c>
      <c r="N57" s="25">
        <v>183449</v>
      </c>
      <c r="O57" s="5" t="s">
        <v>77</v>
      </c>
      <c r="P57" s="64">
        <v>3</v>
      </c>
      <c r="Q57" s="64">
        <v>5</v>
      </c>
      <c r="R57" s="96">
        <v>3</v>
      </c>
      <c r="S57" s="64">
        <v>5</v>
      </c>
      <c r="T57" s="5">
        <v>1</v>
      </c>
      <c r="U57" s="5">
        <v>1</v>
      </c>
      <c r="V57" s="5">
        <v>1</v>
      </c>
      <c r="W57" s="5"/>
      <c r="X57" s="5"/>
      <c r="Y57" s="5">
        <v>4</v>
      </c>
      <c r="Z57" s="22" t="s">
        <v>324</v>
      </c>
      <c r="AA57" s="36" t="s">
        <v>472</v>
      </c>
      <c r="AB57" s="49">
        <v>2135.3333333333335</v>
      </c>
      <c r="AC57" s="23"/>
      <c r="AD57" s="23"/>
      <c r="AE57" s="5"/>
      <c r="AF57" s="5"/>
      <c r="AG57" s="5"/>
      <c r="AH57" s="34">
        <v>28</v>
      </c>
      <c r="AI57" s="34"/>
      <c r="AJ57" s="34"/>
      <c r="AK57" s="34">
        <v>9</v>
      </c>
      <c r="AL57" s="34"/>
      <c r="AM57" s="34"/>
      <c r="AN57" s="5" t="s">
        <v>37</v>
      </c>
      <c r="AO57" s="24" t="s">
        <v>33</v>
      </c>
      <c r="AP57" s="24" t="s">
        <v>33</v>
      </c>
      <c r="AQ57" s="24" t="s">
        <v>33</v>
      </c>
      <c r="AR57" s="24" t="s">
        <v>33</v>
      </c>
      <c r="AS57" s="24" t="s">
        <v>33</v>
      </c>
      <c r="AT57" s="24" t="s">
        <v>33</v>
      </c>
      <c r="AU57" s="24" t="s">
        <v>33</v>
      </c>
      <c r="AV57" s="24">
        <v>0</v>
      </c>
      <c r="AW57" s="24" t="s">
        <v>33</v>
      </c>
      <c r="AX57" s="24">
        <v>0</v>
      </c>
      <c r="AY57" s="24">
        <v>5</v>
      </c>
      <c r="AZ57" s="24">
        <v>5</v>
      </c>
      <c r="BA57" s="25">
        <v>975</v>
      </c>
      <c r="BB57" s="24">
        <v>2285.5</v>
      </c>
      <c r="BC57" s="26">
        <f t="shared" si="6"/>
        <v>2.3441025641025641</v>
      </c>
      <c r="BD57" s="27">
        <f t="shared" si="5"/>
        <v>0</v>
      </c>
      <c r="BE57" s="27"/>
      <c r="BF57" s="5">
        <f t="shared" si="7"/>
        <v>0</v>
      </c>
      <c r="BG57" s="5">
        <v>2.5468899999999999</v>
      </c>
      <c r="BH57" s="5">
        <v>2</v>
      </c>
      <c r="BI57" s="24">
        <v>0</v>
      </c>
      <c r="BJ57" s="29" t="s">
        <v>279</v>
      </c>
      <c r="BK57" s="24">
        <v>20</v>
      </c>
      <c r="BL57" s="24">
        <v>14</v>
      </c>
      <c r="BM57" s="5" t="s">
        <v>42</v>
      </c>
      <c r="BN57" s="5" t="s">
        <v>152</v>
      </c>
      <c r="BO57" s="30" t="s">
        <v>79</v>
      </c>
      <c r="BP57" s="5"/>
    </row>
    <row r="58" spans="1:68" s="16" customFormat="1" x14ac:dyDescent="0.25">
      <c r="A58" s="12" t="s">
        <v>153</v>
      </c>
      <c r="B58" s="4">
        <v>57</v>
      </c>
      <c r="C58" s="34">
        <v>-76.706361000000001</v>
      </c>
      <c r="D58" s="34">
        <v>39.087389000000002</v>
      </c>
      <c r="E58" s="12" t="s">
        <v>153</v>
      </c>
      <c r="F58" s="12" t="s">
        <v>131</v>
      </c>
      <c r="G58" s="12"/>
      <c r="H58" s="12"/>
      <c r="I58" s="12"/>
      <c r="J58" s="12"/>
      <c r="K58" s="5" t="s">
        <v>33</v>
      </c>
      <c r="L58" s="5" t="s">
        <v>76</v>
      </c>
      <c r="M58" s="5" t="s">
        <v>35</v>
      </c>
      <c r="N58" s="25">
        <v>133367</v>
      </c>
      <c r="O58" s="5" t="s">
        <v>36</v>
      </c>
      <c r="P58" s="64">
        <v>3</v>
      </c>
      <c r="Q58" s="64">
        <v>5</v>
      </c>
      <c r="R58" s="96">
        <v>5</v>
      </c>
      <c r="S58" s="64">
        <v>4</v>
      </c>
      <c r="T58" s="5">
        <v>1</v>
      </c>
      <c r="U58" s="5">
        <v>3</v>
      </c>
      <c r="V58" s="5">
        <v>1</v>
      </c>
      <c r="W58" s="5"/>
      <c r="X58" s="5"/>
      <c r="Y58" s="5">
        <v>2</v>
      </c>
      <c r="Z58" s="22" t="s">
        <v>325</v>
      </c>
      <c r="AA58" s="22"/>
      <c r="AB58" s="49">
        <v>2384.75</v>
      </c>
      <c r="AC58" s="23"/>
      <c r="AD58" s="23"/>
      <c r="AE58" s="5"/>
      <c r="AF58" s="5"/>
      <c r="AG58" s="5"/>
      <c r="AH58" s="34">
        <v>26</v>
      </c>
      <c r="AI58" s="34"/>
      <c r="AJ58" s="34"/>
      <c r="AK58" s="34">
        <v>9</v>
      </c>
      <c r="AL58" s="34"/>
      <c r="AM58" s="34"/>
      <c r="AN58" s="5" t="s">
        <v>37</v>
      </c>
      <c r="AO58" s="24" t="s">
        <v>33</v>
      </c>
      <c r="AP58" s="24" t="s">
        <v>33</v>
      </c>
      <c r="AQ58" s="24" t="s">
        <v>33</v>
      </c>
      <c r="AR58" s="24" t="s">
        <v>33</v>
      </c>
      <c r="AS58" s="24" t="s">
        <v>33</v>
      </c>
      <c r="AT58" s="24" t="s">
        <v>33</v>
      </c>
      <c r="AU58" s="24" t="s">
        <v>33</v>
      </c>
      <c r="AV58" s="24">
        <v>1920</v>
      </c>
      <c r="AW58" s="24" t="s">
        <v>42</v>
      </c>
      <c r="AX58" s="24">
        <v>56</v>
      </c>
      <c r="AY58" s="24">
        <v>2</v>
      </c>
      <c r="AZ58" s="24">
        <v>0</v>
      </c>
      <c r="BA58" s="25">
        <v>1769</v>
      </c>
      <c r="BB58" s="24">
        <v>1864.6666666666667</v>
      </c>
      <c r="BC58" s="26">
        <f t="shared" si="6"/>
        <v>1.05407951761824</v>
      </c>
      <c r="BD58" s="27">
        <f t="shared" si="5"/>
        <v>0.80511584023482541</v>
      </c>
      <c r="BE58" s="27"/>
      <c r="BF58" s="5">
        <f t="shared" si="7"/>
        <v>4.9191959006700827</v>
      </c>
      <c r="BG58" s="5">
        <v>52.211199999999998</v>
      </c>
      <c r="BH58" s="5">
        <v>2</v>
      </c>
      <c r="BI58" s="24">
        <v>4</v>
      </c>
      <c r="BJ58" s="29" t="s">
        <v>288</v>
      </c>
      <c r="BK58" s="24">
        <v>10</v>
      </c>
      <c r="BL58" s="24">
        <v>8</v>
      </c>
      <c r="BM58" s="5" t="s">
        <v>33</v>
      </c>
      <c r="BN58" s="5" t="s">
        <v>154</v>
      </c>
      <c r="BO58" s="30" t="s">
        <v>79</v>
      </c>
      <c r="BP58" s="30" t="s">
        <v>155</v>
      </c>
    </row>
    <row r="59" spans="1:68" s="16" customFormat="1" x14ac:dyDescent="0.25">
      <c r="A59" s="12" t="s">
        <v>156</v>
      </c>
      <c r="B59" s="4">
        <v>58</v>
      </c>
      <c r="C59" s="34">
        <v>-76.766158000000004</v>
      </c>
      <c r="D59" s="34">
        <v>39.017467000000003</v>
      </c>
      <c r="E59" s="12" t="s">
        <v>156</v>
      </c>
      <c r="F59" s="12" t="s">
        <v>131</v>
      </c>
      <c r="G59" s="12"/>
      <c r="H59" s="12"/>
      <c r="I59" s="12"/>
      <c r="J59" s="12"/>
      <c r="K59" s="5" t="s">
        <v>42</v>
      </c>
      <c r="L59" s="5" t="s">
        <v>157</v>
      </c>
      <c r="M59" s="5" t="s">
        <v>35</v>
      </c>
      <c r="N59" s="25">
        <v>118615</v>
      </c>
      <c r="O59" s="5" t="s">
        <v>36</v>
      </c>
      <c r="P59" s="64">
        <v>3</v>
      </c>
      <c r="Q59" s="64">
        <v>1</v>
      </c>
      <c r="R59" s="96">
        <v>4</v>
      </c>
      <c r="S59" s="64">
        <v>3</v>
      </c>
      <c r="T59" s="5">
        <v>1</v>
      </c>
      <c r="U59" s="5">
        <v>2</v>
      </c>
      <c r="V59" s="5">
        <v>1</v>
      </c>
      <c r="W59" s="5"/>
      <c r="X59" s="5"/>
      <c r="Y59" s="5">
        <v>2</v>
      </c>
      <c r="Z59" s="22" t="s">
        <v>326</v>
      </c>
      <c r="AA59" s="36" t="s">
        <v>473</v>
      </c>
      <c r="AB59" s="49">
        <v>622.5</v>
      </c>
      <c r="AC59" s="23"/>
      <c r="AD59" s="23"/>
      <c r="AE59" s="5"/>
      <c r="AF59" s="5"/>
      <c r="AG59" s="5"/>
      <c r="AH59" s="34">
        <v>24</v>
      </c>
      <c r="AI59" s="34"/>
      <c r="AJ59" s="34"/>
      <c r="AK59" s="34">
        <v>9</v>
      </c>
      <c r="AL59" s="34"/>
      <c r="AM59" s="34"/>
      <c r="AN59" s="5" t="s">
        <v>37</v>
      </c>
      <c r="AO59" s="24" t="s">
        <v>33</v>
      </c>
      <c r="AP59" s="24" t="s">
        <v>33</v>
      </c>
      <c r="AQ59" s="24" t="s">
        <v>42</v>
      </c>
      <c r="AR59" s="24" t="s">
        <v>33</v>
      </c>
      <c r="AS59" s="24" t="s">
        <v>33</v>
      </c>
      <c r="AT59" s="24" t="s">
        <v>42</v>
      </c>
      <c r="AU59" s="24" t="s">
        <v>42</v>
      </c>
      <c r="AV59" s="24">
        <v>618</v>
      </c>
      <c r="AW59" s="24" t="s">
        <v>42</v>
      </c>
      <c r="AX59" s="24">
        <v>14</v>
      </c>
      <c r="AY59" s="24">
        <v>0</v>
      </c>
      <c r="AZ59" s="24">
        <v>0</v>
      </c>
      <c r="BA59" s="25">
        <v>415</v>
      </c>
      <c r="BB59" s="24">
        <v>496.33333333333331</v>
      </c>
      <c r="BC59" s="26">
        <f t="shared" si="6"/>
        <v>1.1959839357429718</v>
      </c>
      <c r="BD59" s="27">
        <f t="shared" si="5"/>
        <v>0.9927710843373494</v>
      </c>
      <c r="BE59" s="27"/>
      <c r="BF59" s="5">
        <f t="shared" si="7"/>
        <v>1.5833661805281829</v>
      </c>
      <c r="BG59" s="5">
        <v>5.0937799999999998</v>
      </c>
      <c r="BH59" s="5">
        <v>3</v>
      </c>
      <c r="BI59" s="24">
        <v>6</v>
      </c>
      <c r="BJ59" s="29" t="s">
        <v>289</v>
      </c>
      <c r="BK59" s="24">
        <v>0</v>
      </c>
      <c r="BL59" s="24"/>
      <c r="BM59" s="5" t="s">
        <v>33</v>
      </c>
      <c r="BN59" s="5" t="s">
        <v>158</v>
      </c>
      <c r="BO59" s="30" t="s">
        <v>159</v>
      </c>
      <c r="BP59" s="5"/>
    </row>
    <row r="60" spans="1:68" s="16" customFormat="1" x14ac:dyDescent="0.25">
      <c r="A60" s="12" t="s">
        <v>160</v>
      </c>
      <c r="B60" s="4">
        <v>59</v>
      </c>
      <c r="C60" s="34">
        <v>-76.844300000000004</v>
      </c>
      <c r="D60" s="34">
        <v>38.972499999999997</v>
      </c>
      <c r="E60" s="12" t="s">
        <v>160</v>
      </c>
      <c r="F60" s="12" t="s">
        <v>131</v>
      </c>
      <c r="G60" s="12"/>
      <c r="H60" s="12"/>
      <c r="I60" s="12"/>
      <c r="J60" s="12"/>
      <c r="K60" s="5" t="s">
        <v>42</v>
      </c>
      <c r="L60" s="5" t="s">
        <v>157</v>
      </c>
      <c r="M60" s="5" t="s">
        <v>35</v>
      </c>
      <c r="N60" s="25">
        <v>231434</v>
      </c>
      <c r="O60" s="5" t="s">
        <v>36</v>
      </c>
      <c r="P60" s="64">
        <v>2</v>
      </c>
      <c r="Q60" s="64">
        <v>2</v>
      </c>
      <c r="R60" s="96">
        <v>3</v>
      </c>
      <c r="S60" s="64">
        <v>5</v>
      </c>
      <c r="T60" s="5">
        <v>2</v>
      </c>
      <c r="U60" s="5">
        <v>3</v>
      </c>
      <c r="V60" s="5">
        <v>1</v>
      </c>
      <c r="W60" s="5"/>
      <c r="X60" s="5"/>
      <c r="Y60" s="5">
        <v>2</v>
      </c>
      <c r="Z60" s="22" t="s">
        <v>327</v>
      </c>
      <c r="AA60" s="36" t="s">
        <v>474</v>
      </c>
      <c r="AB60" s="49">
        <v>409.16666666666669</v>
      </c>
      <c r="AC60" s="23"/>
      <c r="AD60" s="23"/>
      <c r="AE60" s="5"/>
      <c r="AF60" s="5"/>
      <c r="AG60" s="5"/>
      <c r="AH60" s="34">
        <v>21</v>
      </c>
      <c r="AI60" s="34"/>
      <c r="AJ60" s="34"/>
      <c r="AK60" s="34">
        <v>0</v>
      </c>
      <c r="AL60" s="34"/>
      <c r="AM60" s="34"/>
      <c r="AN60" s="5" t="s">
        <v>37</v>
      </c>
      <c r="AO60" s="24" t="s">
        <v>33</v>
      </c>
      <c r="AP60" s="24" t="s">
        <v>33</v>
      </c>
      <c r="AQ60" s="24" t="s">
        <v>42</v>
      </c>
      <c r="AR60" s="24" t="s">
        <v>33</v>
      </c>
      <c r="AS60" s="24" t="s">
        <v>33</v>
      </c>
      <c r="AT60" s="24" t="s">
        <v>33</v>
      </c>
      <c r="AU60" s="24" t="s">
        <v>42</v>
      </c>
      <c r="AV60" s="24">
        <v>257</v>
      </c>
      <c r="AW60" s="24" t="s">
        <v>42</v>
      </c>
      <c r="AX60" s="24">
        <v>10</v>
      </c>
      <c r="AY60" s="24">
        <v>0</v>
      </c>
      <c r="AZ60" s="24">
        <v>0</v>
      </c>
      <c r="BA60" s="25">
        <v>239</v>
      </c>
      <c r="BB60" s="24">
        <v>283.66666666666669</v>
      </c>
      <c r="BC60" s="26">
        <f t="shared" si="6"/>
        <v>1.186889818688982</v>
      </c>
      <c r="BD60" s="27">
        <f t="shared" si="5"/>
        <v>0.6281059063136456</v>
      </c>
      <c r="BE60" s="27"/>
      <c r="BF60" s="5">
        <f t="shared" si="7"/>
        <v>0.65845486795427666</v>
      </c>
      <c r="BG60" s="5">
        <v>92.961399999999998</v>
      </c>
      <c r="BH60" s="5">
        <v>3</v>
      </c>
      <c r="BI60" s="24">
        <v>3</v>
      </c>
      <c r="BJ60" s="29" t="s">
        <v>290</v>
      </c>
      <c r="BK60" s="24">
        <v>10</v>
      </c>
      <c r="BL60" s="24">
        <v>10</v>
      </c>
      <c r="BM60" s="5" t="s">
        <v>42</v>
      </c>
      <c r="BN60" s="5" t="s">
        <v>161</v>
      </c>
      <c r="BO60" s="30" t="s">
        <v>159</v>
      </c>
      <c r="BP60" s="5"/>
    </row>
    <row r="61" spans="1:68" s="16" customFormat="1" x14ac:dyDescent="0.25">
      <c r="A61" s="12" t="s">
        <v>162</v>
      </c>
      <c r="B61" s="4">
        <v>60</v>
      </c>
      <c r="C61" s="34">
        <v>-76.871700000000004</v>
      </c>
      <c r="D61" s="34">
        <v>38.9482</v>
      </c>
      <c r="E61" s="12" t="s">
        <v>162</v>
      </c>
      <c r="F61" s="12" t="s">
        <v>131</v>
      </c>
      <c r="G61" s="12"/>
      <c r="H61" s="12"/>
      <c r="I61" s="12"/>
      <c r="J61" s="12"/>
      <c r="K61" s="5" t="s">
        <v>33</v>
      </c>
      <c r="L61" s="5" t="s">
        <v>157</v>
      </c>
      <c r="M61" s="5" t="s">
        <v>35</v>
      </c>
      <c r="N61" s="25">
        <v>301688</v>
      </c>
      <c r="O61" s="5" t="s">
        <v>36</v>
      </c>
      <c r="P61" s="64">
        <v>3</v>
      </c>
      <c r="Q61" s="64">
        <v>3</v>
      </c>
      <c r="R61" s="96">
        <v>2</v>
      </c>
      <c r="S61" s="64">
        <v>5</v>
      </c>
      <c r="T61" s="5">
        <v>2</v>
      </c>
      <c r="U61" s="5">
        <v>4</v>
      </c>
      <c r="V61" s="5">
        <v>1</v>
      </c>
      <c r="W61" s="5"/>
      <c r="X61" s="5"/>
      <c r="Y61" s="5">
        <v>4</v>
      </c>
      <c r="Z61" s="22" t="s">
        <v>355</v>
      </c>
      <c r="AA61" s="36" t="s">
        <v>475</v>
      </c>
      <c r="AB61" s="49">
        <v>1815.0833333333333</v>
      </c>
      <c r="AC61" s="23"/>
      <c r="AD61" s="23"/>
      <c r="AE61" s="5"/>
      <c r="AF61" s="5"/>
      <c r="AG61" s="5"/>
      <c r="AH61" s="34">
        <v>28</v>
      </c>
      <c r="AI61" s="34"/>
      <c r="AJ61" s="34"/>
      <c r="AK61" s="34">
        <v>9</v>
      </c>
      <c r="AL61" s="34"/>
      <c r="AM61" s="34"/>
      <c r="AN61" s="5" t="s">
        <v>37</v>
      </c>
      <c r="AO61" s="24" t="s">
        <v>33</v>
      </c>
      <c r="AP61" s="24" t="s">
        <v>33</v>
      </c>
      <c r="AQ61" s="24" t="s">
        <v>33</v>
      </c>
      <c r="AR61" s="24" t="s">
        <v>33</v>
      </c>
      <c r="AS61" s="24" t="s">
        <v>33</v>
      </c>
      <c r="AT61" s="24" t="s">
        <v>33</v>
      </c>
      <c r="AU61" s="24" t="s">
        <v>42</v>
      </c>
      <c r="AV61" s="24">
        <v>0</v>
      </c>
      <c r="AW61" s="24" t="s">
        <v>33</v>
      </c>
      <c r="AX61" s="24">
        <v>0</v>
      </c>
      <c r="AY61" s="24">
        <v>0</v>
      </c>
      <c r="AZ61" s="24">
        <v>0</v>
      </c>
      <c r="BA61" s="25">
        <v>0</v>
      </c>
      <c r="BB61" s="24"/>
      <c r="BC61" s="26"/>
      <c r="BD61" s="27">
        <f t="shared" si="5"/>
        <v>0</v>
      </c>
      <c r="BE61" s="27"/>
      <c r="BF61" s="5">
        <f t="shared" si="7"/>
        <v>0</v>
      </c>
      <c r="BG61" s="5">
        <v>62.398800000000001</v>
      </c>
      <c r="BH61" s="5">
        <v>2</v>
      </c>
      <c r="BI61" s="24">
        <v>35</v>
      </c>
      <c r="BJ61" s="29" t="s">
        <v>291</v>
      </c>
      <c r="BK61" s="24">
        <v>8</v>
      </c>
      <c r="BL61" s="24"/>
      <c r="BM61" s="5" t="s">
        <v>33</v>
      </c>
      <c r="BN61" s="5" t="s">
        <v>163</v>
      </c>
      <c r="BO61" s="30" t="s">
        <v>159</v>
      </c>
      <c r="BP61" s="5"/>
    </row>
    <row r="62" spans="1:68" s="16" customFormat="1" x14ac:dyDescent="0.25">
      <c r="A62" s="12" t="s">
        <v>169</v>
      </c>
      <c r="B62" s="4">
        <v>63</v>
      </c>
      <c r="C62" s="34">
        <v>-76.705292999999998</v>
      </c>
      <c r="D62" s="34">
        <v>39.223981000000002</v>
      </c>
      <c r="E62" s="12" t="s">
        <v>169</v>
      </c>
      <c r="F62" s="20" t="s">
        <v>166</v>
      </c>
      <c r="G62" s="20"/>
      <c r="H62" s="20"/>
      <c r="I62" s="20"/>
      <c r="J62" s="20"/>
      <c r="K62" s="5" t="s">
        <v>42</v>
      </c>
      <c r="L62" s="5" t="s">
        <v>34</v>
      </c>
      <c r="M62" s="5" t="s">
        <v>35</v>
      </c>
      <c r="N62" s="25">
        <v>225363</v>
      </c>
      <c r="O62" s="5" t="s">
        <v>36</v>
      </c>
      <c r="P62" s="64">
        <v>1</v>
      </c>
      <c r="Q62" s="64">
        <v>1</v>
      </c>
      <c r="R62" s="96">
        <v>3</v>
      </c>
      <c r="S62" s="64">
        <v>1</v>
      </c>
      <c r="T62" s="5">
        <v>2</v>
      </c>
      <c r="U62" s="5">
        <v>2</v>
      </c>
      <c r="V62" s="5">
        <v>1</v>
      </c>
      <c r="W62" s="5"/>
      <c r="X62" s="5"/>
      <c r="Y62" s="5">
        <v>1</v>
      </c>
      <c r="Z62" s="22"/>
      <c r="AA62" s="22"/>
      <c r="AB62" s="49">
        <v>9.0833333333333339</v>
      </c>
      <c r="AC62" s="23"/>
      <c r="AD62" s="23"/>
      <c r="AE62" s="5"/>
      <c r="AF62" s="5"/>
      <c r="AG62" s="5"/>
      <c r="AH62" s="34">
        <v>3</v>
      </c>
      <c r="AI62" s="34"/>
      <c r="AJ62" s="34"/>
      <c r="AK62" s="5"/>
      <c r="AL62" s="5"/>
      <c r="AM62" s="5"/>
      <c r="AN62" s="5" t="s">
        <v>167</v>
      </c>
      <c r="AO62" s="24" t="s">
        <v>42</v>
      </c>
      <c r="AP62" s="24" t="s">
        <v>42</v>
      </c>
      <c r="AQ62" s="24" t="s">
        <v>42</v>
      </c>
      <c r="AR62" s="24" t="s">
        <v>33</v>
      </c>
      <c r="AS62" s="24" t="s">
        <v>33</v>
      </c>
      <c r="AT62" s="24" t="s">
        <v>42</v>
      </c>
      <c r="AU62" s="24" t="s">
        <v>42</v>
      </c>
      <c r="AV62" s="24">
        <v>32</v>
      </c>
      <c r="AW62" s="24" t="s">
        <v>42</v>
      </c>
      <c r="AX62" s="24">
        <v>2</v>
      </c>
      <c r="AY62" s="24">
        <v>0</v>
      </c>
      <c r="AZ62" s="24">
        <v>0</v>
      </c>
      <c r="BA62" s="25">
        <v>18</v>
      </c>
      <c r="BB62" s="24">
        <v>7.333333333333333</v>
      </c>
      <c r="BC62" s="26">
        <f>BB62/BA62</f>
        <v>0.40740740740740738</v>
      </c>
      <c r="BD62" s="27">
        <f t="shared" si="5"/>
        <v>3.5229357798165135</v>
      </c>
      <c r="BE62" s="27"/>
      <c r="BF62" s="5">
        <f>AV62/((SUM($AV$62:$AV$71)+$AV$5)/11)</f>
        <v>0.13847364280094412</v>
      </c>
      <c r="BG62" s="5">
        <v>43.2971</v>
      </c>
      <c r="BH62" s="5">
        <v>3</v>
      </c>
      <c r="BI62" s="24">
        <v>0</v>
      </c>
      <c r="BJ62" s="29" t="s">
        <v>279</v>
      </c>
      <c r="BK62" s="24">
        <v>0</v>
      </c>
      <c r="BL62" s="24"/>
      <c r="BM62" s="5" t="s">
        <v>42</v>
      </c>
      <c r="BN62" s="5" t="s">
        <v>170</v>
      </c>
      <c r="BO62" s="30" t="s">
        <v>39</v>
      </c>
      <c r="BP62" s="5"/>
    </row>
    <row r="63" spans="1:68" s="16" customFormat="1" x14ac:dyDescent="0.25">
      <c r="A63" s="12" t="s">
        <v>171</v>
      </c>
      <c r="B63" s="4">
        <v>64</v>
      </c>
      <c r="C63" s="34">
        <v>-76.745808999999994</v>
      </c>
      <c r="D63" s="34">
        <v>39.181035999999999</v>
      </c>
      <c r="E63" s="12" t="s">
        <v>171</v>
      </c>
      <c r="F63" s="20" t="s">
        <v>166</v>
      </c>
      <c r="G63" s="20"/>
      <c r="H63" s="20"/>
      <c r="I63" s="20"/>
      <c r="J63" s="20"/>
      <c r="K63" s="5" t="s">
        <v>42</v>
      </c>
      <c r="L63" s="5" t="s">
        <v>172</v>
      </c>
      <c r="M63" s="5" t="s">
        <v>35</v>
      </c>
      <c r="N63" s="25">
        <v>145241</v>
      </c>
      <c r="O63" s="5" t="s">
        <v>36</v>
      </c>
      <c r="P63" s="64">
        <v>2</v>
      </c>
      <c r="Q63" s="64">
        <v>5</v>
      </c>
      <c r="R63" s="96">
        <v>5</v>
      </c>
      <c r="S63" s="64">
        <v>1</v>
      </c>
      <c r="T63" s="5">
        <v>1</v>
      </c>
      <c r="U63" s="5">
        <v>4</v>
      </c>
      <c r="V63" s="5">
        <v>1</v>
      </c>
      <c r="W63" s="5"/>
      <c r="X63" s="5"/>
      <c r="Y63" s="5">
        <v>3</v>
      </c>
      <c r="Z63" s="22" t="s">
        <v>328</v>
      </c>
      <c r="AA63" s="22">
        <v>201</v>
      </c>
      <c r="AB63" s="49">
        <v>467.25</v>
      </c>
      <c r="AC63" s="23"/>
      <c r="AD63" s="23"/>
      <c r="AE63" s="5"/>
      <c r="AF63" s="5"/>
      <c r="AG63" s="5"/>
      <c r="AH63" s="34">
        <v>9</v>
      </c>
      <c r="AI63" s="34"/>
      <c r="AJ63" s="34"/>
      <c r="AK63" s="5"/>
      <c r="AL63" s="5"/>
      <c r="AM63" s="5"/>
      <c r="AN63" s="5" t="s">
        <v>167</v>
      </c>
      <c r="AO63" s="24" t="s">
        <v>33</v>
      </c>
      <c r="AP63" s="24" t="s">
        <v>33</v>
      </c>
      <c r="AQ63" s="24" t="s">
        <v>33</v>
      </c>
      <c r="AR63" s="24" t="s">
        <v>33</v>
      </c>
      <c r="AS63" s="24" t="s">
        <v>33</v>
      </c>
      <c r="AT63" s="24" t="s">
        <v>33</v>
      </c>
      <c r="AU63" s="24" t="s">
        <v>33</v>
      </c>
      <c r="AV63" s="24">
        <v>842</v>
      </c>
      <c r="AW63" s="24" t="s">
        <v>42</v>
      </c>
      <c r="AX63" s="24">
        <v>18</v>
      </c>
      <c r="AY63" s="24">
        <v>2</v>
      </c>
      <c r="AZ63" s="24">
        <v>0</v>
      </c>
      <c r="BA63" s="25">
        <v>594</v>
      </c>
      <c r="BB63" s="24">
        <v>507.33333333333331</v>
      </c>
      <c r="BC63" s="26">
        <f>BB63/BA63</f>
        <v>0.85409652076318743</v>
      </c>
      <c r="BD63" s="27">
        <f t="shared" si="5"/>
        <v>1.8020331728196897</v>
      </c>
      <c r="BE63" s="27"/>
      <c r="BF63" s="5">
        <f>AV63/((SUM($AV$62:$AV$71)+$AV$5)/11)</f>
        <v>3.6435877261998426</v>
      </c>
      <c r="BG63" s="5">
        <v>30.5627</v>
      </c>
      <c r="BH63" s="5">
        <v>1</v>
      </c>
      <c r="BI63" s="24">
        <v>2</v>
      </c>
      <c r="BJ63" s="29" t="s">
        <v>292</v>
      </c>
      <c r="BK63" s="24">
        <v>10</v>
      </c>
      <c r="BL63" s="24">
        <v>2</v>
      </c>
      <c r="BM63" s="5" t="s">
        <v>33</v>
      </c>
      <c r="BN63" s="5" t="s">
        <v>173</v>
      </c>
      <c r="BO63" s="5" t="s">
        <v>174</v>
      </c>
      <c r="BP63" s="5"/>
    </row>
    <row r="64" spans="1:68" s="16" customFormat="1" x14ac:dyDescent="0.25">
      <c r="A64" s="12" t="s">
        <v>175</v>
      </c>
      <c r="B64" s="4">
        <v>65</v>
      </c>
      <c r="C64" s="34">
        <v>-76.776966999999999</v>
      </c>
      <c r="D64" s="34">
        <v>39.151612999999998</v>
      </c>
      <c r="E64" s="12" t="s">
        <v>175</v>
      </c>
      <c r="F64" s="20" t="s">
        <v>166</v>
      </c>
      <c r="G64" s="20"/>
      <c r="H64" s="20"/>
      <c r="I64" s="20"/>
      <c r="J64" s="20"/>
      <c r="K64" s="5" t="s">
        <v>42</v>
      </c>
      <c r="L64" s="12" t="s">
        <v>76</v>
      </c>
      <c r="M64" s="5" t="s">
        <v>35</v>
      </c>
      <c r="N64" s="25">
        <v>175470</v>
      </c>
      <c r="O64" s="5" t="s">
        <v>36</v>
      </c>
      <c r="P64" s="64">
        <v>1</v>
      </c>
      <c r="Q64" s="64">
        <v>1</v>
      </c>
      <c r="R64" s="96">
        <v>3</v>
      </c>
      <c r="S64" s="64">
        <v>1</v>
      </c>
      <c r="T64" s="5">
        <v>1</v>
      </c>
      <c r="U64" s="5">
        <v>2</v>
      </c>
      <c r="V64" s="5">
        <v>1</v>
      </c>
      <c r="W64" s="5"/>
      <c r="X64" s="5"/>
      <c r="Y64" s="5">
        <v>1</v>
      </c>
      <c r="Z64" s="22"/>
      <c r="AA64" s="22"/>
      <c r="AB64" s="49">
        <v>0.66666666666666663</v>
      </c>
      <c r="AC64" s="23"/>
      <c r="AD64" s="23"/>
      <c r="AE64" s="5"/>
      <c r="AF64" s="5"/>
      <c r="AG64" s="5"/>
      <c r="AH64" s="34">
        <v>1</v>
      </c>
      <c r="AI64" s="34"/>
      <c r="AJ64" s="34"/>
      <c r="AK64" s="5"/>
      <c r="AL64" s="5"/>
      <c r="AM64" s="5"/>
      <c r="AN64" s="5" t="s">
        <v>167</v>
      </c>
      <c r="AO64" s="24" t="s">
        <v>42</v>
      </c>
      <c r="AP64" s="24" t="s">
        <v>42</v>
      </c>
      <c r="AQ64" s="24" t="s">
        <v>42</v>
      </c>
      <c r="AR64" s="24" t="s">
        <v>33</v>
      </c>
      <c r="AS64" s="24" t="s">
        <v>42</v>
      </c>
      <c r="AT64" s="24" t="s">
        <v>42</v>
      </c>
      <c r="AU64" s="24" t="s">
        <v>42</v>
      </c>
      <c r="AV64" s="24">
        <v>32</v>
      </c>
      <c r="AW64" s="24" t="s">
        <v>42</v>
      </c>
      <c r="AX64" s="24">
        <v>0</v>
      </c>
      <c r="AY64" s="24">
        <v>0</v>
      </c>
      <c r="AZ64" s="24">
        <v>0</v>
      </c>
      <c r="BA64" s="25">
        <v>7</v>
      </c>
      <c r="BB64" s="24">
        <v>12.666666666666666</v>
      </c>
      <c r="BC64" s="26">
        <f>BB64/BA64</f>
        <v>1.8095238095238095</v>
      </c>
      <c r="BD64" s="27">
        <f t="shared" si="5"/>
        <v>48</v>
      </c>
      <c r="BE64" s="27"/>
      <c r="BF64" s="5">
        <f>AV64/((SUM($AV$62:$AV$71)+$AV$5)/11)</f>
        <v>0.13847364280094412</v>
      </c>
      <c r="BG64" s="5">
        <v>12.734400000000001</v>
      </c>
      <c r="BH64" s="5">
        <v>1</v>
      </c>
      <c r="BI64" s="24">
        <v>0</v>
      </c>
      <c r="BJ64" s="29" t="s">
        <v>279</v>
      </c>
      <c r="BK64" s="24">
        <v>0</v>
      </c>
      <c r="BL64" s="24"/>
      <c r="BM64" s="5" t="s">
        <v>42</v>
      </c>
      <c r="BN64" s="5" t="s">
        <v>176</v>
      </c>
      <c r="BO64" s="5" t="s">
        <v>174</v>
      </c>
      <c r="BP64" s="5"/>
    </row>
    <row r="65" spans="1:68" s="16" customFormat="1" x14ac:dyDescent="0.25">
      <c r="A65" s="12" t="s">
        <v>177</v>
      </c>
      <c r="B65" s="4">
        <v>66</v>
      </c>
      <c r="C65" s="34">
        <v>-76.796936000000002</v>
      </c>
      <c r="D65" s="34">
        <v>39.122483000000003</v>
      </c>
      <c r="E65" s="12" t="s">
        <v>177</v>
      </c>
      <c r="F65" s="20" t="s">
        <v>166</v>
      </c>
      <c r="G65" s="20"/>
      <c r="H65" s="20"/>
      <c r="I65" s="20"/>
      <c r="J65" s="20"/>
      <c r="K65" s="5" t="s">
        <v>33</v>
      </c>
      <c r="L65" s="5" t="s">
        <v>172</v>
      </c>
      <c r="M65" s="5" t="s">
        <v>35</v>
      </c>
      <c r="N65" s="25">
        <v>174932</v>
      </c>
      <c r="O65" s="5" t="s">
        <v>36</v>
      </c>
      <c r="P65" s="64">
        <v>2</v>
      </c>
      <c r="Q65" s="64">
        <v>2</v>
      </c>
      <c r="R65" s="96">
        <v>5</v>
      </c>
      <c r="S65" s="64">
        <v>1</v>
      </c>
      <c r="T65" s="5">
        <v>1</v>
      </c>
      <c r="U65" s="5">
        <v>5</v>
      </c>
      <c r="V65" s="5">
        <v>1</v>
      </c>
      <c r="W65" s="5"/>
      <c r="X65" s="5"/>
      <c r="Y65" s="5">
        <v>3</v>
      </c>
      <c r="Z65" s="22" t="s">
        <v>328</v>
      </c>
      <c r="AA65" s="22">
        <v>202</v>
      </c>
      <c r="AB65" s="49">
        <v>372</v>
      </c>
      <c r="AC65" s="23"/>
      <c r="AD65" s="23"/>
      <c r="AE65" s="5"/>
      <c r="AF65" s="5"/>
      <c r="AG65" s="5"/>
      <c r="AH65" s="34">
        <v>9</v>
      </c>
      <c r="AI65" s="34"/>
      <c r="AJ65" s="34"/>
      <c r="AK65" s="5"/>
      <c r="AL65" s="5"/>
      <c r="AM65" s="5"/>
      <c r="AN65" s="5" t="s">
        <v>167</v>
      </c>
      <c r="AO65" s="24" t="s">
        <v>33</v>
      </c>
      <c r="AP65" s="24" t="s">
        <v>42</v>
      </c>
      <c r="AQ65" s="24" t="s">
        <v>33</v>
      </c>
      <c r="AR65" s="24" t="s">
        <v>33</v>
      </c>
      <c r="AS65" s="24" t="s">
        <v>33</v>
      </c>
      <c r="AT65" s="24" t="s">
        <v>33</v>
      </c>
      <c r="AU65" s="24" t="s">
        <v>42</v>
      </c>
      <c r="AV65" s="24">
        <v>363</v>
      </c>
      <c r="AW65" s="24" t="s">
        <v>42</v>
      </c>
      <c r="AX65" s="24">
        <v>30</v>
      </c>
      <c r="AY65" s="24">
        <v>0</v>
      </c>
      <c r="AZ65" s="24">
        <v>0</v>
      </c>
      <c r="BA65" s="25">
        <v>348</v>
      </c>
      <c r="BB65" s="24">
        <v>246.66666666666666</v>
      </c>
      <c r="BC65" s="26">
        <f>BB65/BA65</f>
        <v>0.70881226053639845</v>
      </c>
      <c r="BD65" s="27">
        <f t="shared" si="5"/>
        <v>0.97580645161290325</v>
      </c>
      <c r="BE65" s="27"/>
      <c r="BF65" s="5">
        <f>AV65/((SUM($AV$62:$AV$71)+$AV$5)/11)</f>
        <v>1.5708103855232101</v>
      </c>
      <c r="BG65" s="5">
        <v>17.828199999999999</v>
      </c>
      <c r="BH65" s="5">
        <v>1</v>
      </c>
      <c r="BI65" s="24">
        <v>1</v>
      </c>
      <c r="BJ65" s="29" t="s">
        <v>287</v>
      </c>
      <c r="BK65" s="24">
        <v>0</v>
      </c>
      <c r="BL65" s="24"/>
      <c r="BM65" s="5" t="s">
        <v>33</v>
      </c>
      <c r="BN65" s="5" t="s">
        <v>178</v>
      </c>
      <c r="BO65" s="5" t="s">
        <v>174</v>
      </c>
      <c r="BP65" s="30" t="s">
        <v>179</v>
      </c>
    </row>
    <row r="66" spans="1:68" s="16" customFormat="1" x14ac:dyDescent="0.25">
      <c r="A66" s="58" t="s">
        <v>180</v>
      </c>
      <c r="B66" s="4">
        <v>67</v>
      </c>
      <c r="C66" s="34">
        <v>-76.832921999999996</v>
      </c>
      <c r="D66" s="34">
        <v>39.105772000000002</v>
      </c>
      <c r="E66" s="12" t="s">
        <v>180</v>
      </c>
      <c r="F66" s="20" t="s">
        <v>166</v>
      </c>
      <c r="G66" s="20"/>
      <c r="H66" s="20"/>
      <c r="I66" s="20"/>
      <c r="J66" s="20"/>
      <c r="K66" s="5" t="s">
        <v>42</v>
      </c>
      <c r="L66" s="5" t="s">
        <v>172</v>
      </c>
      <c r="M66" s="5" t="s">
        <v>141</v>
      </c>
      <c r="N66" s="25">
        <v>143527</v>
      </c>
      <c r="O66" s="5" t="s">
        <v>77</v>
      </c>
      <c r="P66" s="64"/>
      <c r="Q66" s="64"/>
      <c r="R66" s="96"/>
      <c r="S66" s="64"/>
      <c r="T66" s="5"/>
      <c r="U66" s="5"/>
      <c r="V66" s="5"/>
      <c r="W66" s="5"/>
      <c r="X66" s="5"/>
      <c r="Y66" s="5"/>
      <c r="Z66" s="22"/>
      <c r="AA66" s="22"/>
      <c r="AB66" s="49"/>
      <c r="AC66" s="23"/>
      <c r="AD66" s="23"/>
      <c r="AE66" s="5"/>
      <c r="AF66" s="5"/>
      <c r="AG66" s="5"/>
      <c r="AH66" s="34"/>
      <c r="AI66" s="34"/>
      <c r="AJ66" s="34"/>
      <c r="AK66" s="5"/>
      <c r="AL66" s="5"/>
      <c r="AM66" s="5"/>
      <c r="AN66" s="5"/>
      <c r="AO66" s="24"/>
      <c r="AP66" s="24"/>
      <c r="AQ66" s="24"/>
      <c r="AR66" s="24"/>
      <c r="AS66" s="24"/>
      <c r="AT66" s="24"/>
      <c r="AU66" s="24"/>
      <c r="AV66" s="24"/>
      <c r="AW66" s="24"/>
      <c r="AX66" s="24"/>
      <c r="AY66" s="24"/>
      <c r="AZ66" s="24"/>
      <c r="BA66" s="25"/>
      <c r="BB66" s="24"/>
      <c r="BC66" s="26"/>
      <c r="BD66" s="27"/>
      <c r="BE66" s="27"/>
      <c r="BF66" s="5"/>
      <c r="BG66" s="5"/>
      <c r="BH66" s="5"/>
      <c r="BI66" s="24"/>
      <c r="BJ66" s="29"/>
      <c r="BK66" s="24"/>
      <c r="BL66" s="24"/>
      <c r="BM66" s="5"/>
      <c r="BN66" s="5"/>
      <c r="BO66" s="5"/>
      <c r="BP66" s="5"/>
    </row>
    <row r="67" spans="1:68" s="16" customFormat="1" x14ac:dyDescent="0.25">
      <c r="A67" s="12" t="s">
        <v>181</v>
      </c>
      <c r="B67" s="4">
        <v>68</v>
      </c>
      <c r="C67" s="34">
        <v>-76.841346999999999</v>
      </c>
      <c r="D67" s="34">
        <v>39.101863999999999</v>
      </c>
      <c r="E67" s="12" t="s">
        <v>181</v>
      </c>
      <c r="F67" s="20" t="s">
        <v>166</v>
      </c>
      <c r="G67" s="20"/>
      <c r="H67" s="20"/>
      <c r="I67" s="20"/>
      <c r="J67" s="20"/>
      <c r="K67" s="5" t="s">
        <v>33</v>
      </c>
      <c r="L67" s="5" t="s">
        <v>182</v>
      </c>
      <c r="M67" s="5" t="s">
        <v>35</v>
      </c>
      <c r="N67" s="25">
        <v>147126</v>
      </c>
      <c r="O67" s="5" t="s">
        <v>36</v>
      </c>
      <c r="P67" s="64">
        <v>2</v>
      </c>
      <c r="Q67" s="64">
        <v>2</v>
      </c>
      <c r="R67" s="96">
        <v>4</v>
      </c>
      <c r="S67" s="64">
        <v>5</v>
      </c>
      <c r="T67" s="5">
        <v>2</v>
      </c>
      <c r="U67" s="5">
        <v>5</v>
      </c>
      <c r="V67" s="5">
        <v>1</v>
      </c>
      <c r="W67" s="5"/>
      <c r="X67" s="5"/>
      <c r="Y67" s="5">
        <v>2</v>
      </c>
      <c r="Z67" s="22" t="s">
        <v>325</v>
      </c>
      <c r="AA67" s="22"/>
      <c r="AB67" s="49">
        <v>557.41666666666663</v>
      </c>
      <c r="AC67" s="23"/>
      <c r="AD67" s="23"/>
      <c r="AE67" s="5"/>
      <c r="AF67" s="5"/>
      <c r="AG67" s="5"/>
      <c r="AH67" s="34">
        <v>9</v>
      </c>
      <c r="AI67" s="34"/>
      <c r="AJ67" s="34"/>
      <c r="AK67" s="5"/>
      <c r="AL67" s="5"/>
      <c r="AM67" s="5"/>
      <c r="AN67" s="5" t="s">
        <v>37</v>
      </c>
      <c r="AO67" s="24" t="s">
        <v>33</v>
      </c>
      <c r="AP67" s="24" t="s">
        <v>33</v>
      </c>
      <c r="AQ67" s="24" t="s">
        <v>42</v>
      </c>
      <c r="AR67" s="24" t="s">
        <v>33</v>
      </c>
      <c r="AS67" s="24" t="s">
        <v>33</v>
      </c>
      <c r="AT67" s="24" t="s">
        <v>33</v>
      </c>
      <c r="AU67" s="24" t="s">
        <v>42</v>
      </c>
      <c r="AV67" s="24">
        <v>470</v>
      </c>
      <c r="AW67" s="24" t="s">
        <v>42</v>
      </c>
      <c r="AX67" s="24">
        <v>14</v>
      </c>
      <c r="AY67" s="24">
        <v>0</v>
      </c>
      <c r="AZ67" s="24">
        <v>0</v>
      </c>
      <c r="BA67" s="25">
        <v>443</v>
      </c>
      <c r="BB67" s="24">
        <v>497</v>
      </c>
      <c r="BC67" s="26">
        <f>BB67/BA67</f>
        <v>1.1218961625282167</v>
      </c>
      <c r="BD67" s="27">
        <f>AV67/(AB67+AC67)</f>
        <v>0.84317536253550607</v>
      </c>
      <c r="BE67" s="27"/>
      <c r="BF67" s="5">
        <f>AV67/((SUM($AV$62:$AV$71)+$AV$5)/11)</f>
        <v>2.0338316286388669</v>
      </c>
      <c r="BG67" s="5">
        <v>85.320800000000006</v>
      </c>
      <c r="BH67" s="5">
        <v>3</v>
      </c>
      <c r="BI67" s="24">
        <v>8</v>
      </c>
      <c r="BJ67" s="29" t="s">
        <v>293</v>
      </c>
      <c r="BK67" s="24">
        <v>10</v>
      </c>
      <c r="BL67" s="24">
        <v>6</v>
      </c>
      <c r="BM67" s="5" t="s">
        <v>33</v>
      </c>
      <c r="BN67" s="5" t="s">
        <v>183</v>
      </c>
      <c r="BO67" s="30" t="s">
        <v>159</v>
      </c>
      <c r="BP67" s="30" t="s">
        <v>179</v>
      </c>
    </row>
    <row r="68" spans="1:68" s="16" customFormat="1" x14ac:dyDescent="0.25">
      <c r="A68" s="5" t="s">
        <v>184</v>
      </c>
      <c r="B68" s="4">
        <v>69</v>
      </c>
      <c r="C68" s="34">
        <v>-76.884555000000006</v>
      </c>
      <c r="D68" s="34">
        <v>39.061914000000002</v>
      </c>
      <c r="E68" s="5" t="s">
        <v>184</v>
      </c>
      <c r="F68" s="20" t="s">
        <v>166</v>
      </c>
      <c r="G68" s="20"/>
      <c r="H68" s="20"/>
      <c r="I68" s="20"/>
      <c r="J68" s="20"/>
      <c r="K68" s="5" t="s">
        <v>42</v>
      </c>
      <c r="L68" s="5" t="s">
        <v>157</v>
      </c>
      <c r="M68" s="5" t="s">
        <v>35</v>
      </c>
      <c r="N68" s="25">
        <v>192427</v>
      </c>
      <c r="O68" s="5" t="s">
        <v>36</v>
      </c>
      <c r="P68" s="64">
        <v>2</v>
      </c>
      <c r="Q68" s="64">
        <v>1</v>
      </c>
      <c r="R68" s="96">
        <v>5</v>
      </c>
      <c r="S68" s="64">
        <v>1</v>
      </c>
      <c r="T68" s="5">
        <v>1</v>
      </c>
      <c r="U68" s="5">
        <v>3</v>
      </c>
      <c r="V68" s="5">
        <v>1</v>
      </c>
      <c r="W68" s="5"/>
      <c r="X68" s="5"/>
      <c r="Y68" s="5">
        <v>2</v>
      </c>
      <c r="Z68" s="22" t="s">
        <v>329</v>
      </c>
      <c r="AA68" s="22">
        <v>205</v>
      </c>
      <c r="AB68" s="49">
        <v>324.33333333333331</v>
      </c>
      <c r="AC68" s="23"/>
      <c r="AD68" s="23"/>
      <c r="AE68" s="5"/>
      <c r="AF68" s="5"/>
      <c r="AG68" s="5"/>
      <c r="AH68" s="34">
        <v>9</v>
      </c>
      <c r="AI68" s="34"/>
      <c r="AJ68" s="34"/>
      <c r="AK68" s="5"/>
      <c r="AL68" s="5"/>
      <c r="AM68" s="5"/>
      <c r="AN68" s="5" t="s">
        <v>167</v>
      </c>
      <c r="AO68" s="24" t="s">
        <v>33</v>
      </c>
      <c r="AP68" s="24" t="s">
        <v>33</v>
      </c>
      <c r="AQ68" s="24" t="s">
        <v>42</v>
      </c>
      <c r="AR68" s="24" t="s">
        <v>33</v>
      </c>
      <c r="AS68" s="24" t="s">
        <v>33</v>
      </c>
      <c r="AT68" s="24" t="s">
        <v>42</v>
      </c>
      <c r="AU68" s="24" t="s">
        <v>42</v>
      </c>
      <c r="AV68" s="24">
        <v>667</v>
      </c>
      <c r="AW68" s="24" t="s">
        <v>42</v>
      </c>
      <c r="AX68" s="24">
        <v>15</v>
      </c>
      <c r="AY68" s="24">
        <v>0</v>
      </c>
      <c r="AZ68" s="24">
        <v>0</v>
      </c>
      <c r="BA68" s="25">
        <v>209</v>
      </c>
      <c r="BB68" s="24">
        <v>250.66666666666666</v>
      </c>
      <c r="BC68" s="26">
        <f>BB68/BA68</f>
        <v>1.1993620414673045</v>
      </c>
      <c r="BD68" s="27">
        <f>AV68/(AB68+AC68)</f>
        <v>2.0565262076053443</v>
      </c>
      <c r="BE68" s="27"/>
      <c r="BF68" s="5">
        <f>AV68/((SUM($AV$62:$AV$71)+$AV$5)/11)</f>
        <v>2.8863099921321793</v>
      </c>
      <c r="BG68" s="5">
        <v>35.656399999999998</v>
      </c>
      <c r="BH68" s="5">
        <v>2</v>
      </c>
      <c r="BI68" s="24">
        <v>0</v>
      </c>
      <c r="BJ68" s="29" t="s">
        <v>279</v>
      </c>
      <c r="BK68" s="24">
        <v>8</v>
      </c>
      <c r="BL68" s="24">
        <v>1</v>
      </c>
      <c r="BM68" s="5" t="s">
        <v>42</v>
      </c>
      <c r="BN68" s="5" t="s">
        <v>185</v>
      </c>
      <c r="BO68" s="30" t="s">
        <v>159</v>
      </c>
      <c r="BP68" s="5"/>
    </row>
    <row r="69" spans="1:68" s="16" customFormat="1" x14ac:dyDescent="0.25">
      <c r="A69" s="5" t="s">
        <v>186</v>
      </c>
      <c r="B69" s="4">
        <v>70</v>
      </c>
      <c r="C69" s="34">
        <v>-76.909666999999999</v>
      </c>
      <c r="D69" s="34">
        <v>39.012607000000003</v>
      </c>
      <c r="E69" s="5" t="s">
        <v>186</v>
      </c>
      <c r="F69" s="20" t="s">
        <v>166</v>
      </c>
      <c r="G69" s="12" t="s">
        <v>241</v>
      </c>
      <c r="H69" s="20"/>
      <c r="I69" s="12"/>
      <c r="J69" s="20"/>
      <c r="K69" s="5" t="s">
        <v>33</v>
      </c>
      <c r="L69" s="5" t="s">
        <v>157</v>
      </c>
      <c r="M69" s="5" t="s">
        <v>48</v>
      </c>
      <c r="N69" s="25">
        <v>347842</v>
      </c>
      <c r="O69" s="5" t="s">
        <v>49</v>
      </c>
      <c r="P69" s="64">
        <v>1</v>
      </c>
      <c r="Q69" s="64">
        <v>1</v>
      </c>
      <c r="R69" s="96">
        <v>2</v>
      </c>
      <c r="S69" s="64">
        <v>5</v>
      </c>
      <c r="T69" s="5">
        <v>4</v>
      </c>
      <c r="U69" s="5">
        <v>4</v>
      </c>
      <c r="V69" s="5">
        <v>1</v>
      </c>
      <c r="W69" s="5"/>
      <c r="X69" s="5"/>
      <c r="Y69" s="5">
        <v>3</v>
      </c>
      <c r="Z69" s="22" t="s">
        <v>330</v>
      </c>
      <c r="AA69" s="36" t="s">
        <v>476</v>
      </c>
      <c r="AB69" s="49">
        <v>63.25</v>
      </c>
      <c r="AC69" s="23"/>
      <c r="AD69" s="23"/>
      <c r="AE69" s="5"/>
      <c r="AF69" s="5"/>
      <c r="AG69" s="5"/>
      <c r="AH69" s="34">
        <v>7</v>
      </c>
      <c r="AI69" s="34"/>
      <c r="AJ69" s="34"/>
      <c r="AK69" s="5"/>
      <c r="AL69" s="5"/>
      <c r="AM69" s="5"/>
      <c r="AN69" s="5" t="s">
        <v>37</v>
      </c>
      <c r="AO69" s="24" t="s">
        <v>33</v>
      </c>
      <c r="AP69" s="24" t="s">
        <v>33</v>
      </c>
      <c r="AQ69" s="24" t="s">
        <v>42</v>
      </c>
      <c r="AR69" s="24" t="s">
        <v>33</v>
      </c>
      <c r="AS69" s="24" t="s">
        <v>33</v>
      </c>
      <c r="AT69" s="24" t="s">
        <v>42</v>
      </c>
      <c r="AU69" s="24" t="s">
        <v>42</v>
      </c>
      <c r="AV69" s="24">
        <v>0</v>
      </c>
      <c r="AW69" s="24" t="s">
        <v>33</v>
      </c>
      <c r="AX69" s="24">
        <v>0</v>
      </c>
      <c r="AY69" s="24">
        <v>0</v>
      </c>
      <c r="AZ69" s="24">
        <v>0</v>
      </c>
      <c r="BA69" s="25">
        <v>3164</v>
      </c>
      <c r="BB69" s="24"/>
      <c r="BC69" s="26">
        <f>BB69/BA69</f>
        <v>0</v>
      </c>
      <c r="BD69" s="27">
        <f>AV69/(AB69+AC69)</f>
        <v>0</v>
      </c>
      <c r="BE69" s="27"/>
      <c r="BF69" s="5">
        <f>AV69/((SUM($AV$62:$AV$71)+$AV$5)/11)</f>
        <v>0</v>
      </c>
      <c r="BG69" s="5">
        <v>72.586299999999994</v>
      </c>
      <c r="BH69" s="5">
        <v>6</v>
      </c>
      <c r="BI69" s="24">
        <v>70</v>
      </c>
      <c r="BJ69" s="29" t="s">
        <v>294</v>
      </c>
      <c r="BK69" s="24">
        <v>27</v>
      </c>
      <c r="BL69" s="24"/>
      <c r="BM69" s="5" t="s">
        <v>42</v>
      </c>
      <c r="BN69" s="5" t="s">
        <v>187</v>
      </c>
      <c r="BO69" s="30" t="s">
        <v>159</v>
      </c>
      <c r="BP69" s="5"/>
    </row>
    <row r="70" spans="1:68" s="16" customFormat="1" x14ac:dyDescent="0.25">
      <c r="A70" s="5" t="s">
        <v>188</v>
      </c>
      <c r="B70" s="4">
        <v>71</v>
      </c>
      <c r="C70" s="34">
        <v>-76.928522999999998</v>
      </c>
      <c r="D70" s="34">
        <v>38977425</v>
      </c>
      <c r="E70" s="5" t="s">
        <v>188</v>
      </c>
      <c r="F70" s="20" t="s">
        <v>166</v>
      </c>
      <c r="G70" s="12" t="s">
        <v>241</v>
      </c>
      <c r="H70" s="20"/>
      <c r="I70" s="12"/>
      <c r="J70" s="20"/>
      <c r="K70" s="5" t="s">
        <v>42</v>
      </c>
      <c r="L70" s="5" t="s">
        <v>189</v>
      </c>
      <c r="M70" s="5" t="s">
        <v>35</v>
      </c>
      <c r="N70" s="25">
        <v>368352</v>
      </c>
      <c r="O70" s="5" t="s">
        <v>36</v>
      </c>
      <c r="P70" s="64">
        <v>2</v>
      </c>
      <c r="Q70" s="64">
        <v>1</v>
      </c>
      <c r="R70" s="96">
        <v>2</v>
      </c>
      <c r="S70" s="64">
        <v>5</v>
      </c>
      <c r="T70" s="5">
        <v>3</v>
      </c>
      <c r="U70" s="5">
        <v>5</v>
      </c>
      <c r="V70" s="5">
        <v>1</v>
      </c>
      <c r="W70" s="5"/>
      <c r="X70" s="5"/>
      <c r="Y70" s="5">
        <v>4</v>
      </c>
      <c r="Z70" s="22" t="s">
        <v>331</v>
      </c>
      <c r="AA70" s="36" t="s">
        <v>477</v>
      </c>
      <c r="AB70" s="49">
        <v>146</v>
      </c>
      <c r="AC70" s="23"/>
      <c r="AD70" s="23"/>
      <c r="AE70" s="5"/>
      <c r="AF70" s="5"/>
      <c r="AG70" s="5"/>
      <c r="AH70" s="34">
        <v>8</v>
      </c>
      <c r="AI70" s="34"/>
      <c r="AJ70" s="34"/>
      <c r="AK70" s="5"/>
      <c r="AL70" s="5"/>
      <c r="AM70" s="5"/>
      <c r="AN70" s="5" t="s">
        <v>167</v>
      </c>
      <c r="AO70" s="24" t="s">
        <v>33</v>
      </c>
      <c r="AP70" s="24" t="s">
        <v>33</v>
      </c>
      <c r="AQ70" s="24" t="s">
        <v>42</v>
      </c>
      <c r="AR70" s="24" t="s">
        <v>33</v>
      </c>
      <c r="AS70" s="24" t="s">
        <v>33</v>
      </c>
      <c r="AT70" s="24" t="s">
        <v>42</v>
      </c>
      <c r="AU70" s="24" t="s">
        <v>42</v>
      </c>
      <c r="AV70" s="24">
        <v>0</v>
      </c>
      <c r="AW70" s="24" t="s">
        <v>33</v>
      </c>
      <c r="AX70" s="24">
        <v>0</v>
      </c>
      <c r="AY70" s="24">
        <v>0</v>
      </c>
      <c r="AZ70" s="24">
        <v>0</v>
      </c>
      <c r="BA70" s="25">
        <v>0</v>
      </c>
      <c r="BB70" s="24"/>
      <c r="BC70" s="26"/>
      <c r="BD70" s="27">
        <f>AV70/(AB70+AC70)</f>
        <v>0</v>
      </c>
      <c r="BE70" s="27"/>
      <c r="BF70" s="5">
        <f>AV70/((SUM($AV$62:$AV$71)+$AV$5)/11)</f>
        <v>0</v>
      </c>
      <c r="BG70" s="5">
        <v>115.883</v>
      </c>
      <c r="BH70" s="5">
        <v>3</v>
      </c>
      <c r="BI70" s="24">
        <v>40</v>
      </c>
      <c r="BJ70" s="29" t="s">
        <v>295</v>
      </c>
      <c r="BK70" s="24">
        <v>20</v>
      </c>
      <c r="BL70" s="24"/>
      <c r="BM70" s="5" t="s">
        <v>33</v>
      </c>
      <c r="BN70" s="5" t="s">
        <v>190</v>
      </c>
      <c r="BO70" s="5" t="s">
        <v>191</v>
      </c>
      <c r="BP70" s="5"/>
    </row>
    <row r="71" spans="1:68" s="16" customFormat="1" x14ac:dyDescent="0.25">
      <c r="A71" s="5" t="s">
        <v>192</v>
      </c>
      <c r="B71" s="4">
        <v>72</v>
      </c>
      <c r="C71" s="34">
        <v>-76.935106000000005</v>
      </c>
      <c r="D71" s="34">
        <v>38.962533999999998</v>
      </c>
      <c r="E71" s="5" t="s">
        <v>192</v>
      </c>
      <c r="F71" s="20" t="s">
        <v>166</v>
      </c>
      <c r="G71" s="20"/>
      <c r="H71" s="20"/>
      <c r="I71" s="20"/>
      <c r="J71" s="20"/>
      <c r="K71" s="5" t="s">
        <v>42</v>
      </c>
      <c r="L71" s="5" t="s">
        <v>157</v>
      </c>
      <c r="M71" s="5" t="s">
        <v>48</v>
      </c>
      <c r="N71" s="25">
        <v>364380</v>
      </c>
      <c r="O71" s="5" t="s">
        <v>49</v>
      </c>
      <c r="P71" s="64">
        <v>1</v>
      </c>
      <c r="Q71" s="64">
        <v>1</v>
      </c>
      <c r="R71" s="96">
        <v>3</v>
      </c>
      <c r="S71" s="64">
        <v>3</v>
      </c>
      <c r="T71" s="5">
        <v>4</v>
      </c>
      <c r="U71" s="5">
        <v>3</v>
      </c>
      <c r="V71" s="5">
        <v>1</v>
      </c>
      <c r="W71" s="5"/>
      <c r="X71" s="5"/>
      <c r="Y71" s="5">
        <v>2</v>
      </c>
      <c r="Z71" s="22" t="s">
        <v>326</v>
      </c>
      <c r="AA71" s="22" t="s">
        <v>332</v>
      </c>
      <c r="AB71" s="49">
        <v>52.166666666666664</v>
      </c>
      <c r="AC71" s="23"/>
      <c r="AD71" s="23"/>
      <c r="AE71" s="5"/>
      <c r="AF71" s="5"/>
      <c r="AG71" s="5"/>
      <c r="AH71" s="34">
        <v>6</v>
      </c>
      <c r="AI71" s="34"/>
      <c r="AJ71" s="34"/>
      <c r="AK71" s="5"/>
      <c r="AL71" s="5"/>
      <c r="AM71" s="5"/>
      <c r="AN71" s="5" t="s">
        <v>167</v>
      </c>
      <c r="AO71" s="24" t="s">
        <v>33</v>
      </c>
      <c r="AP71" s="24" t="s">
        <v>33</v>
      </c>
      <c r="AQ71" s="24" t="s">
        <v>42</v>
      </c>
      <c r="AR71" s="24" t="s">
        <v>33</v>
      </c>
      <c r="AS71" s="24" t="s">
        <v>33</v>
      </c>
      <c r="AT71" s="24" t="s">
        <v>42</v>
      </c>
      <c r="AU71" s="24" t="s">
        <v>42</v>
      </c>
      <c r="AV71" s="24">
        <v>108</v>
      </c>
      <c r="AW71" s="24" t="s">
        <v>42</v>
      </c>
      <c r="AX71" s="24">
        <v>4</v>
      </c>
      <c r="AY71" s="24">
        <v>0</v>
      </c>
      <c r="AZ71" s="24">
        <v>0</v>
      </c>
      <c r="BA71" s="25">
        <v>13</v>
      </c>
      <c r="BB71" s="24">
        <v>30.333333333333332</v>
      </c>
      <c r="BC71" s="26">
        <f>BB71/BA71</f>
        <v>2.333333333333333</v>
      </c>
      <c r="BD71" s="27">
        <f>AV71/(AB71+AC71)</f>
        <v>2.0702875399361025</v>
      </c>
      <c r="BE71" s="27"/>
      <c r="BF71" s="5">
        <f>AV71/((SUM($AV$62:$AV$71)+$AV$5)/11)</f>
        <v>0.46734854445318647</v>
      </c>
      <c r="BG71" s="5">
        <v>147.72</v>
      </c>
      <c r="BH71" s="5">
        <v>6</v>
      </c>
      <c r="BI71" s="24">
        <v>2</v>
      </c>
      <c r="BJ71" s="29" t="s">
        <v>296</v>
      </c>
      <c r="BK71" s="24">
        <v>1</v>
      </c>
      <c r="BL71" s="24"/>
      <c r="BM71" s="5" t="s">
        <v>42</v>
      </c>
      <c r="BN71" s="5" t="s">
        <v>193</v>
      </c>
      <c r="BO71" s="30" t="s">
        <v>159</v>
      </c>
      <c r="BP71" s="5"/>
    </row>
    <row r="72" spans="1:68" s="16" customFormat="1" x14ac:dyDescent="0.25">
      <c r="A72" s="12" t="s">
        <v>194</v>
      </c>
      <c r="B72" s="4">
        <v>73</v>
      </c>
      <c r="C72" s="34">
        <v>-78.036141999999998</v>
      </c>
      <c r="D72" s="34">
        <v>39.477293000000003</v>
      </c>
      <c r="E72" s="12" t="s">
        <v>194</v>
      </c>
      <c r="F72" s="12" t="s">
        <v>195</v>
      </c>
      <c r="G72" s="12" t="s">
        <v>264</v>
      </c>
      <c r="H72" s="12"/>
      <c r="I72" s="12"/>
      <c r="J72" s="12"/>
      <c r="K72" s="5"/>
      <c r="L72" s="5" t="s">
        <v>196</v>
      </c>
      <c r="M72" s="5"/>
      <c r="N72" s="25"/>
      <c r="O72" s="5"/>
      <c r="P72" s="64"/>
      <c r="Q72" s="64"/>
      <c r="R72" s="96"/>
      <c r="S72" s="64"/>
      <c r="T72" s="5"/>
      <c r="U72" s="5"/>
      <c r="V72" s="5"/>
      <c r="W72" s="5"/>
      <c r="X72" s="5"/>
      <c r="Y72" s="5"/>
      <c r="Z72" s="22"/>
      <c r="AA72" s="22"/>
      <c r="AB72" s="49"/>
      <c r="AC72" s="5"/>
      <c r="AD72" s="5"/>
      <c r="AE72" s="5"/>
      <c r="AF72" s="5"/>
      <c r="AG72" s="5"/>
      <c r="AH72" s="34"/>
      <c r="AI72" s="34"/>
      <c r="AJ72" s="34"/>
      <c r="AK72" s="5"/>
      <c r="AL72" s="5"/>
      <c r="AM72" s="5"/>
      <c r="AN72" s="5"/>
      <c r="AO72" s="24"/>
      <c r="AP72" s="24"/>
      <c r="AQ72" s="24"/>
      <c r="AR72" s="24"/>
      <c r="AS72" s="24"/>
      <c r="AT72" s="24"/>
      <c r="AU72" s="24"/>
      <c r="AV72" s="24"/>
      <c r="AW72" s="24"/>
      <c r="AX72" s="24"/>
      <c r="AY72" s="24"/>
      <c r="AZ72" s="24"/>
      <c r="BA72" s="25"/>
      <c r="BB72" s="24"/>
      <c r="BC72" s="26"/>
      <c r="BD72" s="27"/>
      <c r="BE72" s="27"/>
      <c r="BF72" s="5"/>
      <c r="BG72" s="5"/>
      <c r="BH72" s="5"/>
      <c r="BI72" s="24"/>
      <c r="BJ72" s="29"/>
      <c r="BK72" s="24"/>
      <c r="BL72" s="24"/>
      <c r="BM72" s="5"/>
      <c r="BN72" s="5"/>
      <c r="BO72" s="5"/>
      <c r="BP72" s="5"/>
    </row>
    <row r="73" spans="1:68" s="16" customFormat="1" x14ac:dyDescent="0.25">
      <c r="A73" s="12" t="s">
        <v>197</v>
      </c>
      <c r="B73" s="4">
        <v>74</v>
      </c>
      <c r="C73" s="34">
        <v>-77.874350000000007</v>
      </c>
      <c r="D73" s="34">
        <v>39.381549</v>
      </c>
      <c r="E73" s="12" t="s">
        <v>197</v>
      </c>
      <c r="F73" s="12" t="s">
        <v>195</v>
      </c>
      <c r="G73" s="12"/>
      <c r="H73" s="12"/>
      <c r="I73" s="12"/>
      <c r="J73" s="12"/>
      <c r="K73" s="5"/>
      <c r="L73" s="5" t="s">
        <v>196</v>
      </c>
      <c r="M73" s="5"/>
      <c r="N73" s="25"/>
      <c r="O73" s="5"/>
      <c r="P73" s="64"/>
      <c r="Q73" s="64"/>
      <c r="R73" s="96"/>
      <c r="S73" s="64"/>
      <c r="T73" s="5"/>
      <c r="U73" s="5"/>
      <c r="V73" s="5"/>
      <c r="W73" s="5"/>
      <c r="X73" s="5"/>
      <c r="Y73" s="5"/>
      <c r="Z73" s="22"/>
      <c r="AA73" s="22"/>
      <c r="AB73" s="49"/>
      <c r="AC73" s="5"/>
      <c r="AD73" s="5"/>
      <c r="AE73" s="5"/>
      <c r="AF73" s="5"/>
      <c r="AG73" s="5"/>
      <c r="AH73" s="34"/>
      <c r="AI73" s="34"/>
      <c r="AJ73" s="34"/>
      <c r="AK73" s="5"/>
      <c r="AL73" s="5"/>
      <c r="AM73" s="5"/>
      <c r="AN73" s="5"/>
      <c r="AO73" s="24"/>
      <c r="AP73" s="24"/>
      <c r="AQ73" s="24"/>
      <c r="AR73" s="24"/>
      <c r="AS73" s="24"/>
      <c r="AT73" s="24"/>
      <c r="AU73" s="24"/>
      <c r="AV73" s="24"/>
      <c r="AW73" s="24"/>
      <c r="AX73" s="24"/>
      <c r="AY73" s="24"/>
      <c r="AZ73" s="24"/>
      <c r="BA73" s="25"/>
      <c r="BB73" s="24"/>
      <c r="BC73" s="26"/>
      <c r="BD73" s="27"/>
      <c r="BE73" s="27"/>
      <c r="BF73" s="5"/>
      <c r="BG73" s="5"/>
      <c r="BH73" s="5"/>
      <c r="BI73" s="24"/>
      <c r="BJ73" s="29"/>
      <c r="BK73" s="24"/>
      <c r="BL73" s="24"/>
      <c r="BM73" s="5"/>
      <c r="BN73" s="5"/>
      <c r="BO73" s="5"/>
      <c r="BP73" s="5"/>
    </row>
    <row r="74" spans="1:68" s="16" customFormat="1" x14ac:dyDescent="0.25">
      <c r="A74" s="12" t="s">
        <v>198</v>
      </c>
      <c r="B74" s="4">
        <v>75</v>
      </c>
      <c r="C74" s="34">
        <v>-77.744302000000005</v>
      </c>
      <c r="D74" s="34">
        <v>39.324204999999999</v>
      </c>
      <c r="E74" s="12" t="s">
        <v>198</v>
      </c>
      <c r="F74" s="12" t="s">
        <v>195</v>
      </c>
      <c r="G74" s="12" t="s">
        <v>264</v>
      </c>
      <c r="H74" s="12"/>
      <c r="I74" s="12"/>
      <c r="J74" s="12"/>
      <c r="K74" s="5" t="s">
        <v>269</v>
      </c>
      <c r="L74" s="5" t="s">
        <v>199</v>
      </c>
      <c r="M74" s="5"/>
      <c r="N74" s="25"/>
      <c r="O74" s="5"/>
      <c r="P74" s="64">
        <v>1</v>
      </c>
      <c r="Q74" s="64">
        <v>1</v>
      </c>
      <c r="R74" s="96">
        <v>3</v>
      </c>
      <c r="S74" s="64">
        <v>1</v>
      </c>
      <c r="T74" s="5">
        <v>1</v>
      </c>
      <c r="U74" s="5">
        <v>1</v>
      </c>
      <c r="V74" s="5"/>
      <c r="W74" s="5"/>
      <c r="X74" s="5"/>
      <c r="Y74" s="5">
        <v>3</v>
      </c>
      <c r="Z74" s="22" t="s">
        <v>356</v>
      </c>
      <c r="AA74" s="22"/>
      <c r="AB74" s="49">
        <v>83.083333333333329</v>
      </c>
      <c r="AC74" s="5"/>
      <c r="AD74" s="5"/>
      <c r="AE74" s="5"/>
      <c r="AF74" s="5"/>
      <c r="AG74" s="5"/>
      <c r="AH74" s="34">
        <v>3</v>
      </c>
      <c r="AI74" s="34"/>
      <c r="AJ74" s="34"/>
      <c r="AK74" s="5"/>
      <c r="AL74" s="5"/>
      <c r="AM74" s="5"/>
      <c r="AN74" s="5"/>
      <c r="AO74" s="24" t="s">
        <v>33</v>
      </c>
      <c r="AP74" s="24" t="s">
        <v>42</v>
      </c>
      <c r="AQ74" s="24" t="s">
        <v>42</v>
      </c>
      <c r="AR74" s="24" t="s">
        <v>33</v>
      </c>
      <c r="AS74" s="24" t="s">
        <v>33</v>
      </c>
      <c r="AT74" s="24" t="s">
        <v>33</v>
      </c>
      <c r="AU74" s="24" t="s">
        <v>42</v>
      </c>
      <c r="AV74" s="24">
        <v>84</v>
      </c>
      <c r="AW74" s="24" t="s">
        <v>42</v>
      </c>
      <c r="AX74" s="24">
        <v>4</v>
      </c>
      <c r="AY74" s="24">
        <v>0</v>
      </c>
      <c r="AZ74" s="24">
        <v>0</v>
      </c>
      <c r="BA74" s="25">
        <v>56</v>
      </c>
      <c r="BB74" s="24">
        <v>90.333333333333329</v>
      </c>
      <c r="BC74" s="26">
        <f t="shared" ref="BC74:BC88" si="8">BB74/BA74</f>
        <v>1.6130952380952379</v>
      </c>
      <c r="BD74" s="27">
        <f t="shared" ref="BD74:BD89" si="9">AV74/(AB74+AC74)</f>
        <v>1.0110330992978938</v>
      </c>
      <c r="BE74" s="27"/>
      <c r="BF74" s="5">
        <f t="shared" ref="BF74:BF89" si="10">AV74/((SUM($AV$72:$AV$89))/18)</f>
        <v>0.447469665581533</v>
      </c>
      <c r="BG74" s="5">
        <v>0</v>
      </c>
      <c r="BH74" s="5"/>
      <c r="BI74" s="24">
        <v>1</v>
      </c>
      <c r="BJ74" s="29" t="s">
        <v>287</v>
      </c>
      <c r="BK74" s="24">
        <v>0</v>
      </c>
      <c r="BL74" s="24"/>
      <c r="BM74" s="5"/>
      <c r="BN74" s="5"/>
      <c r="BO74" s="5"/>
      <c r="BP74" s="5"/>
    </row>
    <row r="75" spans="1:68" s="16" customFormat="1" x14ac:dyDescent="0.25">
      <c r="A75" s="12" t="s">
        <v>200</v>
      </c>
      <c r="B75" s="4">
        <v>76</v>
      </c>
      <c r="C75" s="34">
        <v>-77.627859000000001</v>
      </c>
      <c r="D75" s="34">
        <v>39.311709999999998</v>
      </c>
      <c r="E75" s="12" t="s">
        <v>200</v>
      </c>
      <c r="F75" s="12" t="s">
        <v>195</v>
      </c>
      <c r="G75" s="12"/>
      <c r="H75" s="12"/>
      <c r="I75" s="12"/>
      <c r="J75" s="12"/>
      <c r="K75" s="5" t="s">
        <v>42</v>
      </c>
      <c r="L75" s="5" t="s">
        <v>201</v>
      </c>
      <c r="M75" s="5" t="s">
        <v>141</v>
      </c>
      <c r="N75" s="25">
        <v>11322</v>
      </c>
      <c r="O75" s="5" t="s">
        <v>77</v>
      </c>
      <c r="P75" s="64">
        <v>1</v>
      </c>
      <c r="Q75" s="64">
        <v>3</v>
      </c>
      <c r="R75" s="96">
        <v>5</v>
      </c>
      <c r="S75" s="64">
        <v>2</v>
      </c>
      <c r="T75" s="5">
        <v>2</v>
      </c>
      <c r="U75" s="5">
        <v>3</v>
      </c>
      <c r="V75" s="5">
        <v>1</v>
      </c>
      <c r="W75" s="5"/>
      <c r="X75" s="5"/>
      <c r="Y75" s="5">
        <v>2</v>
      </c>
      <c r="Z75" s="22" t="s">
        <v>325</v>
      </c>
      <c r="AA75" s="22"/>
      <c r="AB75" s="49">
        <v>548.58333333333337</v>
      </c>
      <c r="AC75" s="23"/>
      <c r="AD75" s="23"/>
      <c r="AE75" s="5"/>
      <c r="AF75" s="5"/>
      <c r="AG75" s="5"/>
      <c r="AH75" s="34">
        <v>6</v>
      </c>
      <c r="AI75" s="34"/>
      <c r="AJ75" s="34"/>
      <c r="AK75" s="5"/>
      <c r="AL75" s="5"/>
      <c r="AM75" s="5"/>
      <c r="AN75" s="5" t="s">
        <v>167</v>
      </c>
      <c r="AO75" s="24" t="s">
        <v>33</v>
      </c>
      <c r="AP75" s="24" t="s">
        <v>33</v>
      </c>
      <c r="AQ75" s="24" t="s">
        <v>33</v>
      </c>
      <c r="AR75" s="24" t="s">
        <v>33</v>
      </c>
      <c r="AS75" s="24" t="s">
        <v>33</v>
      </c>
      <c r="AT75" s="24" t="s">
        <v>33</v>
      </c>
      <c r="AU75" s="24" t="s">
        <v>42</v>
      </c>
      <c r="AV75" s="24">
        <v>626</v>
      </c>
      <c r="AW75" s="24" t="s">
        <v>42</v>
      </c>
      <c r="AX75" s="24">
        <v>20</v>
      </c>
      <c r="AY75" s="24">
        <v>0</v>
      </c>
      <c r="AZ75" s="24">
        <v>0</v>
      </c>
      <c r="BA75" s="25">
        <v>490</v>
      </c>
      <c r="BB75" s="24">
        <v>445</v>
      </c>
      <c r="BC75" s="26">
        <f t="shared" si="8"/>
        <v>0.90816326530612246</v>
      </c>
      <c r="BD75" s="27">
        <f t="shared" si="9"/>
        <v>1.1411210694212364</v>
      </c>
      <c r="BE75" s="27"/>
      <c r="BF75" s="5">
        <f t="shared" si="10"/>
        <v>3.3347144125480912</v>
      </c>
      <c r="BG75" s="5">
        <v>141.352</v>
      </c>
      <c r="BH75" s="5">
        <v>3</v>
      </c>
      <c r="BI75" s="24">
        <v>2</v>
      </c>
      <c r="BJ75" s="29" t="s">
        <v>297</v>
      </c>
      <c r="BK75" s="24">
        <v>0</v>
      </c>
      <c r="BL75" s="24"/>
      <c r="BM75" s="5" t="s">
        <v>33</v>
      </c>
      <c r="BN75" s="5" t="s">
        <v>202</v>
      </c>
      <c r="BO75" s="30" t="s">
        <v>203</v>
      </c>
      <c r="BP75" s="5"/>
    </row>
    <row r="76" spans="1:68" s="16" customFormat="1" x14ac:dyDescent="0.25">
      <c r="A76" s="12" t="s">
        <v>204</v>
      </c>
      <c r="B76" s="4">
        <v>77</v>
      </c>
      <c r="C76" s="34">
        <v>-77.534029000000004</v>
      </c>
      <c r="D76" s="34">
        <v>39.273341000000002</v>
      </c>
      <c r="E76" s="12" t="s">
        <v>204</v>
      </c>
      <c r="F76" s="12" t="s">
        <v>195</v>
      </c>
      <c r="G76" s="12"/>
      <c r="H76" s="12"/>
      <c r="I76" s="12"/>
      <c r="J76" s="12"/>
      <c r="K76" s="5" t="s">
        <v>42</v>
      </c>
      <c r="L76" s="5" t="s">
        <v>205</v>
      </c>
      <c r="M76" s="5" t="s">
        <v>141</v>
      </c>
      <c r="N76" s="25">
        <v>8424</v>
      </c>
      <c r="O76" s="5" t="s">
        <v>77</v>
      </c>
      <c r="P76" s="64">
        <v>1</v>
      </c>
      <c r="Q76" s="64">
        <v>1</v>
      </c>
      <c r="R76" s="96">
        <v>5</v>
      </c>
      <c r="S76" s="64">
        <v>1</v>
      </c>
      <c r="T76" s="5">
        <v>1</v>
      </c>
      <c r="U76" s="5">
        <v>1</v>
      </c>
      <c r="V76" s="5">
        <v>1</v>
      </c>
      <c r="W76" s="5"/>
      <c r="X76" s="5"/>
      <c r="Y76" s="5">
        <v>2</v>
      </c>
      <c r="Z76" s="22" t="s">
        <v>325</v>
      </c>
      <c r="AA76" s="22"/>
      <c r="AB76" s="49">
        <v>384.58333333333331</v>
      </c>
      <c r="AC76" s="23"/>
      <c r="AD76" s="23"/>
      <c r="AE76" s="5"/>
      <c r="AF76" s="5"/>
      <c r="AG76" s="5"/>
      <c r="AH76" s="34">
        <v>6</v>
      </c>
      <c r="AI76" s="34"/>
      <c r="AJ76" s="34"/>
      <c r="AK76" s="5"/>
      <c r="AL76" s="5"/>
      <c r="AM76" s="5"/>
      <c r="AN76" s="5" t="s">
        <v>167</v>
      </c>
      <c r="AO76" s="24" t="s">
        <v>33</v>
      </c>
      <c r="AP76" s="24" t="s">
        <v>33</v>
      </c>
      <c r="AQ76" s="24" t="s">
        <v>42</v>
      </c>
      <c r="AR76" s="24" t="s">
        <v>33</v>
      </c>
      <c r="AS76" s="24" t="s">
        <v>33</v>
      </c>
      <c r="AT76" s="24" t="s">
        <v>42</v>
      </c>
      <c r="AU76" s="24" t="s">
        <v>42</v>
      </c>
      <c r="AV76" s="24">
        <v>499</v>
      </c>
      <c r="AW76" s="24" t="s">
        <v>42</v>
      </c>
      <c r="AX76" s="24">
        <v>15</v>
      </c>
      <c r="AY76" s="24">
        <v>0</v>
      </c>
      <c r="AZ76" s="24">
        <v>0</v>
      </c>
      <c r="BA76" s="25">
        <v>489</v>
      </c>
      <c r="BB76" s="24">
        <v>341</v>
      </c>
      <c r="BC76" s="26">
        <f t="shared" si="8"/>
        <v>0.69734151329243355</v>
      </c>
      <c r="BD76" s="27">
        <f t="shared" si="9"/>
        <v>1.2975081256771399</v>
      </c>
      <c r="BE76" s="27"/>
      <c r="BF76" s="5">
        <f t="shared" si="10"/>
        <v>2.6581828943474402</v>
      </c>
      <c r="BG76" s="5">
        <v>39.476799999999997</v>
      </c>
      <c r="BH76" s="5">
        <v>1</v>
      </c>
      <c r="BI76" s="24">
        <v>4</v>
      </c>
      <c r="BJ76" s="29" t="s">
        <v>298</v>
      </c>
      <c r="BK76" s="24">
        <v>0</v>
      </c>
      <c r="BL76" s="24"/>
      <c r="BM76" s="5" t="s">
        <v>42</v>
      </c>
      <c r="BN76" s="5" t="s">
        <v>206</v>
      </c>
      <c r="BO76" s="30" t="s">
        <v>207</v>
      </c>
      <c r="BP76" s="5"/>
    </row>
    <row r="77" spans="1:68" s="16" customFormat="1" x14ac:dyDescent="0.25">
      <c r="A77" s="12" t="s">
        <v>208</v>
      </c>
      <c r="B77" s="4">
        <v>78</v>
      </c>
      <c r="C77" s="34">
        <v>-77.405455000000003</v>
      </c>
      <c r="D77" s="34">
        <v>39.411887</v>
      </c>
      <c r="E77" s="12" t="s">
        <v>208</v>
      </c>
      <c r="F77" s="12" t="s">
        <v>195</v>
      </c>
      <c r="G77" s="12"/>
      <c r="H77" s="12"/>
      <c r="I77" s="12"/>
      <c r="J77" s="12"/>
      <c r="K77" s="5" t="s">
        <v>42</v>
      </c>
      <c r="L77" s="5" t="s">
        <v>209</v>
      </c>
      <c r="M77" s="5" t="s">
        <v>64</v>
      </c>
      <c r="N77" s="25">
        <v>110368</v>
      </c>
      <c r="O77" s="5" t="s">
        <v>77</v>
      </c>
      <c r="P77" s="64">
        <v>1</v>
      </c>
      <c r="Q77" s="64">
        <v>3</v>
      </c>
      <c r="R77" s="96">
        <v>3</v>
      </c>
      <c r="S77" s="64">
        <v>4</v>
      </c>
      <c r="T77" s="5">
        <v>4</v>
      </c>
      <c r="U77" s="5">
        <v>5</v>
      </c>
      <c r="V77" s="5">
        <v>1</v>
      </c>
      <c r="W77" s="5"/>
      <c r="X77" s="5"/>
      <c r="Y77" s="5">
        <v>2</v>
      </c>
      <c r="Z77" s="22" t="s">
        <v>325</v>
      </c>
      <c r="AA77" s="36"/>
      <c r="AB77" s="49">
        <v>103.75</v>
      </c>
      <c r="AC77" s="23"/>
      <c r="AD77" s="23"/>
      <c r="AE77" s="5"/>
      <c r="AF77" s="5"/>
      <c r="AG77" s="5"/>
      <c r="AH77" s="34">
        <v>3</v>
      </c>
      <c r="AI77" s="34"/>
      <c r="AJ77" s="34"/>
      <c r="AK77" s="5"/>
      <c r="AL77" s="5"/>
      <c r="AM77" s="5"/>
      <c r="AN77" s="5" t="s">
        <v>167</v>
      </c>
      <c r="AO77" s="24" t="s">
        <v>33</v>
      </c>
      <c r="AP77" s="24" t="s">
        <v>33</v>
      </c>
      <c r="AQ77" s="24" t="s">
        <v>33</v>
      </c>
      <c r="AR77" s="24" t="s">
        <v>33</v>
      </c>
      <c r="AS77" s="24" t="s">
        <v>33</v>
      </c>
      <c r="AT77" s="24" t="s">
        <v>42</v>
      </c>
      <c r="AU77" s="24" t="s">
        <v>33</v>
      </c>
      <c r="AV77" s="24">
        <v>89</v>
      </c>
      <c r="AW77" s="24" t="s">
        <v>33</v>
      </c>
      <c r="AX77" s="24">
        <v>4</v>
      </c>
      <c r="AY77" s="24">
        <v>0</v>
      </c>
      <c r="AZ77" s="24">
        <v>0</v>
      </c>
      <c r="BA77" s="25">
        <v>30</v>
      </c>
      <c r="BB77" s="24">
        <v>8.6666666666666661</v>
      </c>
      <c r="BC77" s="26">
        <f t="shared" si="8"/>
        <v>0.28888888888888886</v>
      </c>
      <c r="BD77" s="27">
        <f t="shared" si="9"/>
        <v>0.85783132530120487</v>
      </c>
      <c r="BE77" s="27"/>
      <c r="BF77" s="5">
        <f t="shared" si="10"/>
        <v>0.47410476472329088</v>
      </c>
      <c r="BG77" s="5">
        <v>122.251</v>
      </c>
      <c r="BH77" s="5">
        <v>5</v>
      </c>
      <c r="BI77" s="24">
        <v>6</v>
      </c>
      <c r="BJ77" s="29" t="s">
        <v>299</v>
      </c>
      <c r="BK77" s="24">
        <v>0</v>
      </c>
      <c r="BL77" s="24"/>
      <c r="BM77" s="5" t="s">
        <v>42</v>
      </c>
      <c r="BN77" s="5" t="s">
        <v>210</v>
      </c>
      <c r="BO77" s="30" t="s">
        <v>211</v>
      </c>
      <c r="BP77" s="5"/>
    </row>
    <row r="78" spans="1:68" s="16" customFormat="1" x14ac:dyDescent="0.25">
      <c r="A78" s="12" t="s">
        <v>212</v>
      </c>
      <c r="B78" s="4">
        <v>79</v>
      </c>
      <c r="C78" s="35">
        <v>-77.394623999999993</v>
      </c>
      <c r="D78" s="35">
        <v>39.382007999999999</v>
      </c>
      <c r="E78" s="12" t="s">
        <v>212</v>
      </c>
      <c r="F78" s="12" t="s">
        <v>195</v>
      </c>
      <c r="G78" s="12"/>
      <c r="H78" s="12"/>
      <c r="I78" s="12"/>
      <c r="J78" s="12"/>
      <c r="K78" s="5" t="s">
        <v>42</v>
      </c>
      <c r="L78" s="5" t="s">
        <v>205</v>
      </c>
      <c r="M78" s="5" t="s">
        <v>35</v>
      </c>
      <c r="N78" s="25">
        <v>101546</v>
      </c>
      <c r="O78" s="5" t="s">
        <v>36</v>
      </c>
      <c r="P78" s="64">
        <v>1</v>
      </c>
      <c r="Q78" s="64">
        <v>2</v>
      </c>
      <c r="R78" s="96">
        <v>5</v>
      </c>
      <c r="S78" s="64">
        <v>4</v>
      </c>
      <c r="T78" s="5">
        <v>1</v>
      </c>
      <c r="U78" s="5">
        <v>3</v>
      </c>
      <c r="V78" s="5">
        <v>1</v>
      </c>
      <c r="W78" s="5"/>
      <c r="X78" s="5"/>
      <c r="Y78" s="5">
        <v>3</v>
      </c>
      <c r="Z78" s="22" t="s">
        <v>328</v>
      </c>
      <c r="AA78" s="125">
        <v>204991</v>
      </c>
      <c r="AB78" s="49">
        <v>206.16666666666666</v>
      </c>
      <c r="AC78" s="23"/>
      <c r="AD78" s="23"/>
      <c r="AE78" s="5"/>
      <c r="AF78" s="5"/>
      <c r="AG78" s="5"/>
      <c r="AH78" s="34">
        <v>3</v>
      </c>
      <c r="AI78" s="34"/>
      <c r="AJ78" s="34"/>
      <c r="AK78" s="5"/>
      <c r="AL78" s="5"/>
      <c r="AM78" s="5"/>
      <c r="AN78" s="5" t="s">
        <v>167</v>
      </c>
      <c r="AO78" s="24" t="s">
        <v>33</v>
      </c>
      <c r="AP78" s="24" t="s">
        <v>33</v>
      </c>
      <c r="AQ78" s="24" t="s">
        <v>33</v>
      </c>
      <c r="AR78" s="24" t="s">
        <v>33</v>
      </c>
      <c r="AS78" s="24" t="s">
        <v>33</v>
      </c>
      <c r="AT78" s="24" t="s">
        <v>42</v>
      </c>
      <c r="AU78" s="24" t="s">
        <v>42</v>
      </c>
      <c r="AV78" s="24">
        <v>791</v>
      </c>
      <c r="AW78" s="24" t="s">
        <v>42</v>
      </c>
      <c r="AX78" s="24">
        <v>23</v>
      </c>
      <c r="AY78" s="24">
        <v>0</v>
      </c>
      <c r="AZ78" s="24">
        <v>0</v>
      </c>
      <c r="BA78" s="25">
        <v>485</v>
      </c>
      <c r="BB78" s="24">
        <v>596.66666666666663</v>
      </c>
      <c r="BC78" s="26">
        <f t="shared" si="8"/>
        <v>1.2302405498281785</v>
      </c>
      <c r="BD78" s="27">
        <f t="shared" si="9"/>
        <v>3.8367016976556187</v>
      </c>
      <c r="BE78" s="27"/>
      <c r="BF78" s="5">
        <f t="shared" si="10"/>
        <v>4.2136726842261023</v>
      </c>
      <c r="BG78" s="5">
        <v>34.383000000000003</v>
      </c>
      <c r="BH78" s="5">
        <v>3</v>
      </c>
      <c r="BI78" s="24">
        <v>10</v>
      </c>
      <c r="BJ78" s="29" t="s">
        <v>300</v>
      </c>
      <c r="BK78" s="24">
        <v>0</v>
      </c>
      <c r="BL78" s="24"/>
      <c r="BM78" s="5" t="s">
        <v>42</v>
      </c>
      <c r="BN78" s="5" t="s">
        <v>213</v>
      </c>
      <c r="BO78" s="30" t="s">
        <v>207</v>
      </c>
      <c r="BP78" s="5"/>
    </row>
    <row r="79" spans="1:68" s="16" customFormat="1" x14ac:dyDescent="0.25">
      <c r="A79" s="12" t="s">
        <v>214</v>
      </c>
      <c r="B79" s="4">
        <v>80</v>
      </c>
      <c r="C79" s="34">
        <v>-77.422477000000001</v>
      </c>
      <c r="D79" s="34">
        <v>39.219889000000002</v>
      </c>
      <c r="E79" s="12" t="s">
        <v>214</v>
      </c>
      <c r="F79" s="12" t="s">
        <v>195</v>
      </c>
      <c r="G79" s="12"/>
      <c r="H79" s="12"/>
      <c r="I79" s="12"/>
      <c r="J79" s="12"/>
      <c r="K79" s="5" t="s">
        <v>42</v>
      </c>
      <c r="L79" s="5" t="s">
        <v>215</v>
      </c>
      <c r="M79" s="5" t="s">
        <v>141</v>
      </c>
      <c r="N79" s="25">
        <v>5046</v>
      </c>
      <c r="O79" s="5" t="s">
        <v>77</v>
      </c>
      <c r="P79" s="64">
        <v>1</v>
      </c>
      <c r="Q79" s="64">
        <v>1</v>
      </c>
      <c r="R79" s="96">
        <v>2</v>
      </c>
      <c r="S79" s="64">
        <v>1</v>
      </c>
      <c r="T79" s="5">
        <v>1</v>
      </c>
      <c r="U79" s="5">
        <v>3</v>
      </c>
      <c r="V79" s="5">
        <v>1</v>
      </c>
      <c r="W79" s="5"/>
      <c r="X79" s="5"/>
      <c r="Y79" s="5">
        <v>1</v>
      </c>
      <c r="Z79" s="22"/>
      <c r="AA79" s="22"/>
      <c r="AB79" s="49">
        <v>25.25</v>
      </c>
      <c r="AC79" s="23"/>
      <c r="AD79" s="23"/>
      <c r="AE79" s="5"/>
      <c r="AF79" s="5"/>
      <c r="AG79" s="5"/>
      <c r="AH79" s="34">
        <v>4</v>
      </c>
      <c r="AI79" s="34"/>
      <c r="AJ79" s="34"/>
      <c r="AK79" s="5"/>
      <c r="AL79" s="5"/>
      <c r="AM79" s="5"/>
      <c r="AN79" s="5" t="s">
        <v>167</v>
      </c>
      <c r="AO79" s="24" t="s">
        <v>33</v>
      </c>
      <c r="AP79" s="24" t="s">
        <v>33</v>
      </c>
      <c r="AQ79" s="24" t="s">
        <v>42</v>
      </c>
      <c r="AR79" s="24" t="s">
        <v>42</v>
      </c>
      <c r="AS79" s="24" t="s">
        <v>42</v>
      </c>
      <c r="AT79" s="24" t="s">
        <v>42</v>
      </c>
      <c r="AU79" s="24" t="s">
        <v>42</v>
      </c>
      <c r="AV79" s="24">
        <v>16</v>
      </c>
      <c r="AW79" s="24" t="s">
        <v>42</v>
      </c>
      <c r="AX79" s="24">
        <v>0</v>
      </c>
      <c r="AY79" s="24">
        <v>0</v>
      </c>
      <c r="AZ79" s="24">
        <v>0</v>
      </c>
      <c r="BA79" s="25">
        <v>14</v>
      </c>
      <c r="BB79" s="24">
        <v>17</v>
      </c>
      <c r="BC79" s="26">
        <f t="shared" si="8"/>
        <v>1.2142857142857142</v>
      </c>
      <c r="BD79" s="27">
        <f t="shared" si="9"/>
        <v>0.63366336633663367</v>
      </c>
      <c r="BE79" s="27"/>
      <c r="BF79" s="5">
        <f t="shared" si="10"/>
        <v>8.5232317253625331E-2</v>
      </c>
      <c r="BG79" s="5">
        <v>11.461</v>
      </c>
      <c r="BH79" s="5">
        <v>1</v>
      </c>
      <c r="BI79" s="24">
        <v>0</v>
      </c>
      <c r="BJ79" s="29" t="s">
        <v>279</v>
      </c>
      <c r="BK79" s="24">
        <v>0</v>
      </c>
      <c r="BL79" s="24"/>
      <c r="BM79" s="5" t="s">
        <v>42</v>
      </c>
      <c r="BN79" s="5" t="s">
        <v>216</v>
      </c>
      <c r="BO79" s="30" t="s">
        <v>217</v>
      </c>
      <c r="BP79" s="5"/>
    </row>
    <row r="80" spans="1:68" s="16" customFormat="1" x14ac:dyDescent="0.25">
      <c r="A80" s="12" t="s">
        <v>218</v>
      </c>
      <c r="B80" s="4">
        <v>81</v>
      </c>
      <c r="C80" s="34">
        <v>-77.383015</v>
      </c>
      <c r="D80" s="34">
        <v>39.209547999999998</v>
      </c>
      <c r="E80" s="12" t="s">
        <v>218</v>
      </c>
      <c r="F80" s="12" t="s">
        <v>195</v>
      </c>
      <c r="G80" s="12"/>
      <c r="H80" s="12"/>
      <c r="I80" s="12"/>
      <c r="J80" s="12"/>
      <c r="K80" s="5" t="s">
        <v>42</v>
      </c>
      <c r="L80" s="5" t="s">
        <v>215</v>
      </c>
      <c r="M80" s="5" t="s">
        <v>141</v>
      </c>
      <c r="N80" s="25">
        <v>11447</v>
      </c>
      <c r="O80" s="5" t="s">
        <v>77</v>
      </c>
      <c r="P80" s="64">
        <v>1</v>
      </c>
      <c r="Q80" s="64">
        <v>1</v>
      </c>
      <c r="R80" s="96">
        <v>3</v>
      </c>
      <c r="S80" s="64">
        <v>1</v>
      </c>
      <c r="T80" s="5">
        <v>1</v>
      </c>
      <c r="U80" s="5">
        <v>1</v>
      </c>
      <c r="V80" s="5">
        <v>1</v>
      </c>
      <c r="W80" s="5"/>
      <c r="X80" s="5"/>
      <c r="Y80" s="5">
        <v>1</v>
      </c>
      <c r="Z80" s="22"/>
      <c r="AA80" s="22"/>
      <c r="AB80" s="49">
        <v>74.833333333333329</v>
      </c>
      <c r="AC80" s="23"/>
      <c r="AD80" s="23"/>
      <c r="AE80" s="5"/>
      <c r="AF80" s="5"/>
      <c r="AG80" s="5"/>
      <c r="AH80" s="34">
        <v>6</v>
      </c>
      <c r="AI80" s="34"/>
      <c r="AJ80" s="34"/>
      <c r="AK80" s="5"/>
      <c r="AL80" s="5"/>
      <c r="AM80" s="5"/>
      <c r="AN80" s="5" t="s">
        <v>167</v>
      </c>
      <c r="AO80" s="24" t="s">
        <v>33</v>
      </c>
      <c r="AP80" s="24" t="s">
        <v>33</v>
      </c>
      <c r="AQ80" s="24" t="s">
        <v>42</v>
      </c>
      <c r="AR80" s="24" t="s">
        <v>33</v>
      </c>
      <c r="AS80" s="24" t="s">
        <v>42</v>
      </c>
      <c r="AT80" s="24" t="s">
        <v>42</v>
      </c>
      <c r="AU80" s="24" t="s">
        <v>33</v>
      </c>
      <c r="AV80" s="24">
        <v>73</v>
      </c>
      <c r="AW80" s="24" t="s">
        <v>42</v>
      </c>
      <c r="AX80" s="24">
        <v>2</v>
      </c>
      <c r="AY80" s="24">
        <v>0</v>
      </c>
      <c r="AZ80" s="24">
        <v>0</v>
      </c>
      <c r="BA80" s="25">
        <v>66</v>
      </c>
      <c r="BB80" s="24">
        <v>69.333333333333329</v>
      </c>
      <c r="BC80" s="26">
        <f t="shared" si="8"/>
        <v>1.0505050505050504</v>
      </c>
      <c r="BD80" s="27">
        <f t="shared" si="9"/>
        <v>0.9755011135857462</v>
      </c>
      <c r="BE80" s="27"/>
      <c r="BF80" s="5">
        <f t="shared" si="10"/>
        <v>0.38887244746966559</v>
      </c>
      <c r="BG80" s="5">
        <v>3.8203299999999998</v>
      </c>
      <c r="BH80" s="5">
        <v>1</v>
      </c>
      <c r="BI80" s="24">
        <v>4</v>
      </c>
      <c r="BJ80" s="29" t="s">
        <v>301</v>
      </c>
      <c r="BK80" s="24">
        <v>0</v>
      </c>
      <c r="BL80" s="24"/>
      <c r="BM80" s="5" t="s">
        <v>42</v>
      </c>
      <c r="BN80" s="5" t="s">
        <v>219</v>
      </c>
      <c r="BO80" s="30" t="s">
        <v>217</v>
      </c>
      <c r="BP80" s="5"/>
    </row>
    <row r="81" spans="1:68" s="16" customFormat="1" x14ac:dyDescent="0.25">
      <c r="A81" s="12" t="s">
        <v>220</v>
      </c>
      <c r="B81" s="4">
        <v>82</v>
      </c>
      <c r="C81" s="34">
        <v>-77.316686000000004</v>
      </c>
      <c r="D81" s="34">
        <v>39.184814000000003</v>
      </c>
      <c r="E81" s="12" t="s">
        <v>220</v>
      </c>
      <c r="F81" s="12" t="s">
        <v>195</v>
      </c>
      <c r="G81" s="12"/>
      <c r="H81" s="12"/>
      <c r="I81" s="12"/>
      <c r="J81" s="12"/>
      <c r="K81" s="5" t="s">
        <v>42</v>
      </c>
      <c r="L81" s="5" t="s">
        <v>215</v>
      </c>
      <c r="M81" s="5" t="s">
        <v>141</v>
      </c>
      <c r="N81" s="25">
        <v>111308</v>
      </c>
      <c r="O81" s="5" t="s">
        <v>77</v>
      </c>
      <c r="P81" s="64">
        <v>1</v>
      </c>
      <c r="Q81" s="64">
        <v>1</v>
      </c>
      <c r="R81" s="96">
        <v>3</v>
      </c>
      <c r="S81" s="64">
        <v>1</v>
      </c>
      <c r="T81" s="5">
        <v>1</v>
      </c>
      <c r="U81" s="5">
        <v>3</v>
      </c>
      <c r="V81" s="5">
        <v>1</v>
      </c>
      <c r="W81" s="5"/>
      <c r="X81" s="5"/>
      <c r="Y81" s="5">
        <v>1</v>
      </c>
      <c r="Z81" s="22"/>
      <c r="AA81" s="22"/>
      <c r="AB81" s="49">
        <v>14.75</v>
      </c>
      <c r="AC81" s="23"/>
      <c r="AD81" s="23"/>
      <c r="AE81" s="5"/>
      <c r="AF81" s="5"/>
      <c r="AG81" s="5"/>
      <c r="AH81" s="34">
        <v>4</v>
      </c>
      <c r="AI81" s="34"/>
      <c r="AJ81" s="34"/>
      <c r="AK81" s="5"/>
      <c r="AL81" s="5"/>
      <c r="AM81" s="5"/>
      <c r="AN81" s="5" t="s">
        <v>167</v>
      </c>
      <c r="AO81" s="24" t="s">
        <v>33</v>
      </c>
      <c r="AP81" s="24" t="s">
        <v>33</v>
      </c>
      <c r="AQ81" s="24" t="s">
        <v>42</v>
      </c>
      <c r="AR81" s="24" t="s">
        <v>33</v>
      </c>
      <c r="AS81" s="24" t="s">
        <v>33</v>
      </c>
      <c r="AT81" s="24" t="s">
        <v>42</v>
      </c>
      <c r="AU81" s="24" t="s">
        <v>42</v>
      </c>
      <c r="AV81" s="24">
        <v>16</v>
      </c>
      <c r="AW81" s="24" t="s">
        <v>42</v>
      </c>
      <c r="AX81" s="24">
        <v>0</v>
      </c>
      <c r="AY81" s="24">
        <v>0</v>
      </c>
      <c r="AZ81" s="24">
        <v>0</v>
      </c>
      <c r="BA81" s="25">
        <v>13</v>
      </c>
      <c r="BB81" s="24">
        <v>11.666666666666666</v>
      </c>
      <c r="BC81" s="26">
        <f t="shared" si="8"/>
        <v>0.89743589743589736</v>
      </c>
      <c r="BD81" s="27">
        <f t="shared" si="9"/>
        <v>1.0847457627118644</v>
      </c>
      <c r="BE81" s="27"/>
      <c r="BF81" s="5">
        <f t="shared" si="10"/>
        <v>8.5232317253625331E-2</v>
      </c>
      <c r="BG81" s="5">
        <v>5.0937799999999998</v>
      </c>
      <c r="BH81" s="5">
        <v>2</v>
      </c>
      <c r="BI81" s="24">
        <v>0</v>
      </c>
      <c r="BJ81" s="29" t="s">
        <v>279</v>
      </c>
      <c r="BK81" s="24">
        <v>0</v>
      </c>
      <c r="BL81" s="24"/>
      <c r="BM81" s="5" t="s">
        <v>42</v>
      </c>
      <c r="BN81" s="5" t="s">
        <v>221</v>
      </c>
      <c r="BO81" s="30" t="s">
        <v>217</v>
      </c>
      <c r="BP81" s="5"/>
    </row>
    <row r="82" spans="1:68" s="16" customFormat="1" x14ac:dyDescent="0.25">
      <c r="A82" s="12" t="s">
        <v>222</v>
      </c>
      <c r="B82" s="4">
        <v>83</v>
      </c>
      <c r="C82" s="34">
        <v>-77.270021</v>
      </c>
      <c r="D82" s="34">
        <v>39.173119</v>
      </c>
      <c r="E82" s="12" t="s">
        <v>222</v>
      </c>
      <c r="F82" s="12" t="s">
        <v>195</v>
      </c>
      <c r="G82" s="12"/>
      <c r="H82" s="12"/>
      <c r="I82" s="12"/>
      <c r="J82" s="12"/>
      <c r="K82" s="5" t="s">
        <v>42</v>
      </c>
      <c r="L82" s="5" t="s">
        <v>215</v>
      </c>
      <c r="M82" s="5" t="s">
        <v>35</v>
      </c>
      <c r="N82" s="25">
        <v>216450</v>
      </c>
      <c r="O82" s="5" t="s">
        <v>36</v>
      </c>
      <c r="P82" s="64">
        <v>2</v>
      </c>
      <c r="Q82" s="64">
        <v>1</v>
      </c>
      <c r="R82" s="96">
        <v>4</v>
      </c>
      <c r="S82" s="64">
        <v>3</v>
      </c>
      <c r="T82" s="5">
        <v>2</v>
      </c>
      <c r="U82" s="5">
        <v>4</v>
      </c>
      <c r="V82" s="5">
        <v>1</v>
      </c>
      <c r="W82" s="5"/>
      <c r="X82" s="5"/>
      <c r="Y82" s="5">
        <v>2</v>
      </c>
      <c r="Z82" s="22" t="s">
        <v>325</v>
      </c>
      <c r="AA82" s="22"/>
      <c r="AB82" s="49">
        <v>756.41666666666663</v>
      </c>
      <c r="AC82" s="23"/>
      <c r="AD82" s="23"/>
      <c r="AE82" s="5"/>
      <c r="AF82" s="5"/>
      <c r="AG82" s="5"/>
      <c r="AH82" s="34">
        <v>9</v>
      </c>
      <c r="AI82" s="34"/>
      <c r="AJ82" s="34"/>
      <c r="AK82" s="5"/>
      <c r="AL82" s="5"/>
      <c r="AM82" s="5"/>
      <c r="AN82" s="5" t="s">
        <v>167</v>
      </c>
      <c r="AO82" s="24" t="s">
        <v>42</v>
      </c>
      <c r="AP82" s="24" t="s">
        <v>42</v>
      </c>
      <c r="AQ82" s="24" t="s">
        <v>33</v>
      </c>
      <c r="AR82" s="24" t="s">
        <v>33</v>
      </c>
      <c r="AS82" s="24" t="s">
        <v>33</v>
      </c>
      <c r="AT82" s="24" t="s">
        <v>42</v>
      </c>
      <c r="AU82" s="24" t="s">
        <v>33</v>
      </c>
      <c r="AV82" s="24">
        <v>672</v>
      </c>
      <c r="AW82" s="24" t="s">
        <v>42</v>
      </c>
      <c r="AX82" s="24">
        <v>22</v>
      </c>
      <c r="AY82" s="24">
        <v>0</v>
      </c>
      <c r="AZ82" s="24">
        <v>0</v>
      </c>
      <c r="BA82" s="25">
        <v>667</v>
      </c>
      <c r="BB82" s="24">
        <v>683.33333333333337</v>
      </c>
      <c r="BC82" s="26">
        <f t="shared" si="8"/>
        <v>1.024487756121939</v>
      </c>
      <c r="BD82" s="27">
        <f t="shared" si="9"/>
        <v>0.88839925085380633</v>
      </c>
      <c r="BE82" s="27"/>
      <c r="BF82" s="5">
        <f t="shared" si="10"/>
        <v>3.579757324652264</v>
      </c>
      <c r="BG82" s="5">
        <v>57.305</v>
      </c>
      <c r="BH82" s="5">
        <v>4</v>
      </c>
      <c r="BI82" s="24">
        <v>4</v>
      </c>
      <c r="BJ82" s="29" t="s">
        <v>302</v>
      </c>
      <c r="BK82" s="24">
        <v>0</v>
      </c>
      <c r="BL82" s="24"/>
      <c r="BM82" s="5" t="s">
        <v>42</v>
      </c>
      <c r="BN82" s="5" t="s">
        <v>223</v>
      </c>
      <c r="BO82" s="30" t="s">
        <v>217</v>
      </c>
      <c r="BP82" s="5"/>
    </row>
    <row r="83" spans="1:68" s="16" customFormat="1" x14ac:dyDescent="0.25">
      <c r="A83" s="12" t="s">
        <v>224</v>
      </c>
      <c r="B83" s="4">
        <v>84</v>
      </c>
      <c r="C83" s="34">
        <v>-77.225077999999996</v>
      </c>
      <c r="D83" s="34">
        <v>39.148887000000002</v>
      </c>
      <c r="E83" s="12" t="s">
        <v>224</v>
      </c>
      <c r="F83" s="12" t="s">
        <v>195</v>
      </c>
      <c r="G83" s="12"/>
      <c r="H83" s="12"/>
      <c r="I83" s="12"/>
      <c r="J83" s="12"/>
      <c r="K83" s="5" t="s">
        <v>42</v>
      </c>
      <c r="L83" s="5" t="s">
        <v>225</v>
      </c>
      <c r="M83" s="5" t="s">
        <v>35</v>
      </c>
      <c r="N83" s="25">
        <v>289266</v>
      </c>
      <c r="O83" s="5" t="s">
        <v>36</v>
      </c>
      <c r="P83" s="64">
        <v>2</v>
      </c>
      <c r="Q83" s="64">
        <v>1</v>
      </c>
      <c r="R83" s="96">
        <v>4</v>
      </c>
      <c r="S83" s="64">
        <v>2</v>
      </c>
      <c r="T83" s="5">
        <v>1</v>
      </c>
      <c r="U83" s="5">
        <v>2</v>
      </c>
      <c r="V83" s="5">
        <v>1</v>
      </c>
      <c r="W83" s="5"/>
      <c r="X83" s="5"/>
      <c r="Y83" s="5">
        <v>3</v>
      </c>
      <c r="Z83" s="22" t="s">
        <v>328</v>
      </c>
      <c r="AA83" s="22">
        <v>202</v>
      </c>
      <c r="AB83" s="49">
        <v>317.83333333333331</v>
      </c>
      <c r="AC83" s="23"/>
      <c r="AD83" s="23"/>
      <c r="AE83" s="5"/>
      <c r="AF83" s="5"/>
      <c r="AG83" s="5"/>
      <c r="AH83" s="34">
        <v>9</v>
      </c>
      <c r="AI83" s="34"/>
      <c r="AJ83" s="34"/>
      <c r="AK83" s="5"/>
      <c r="AL83" s="5"/>
      <c r="AM83" s="5"/>
      <c r="AN83" s="5" t="s">
        <v>167</v>
      </c>
      <c r="AO83" s="24" t="s">
        <v>33</v>
      </c>
      <c r="AP83" s="24" t="s">
        <v>33</v>
      </c>
      <c r="AQ83" s="24" t="s">
        <v>42</v>
      </c>
      <c r="AR83" s="24" t="s">
        <v>33</v>
      </c>
      <c r="AS83" s="24" t="s">
        <v>33</v>
      </c>
      <c r="AT83" s="24" t="s">
        <v>42</v>
      </c>
      <c r="AU83" s="24" t="s">
        <v>42</v>
      </c>
      <c r="AV83" s="24">
        <v>343</v>
      </c>
      <c r="AW83" s="24" t="s">
        <v>42</v>
      </c>
      <c r="AX83" s="24">
        <v>8</v>
      </c>
      <c r="AY83" s="24">
        <v>0</v>
      </c>
      <c r="AZ83" s="24">
        <v>0</v>
      </c>
      <c r="BA83" s="25">
        <v>160</v>
      </c>
      <c r="BB83" s="24">
        <v>229.66666666666666</v>
      </c>
      <c r="BC83" s="26">
        <f t="shared" si="8"/>
        <v>1.4354166666666666</v>
      </c>
      <c r="BD83" s="27">
        <f t="shared" si="9"/>
        <v>1.0791819611955953</v>
      </c>
      <c r="BE83" s="27"/>
      <c r="BF83" s="5">
        <f t="shared" si="10"/>
        <v>1.8271678011245931</v>
      </c>
      <c r="BG83" s="5">
        <v>35.656399999999998</v>
      </c>
      <c r="BH83" s="5">
        <v>2</v>
      </c>
      <c r="BI83" s="24">
        <v>3</v>
      </c>
      <c r="BJ83" s="29" t="s">
        <v>303</v>
      </c>
      <c r="BK83" s="24">
        <v>0</v>
      </c>
      <c r="BL83" s="24"/>
      <c r="BM83" s="5" t="s">
        <v>42</v>
      </c>
      <c r="BN83" s="5" t="s">
        <v>226</v>
      </c>
      <c r="BO83" s="30" t="s">
        <v>217</v>
      </c>
      <c r="BP83" s="5"/>
    </row>
    <row r="84" spans="1:68" s="16" customFormat="1" x14ac:dyDescent="0.25">
      <c r="A84" s="12" t="s">
        <v>227</v>
      </c>
      <c r="B84" s="4">
        <v>85</v>
      </c>
      <c r="C84" s="34">
        <v>-77.193329000000006</v>
      </c>
      <c r="D84" s="34">
        <v>39.141081</v>
      </c>
      <c r="E84" s="12" t="s">
        <v>227</v>
      </c>
      <c r="F84" s="12" t="s">
        <v>195</v>
      </c>
      <c r="G84" s="12"/>
      <c r="H84" s="12"/>
      <c r="I84" s="12"/>
      <c r="J84" s="12"/>
      <c r="K84" s="5" t="s">
        <v>42</v>
      </c>
      <c r="L84" s="5" t="s">
        <v>225</v>
      </c>
      <c r="M84" s="5" t="s">
        <v>48</v>
      </c>
      <c r="N84" s="25">
        <v>282045</v>
      </c>
      <c r="O84" s="5" t="s">
        <v>49</v>
      </c>
      <c r="P84" s="64">
        <v>2</v>
      </c>
      <c r="Q84" s="64">
        <v>2</v>
      </c>
      <c r="R84" s="96">
        <v>1</v>
      </c>
      <c r="S84" s="64">
        <v>3</v>
      </c>
      <c r="T84" s="5">
        <v>3</v>
      </c>
      <c r="U84" s="5">
        <v>5</v>
      </c>
      <c r="V84" s="5">
        <v>1</v>
      </c>
      <c r="W84" s="5"/>
      <c r="X84" s="5"/>
      <c r="Y84" s="5">
        <v>2</v>
      </c>
      <c r="Z84" s="22" t="s">
        <v>325</v>
      </c>
      <c r="AA84" s="22"/>
      <c r="AB84" s="49">
        <v>524.75</v>
      </c>
      <c r="AC84" s="23"/>
      <c r="AD84" s="23"/>
      <c r="AE84" s="5"/>
      <c r="AF84" s="5"/>
      <c r="AG84" s="5"/>
      <c r="AH84" s="34">
        <v>9</v>
      </c>
      <c r="AI84" s="34"/>
      <c r="AJ84" s="34"/>
      <c r="AK84" s="5"/>
      <c r="AL84" s="5"/>
      <c r="AM84" s="5"/>
      <c r="AN84" s="5" t="s">
        <v>167</v>
      </c>
      <c r="AO84" s="24" t="s">
        <v>33</v>
      </c>
      <c r="AP84" s="24" t="s">
        <v>42</v>
      </c>
      <c r="AQ84" s="24" t="s">
        <v>33</v>
      </c>
      <c r="AR84" s="24" t="s">
        <v>33</v>
      </c>
      <c r="AS84" s="24" t="s">
        <v>33</v>
      </c>
      <c r="AT84" s="24" t="s">
        <v>33</v>
      </c>
      <c r="AU84" s="24" t="s">
        <v>42</v>
      </c>
      <c r="AV84" s="24">
        <v>0</v>
      </c>
      <c r="AW84" s="24" t="s">
        <v>42</v>
      </c>
      <c r="AX84" s="24">
        <v>0</v>
      </c>
      <c r="AY84" s="24">
        <v>0</v>
      </c>
      <c r="AZ84" s="24">
        <v>0</v>
      </c>
      <c r="BA84" s="25">
        <v>370</v>
      </c>
      <c r="BB84" s="24"/>
      <c r="BC84" s="26">
        <f t="shared" si="8"/>
        <v>0</v>
      </c>
      <c r="BD84" s="27">
        <f t="shared" si="9"/>
        <v>0</v>
      </c>
      <c r="BE84" s="27"/>
      <c r="BF84" s="5">
        <f t="shared" si="10"/>
        <v>0</v>
      </c>
      <c r="BG84" s="5">
        <v>86.594200000000001</v>
      </c>
      <c r="BH84" s="5">
        <v>5</v>
      </c>
      <c r="BI84" s="24">
        <v>0</v>
      </c>
      <c r="BJ84" s="29" t="s">
        <v>279</v>
      </c>
      <c r="BK84" s="24">
        <v>0</v>
      </c>
      <c r="BL84" s="24"/>
      <c r="BM84" s="5" t="s">
        <v>42</v>
      </c>
      <c r="BN84" s="5" t="s">
        <v>228</v>
      </c>
      <c r="BO84" s="30" t="s">
        <v>217</v>
      </c>
      <c r="BP84" s="5"/>
    </row>
    <row r="85" spans="1:68" s="16" customFormat="1" x14ac:dyDescent="0.25">
      <c r="A85" s="12" t="s">
        <v>229</v>
      </c>
      <c r="B85" s="4">
        <v>86</v>
      </c>
      <c r="C85" s="34">
        <v>-77.178297000000001</v>
      </c>
      <c r="D85" s="34">
        <v>39.136128999999997</v>
      </c>
      <c r="E85" s="12" t="s">
        <v>229</v>
      </c>
      <c r="F85" s="12" t="s">
        <v>195</v>
      </c>
      <c r="G85" s="12" t="s">
        <v>241</v>
      </c>
      <c r="H85" s="12"/>
      <c r="I85" s="12"/>
      <c r="J85" s="12"/>
      <c r="K85" s="5" t="s">
        <v>42</v>
      </c>
      <c r="L85" s="5" t="s">
        <v>215</v>
      </c>
      <c r="M85" s="5" t="s">
        <v>48</v>
      </c>
      <c r="N85" s="25">
        <v>281726</v>
      </c>
      <c r="O85" s="5" t="s">
        <v>49</v>
      </c>
      <c r="P85" s="64">
        <v>1</v>
      </c>
      <c r="Q85" s="64">
        <v>1</v>
      </c>
      <c r="R85" s="96">
        <v>2</v>
      </c>
      <c r="S85" s="64">
        <v>1</v>
      </c>
      <c r="T85" s="5">
        <v>2</v>
      </c>
      <c r="U85" s="5">
        <v>3</v>
      </c>
      <c r="V85" s="5">
        <v>1</v>
      </c>
      <c r="W85" s="5"/>
      <c r="X85" s="5"/>
      <c r="Y85" s="5">
        <v>2</v>
      </c>
      <c r="Z85" s="22" t="s">
        <v>325</v>
      </c>
      <c r="AA85" s="22"/>
      <c r="AB85" s="49">
        <v>43.416666666666664</v>
      </c>
      <c r="AC85" s="23"/>
      <c r="AD85" s="23"/>
      <c r="AE85" s="5"/>
      <c r="AF85" s="5"/>
      <c r="AG85" s="5"/>
      <c r="AH85" s="34">
        <v>4</v>
      </c>
      <c r="AI85" s="34"/>
      <c r="AJ85" s="34"/>
      <c r="AK85" s="5"/>
      <c r="AL85" s="5"/>
      <c r="AM85" s="5"/>
      <c r="AN85" s="5" t="s">
        <v>167</v>
      </c>
      <c r="AO85" s="24" t="s">
        <v>33</v>
      </c>
      <c r="AP85" s="24" t="s">
        <v>33</v>
      </c>
      <c r="AQ85" s="24" t="s">
        <v>42</v>
      </c>
      <c r="AR85" s="24" t="s">
        <v>33</v>
      </c>
      <c r="AS85" s="24" t="s">
        <v>33</v>
      </c>
      <c r="AT85" s="24" t="s">
        <v>42</v>
      </c>
      <c r="AU85" s="24" t="s">
        <v>42</v>
      </c>
      <c r="AV85" s="24">
        <v>27</v>
      </c>
      <c r="AW85" s="24" t="s">
        <v>42</v>
      </c>
      <c r="AX85" s="24">
        <v>0</v>
      </c>
      <c r="AY85" s="24">
        <v>0</v>
      </c>
      <c r="AZ85" s="24">
        <v>0</v>
      </c>
      <c r="BA85" s="25">
        <v>25</v>
      </c>
      <c r="BB85" s="24">
        <v>32.333333333333336</v>
      </c>
      <c r="BC85" s="26">
        <f t="shared" si="8"/>
        <v>1.2933333333333334</v>
      </c>
      <c r="BD85" s="27">
        <f t="shared" si="9"/>
        <v>0.62188099808061426</v>
      </c>
      <c r="BE85" s="27"/>
      <c r="BF85" s="5">
        <f t="shared" si="10"/>
        <v>0.14382953536549276</v>
      </c>
      <c r="BG85" s="5">
        <v>75.133200000000002</v>
      </c>
      <c r="BH85" s="5">
        <v>3</v>
      </c>
      <c r="BI85" s="24">
        <v>0</v>
      </c>
      <c r="BJ85" s="29" t="s">
        <v>279</v>
      </c>
      <c r="BK85" s="24">
        <v>0</v>
      </c>
      <c r="BL85" s="24"/>
      <c r="BM85" s="5" t="s">
        <v>42</v>
      </c>
      <c r="BN85" s="5" t="s">
        <v>230</v>
      </c>
      <c r="BO85" s="30" t="s">
        <v>217</v>
      </c>
      <c r="BP85" s="5"/>
    </row>
    <row r="86" spans="1:68" s="16" customFormat="1" x14ac:dyDescent="0.25">
      <c r="A86" s="12" t="s">
        <v>231</v>
      </c>
      <c r="B86" s="4">
        <v>87</v>
      </c>
      <c r="C86" s="34">
        <v>-77.146842000000007</v>
      </c>
      <c r="D86" s="34">
        <v>39.084589999999999</v>
      </c>
      <c r="E86" s="12" t="s">
        <v>231</v>
      </c>
      <c r="F86" s="12" t="s">
        <v>195</v>
      </c>
      <c r="G86" s="12" t="s">
        <v>264</v>
      </c>
      <c r="H86" s="12"/>
      <c r="I86" s="12"/>
      <c r="J86" s="12"/>
      <c r="K86" s="5" t="s">
        <v>42</v>
      </c>
      <c r="L86" s="5" t="s">
        <v>232</v>
      </c>
      <c r="M86" s="5" t="s">
        <v>35</v>
      </c>
      <c r="N86" s="25">
        <v>316574</v>
      </c>
      <c r="O86" s="5" t="s">
        <v>36</v>
      </c>
      <c r="P86" s="64">
        <v>2</v>
      </c>
      <c r="Q86" s="64">
        <v>1</v>
      </c>
      <c r="R86" s="96">
        <v>2</v>
      </c>
      <c r="S86" s="64">
        <v>5</v>
      </c>
      <c r="T86" s="5">
        <v>5</v>
      </c>
      <c r="U86" s="5">
        <v>5</v>
      </c>
      <c r="V86" s="5">
        <v>1</v>
      </c>
      <c r="W86" s="5"/>
      <c r="X86" s="5"/>
      <c r="Y86" s="5">
        <v>3</v>
      </c>
      <c r="Z86" s="22" t="s">
        <v>333</v>
      </c>
      <c r="AA86" s="36" t="s">
        <v>478</v>
      </c>
      <c r="AB86" s="49">
        <v>558.08333333333337</v>
      </c>
      <c r="AC86" s="23"/>
      <c r="AD86" s="23"/>
      <c r="AE86" s="5"/>
      <c r="AF86" s="5"/>
      <c r="AG86" s="5"/>
      <c r="AH86" s="34">
        <v>9</v>
      </c>
      <c r="AI86" s="34"/>
      <c r="AJ86" s="34"/>
      <c r="AK86" s="5"/>
      <c r="AL86" s="5"/>
      <c r="AM86" s="5"/>
      <c r="AN86" s="5" t="s">
        <v>37</v>
      </c>
      <c r="AO86" s="24" t="s">
        <v>33</v>
      </c>
      <c r="AP86" s="24" t="s">
        <v>42</v>
      </c>
      <c r="AQ86" s="24" t="s">
        <v>33</v>
      </c>
      <c r="AR86" s="24" t="s">
        <v>33</v>
      </c>
      <c r="AS86" s="24" t="s">
        <v>33</v>
      </c>
      <c r="AT86" s="24" t="s">
        <v>42</v>
      </c>
      <c r="AU86" s="24" t="s">
        <v>42</v>
      </c>
      <c r="AV86" s="24">
        <v>0</v>
      </c>
      <c r="AW86" s="24" t="s">
        <v>33</v>
      </c>
      <c r="AX86" s="24">
        <v>0</v>
      </c>
      <c r="AY86" s="24">
        <v>0</v>
      </c>
      <c r="AZ86" s="24">
        <v>0</v>
      </c>
      <c r="BA86" s="25">
        <v>500</v>
      </c>
      <c r="BB86" s="24"/>
      <c r="BC86" s="26">
        <f t="shared" si="8"/>
        <v>0</v>
      </c>
      <c r="BD86" s="27">
        <f t="shared" si="9"/>
        <v>0</v>
      </c>
      <c r="BE86" s="27"/>
      <c r="BF86" s="5">
        <f t="shared" si="10"/>
        <v>0</v>
      </c>
      <c r="BG86" s="5">
        <v>182.10300000000001</v>
      </c>
      <c r="BH86" s="5">
        <v>8</v>
      </c>
      <c r="BI86" s="24">
        <v>32</v>
      </c>
      <c r="BJ86" s="29" t="s">
        <v>304</v>
      </c>
      <c r="BK86" s="24">
        <v>20</v>
      </c>
      <c r="BL86" s="24"/>
      <c r="BM86" s="5" t="s">
        <v>33</v>
      </c>
      <c r="BN86" s="5" t="s">
        <v>233</v>
      </c>
      <c r="BO86" s="30" t="s">
        <v>217</v>
      </c>
      <c r="BP86" s="5"/>
    </row>
    <row r="87" spans="1:68" s="16" customFormat="1" x14ac:dyDescent="0.25">
      <c r="A87" s="12" t="s">
        <v>234</v>
      </c>
      <c r="B87" s="4">
        <v>88</v>
      </c>
      <c r="C87" s="34">
        <v>-77.093500000000006</v>
      </c>
      <c r="D87" s="34">
        <v>39.038800000000002</v>
      </c>
      <c r="E87" s="12" t="s">
        <v>234</v>
      </c>
      <c r="F87" s="12" t="s">
        <v>195</v>
      </c>
      <c r="G87" s="12"/>
      <c r="H87" s="12"/>
      <c r="I87" s="12"/>
      <c r="J87" s="12"/>
      <c r="K87" s="5" t="s">
        <v>42</v>
      </c>
      <c r="L87" s="5" t="s">
        <v>215</v>
      </c>
      <c r="M87" s="5" t="s">
        <v>48</v>
      </c>
      <c r="N87" s="25">
        <v>389820</v>
      </c>
      <c r="O87" s="5" t="s">
        <v>49</v>
      </c>
      <c r="P87" s="64">
        <v>1</v>
      </c>
      <c r="Q87" s="64">
        <v>1</v>
      </c>
      <c r="R87" s="96">
        <v>3</v>
      </c>
      <c r="S87" s="64">
        <v>3</v>
      </c>
      <c r="T87" s="5">
        <v>3</v>
      </c>
      <c r="U87" s="5">
        <v>3</v>
      </c>
      <c r="V87" s="5">
        <v>1</v>
      </c>
      <c r="W87" s="5"/>
      <c r="X87" s="5"/>
      <c r="Y87" s="5">
        <v>2</v>
      </c>
      <c r="Z87" s="22" t="s">
        <v>325</v>
      </c>
      <c r="AA87" s="22"/>
      <c r="AB87" s="49">
        <v>44.416666666666664</v>
      </c>
      <c r="AC87" s="23"/>
      <c r="AD87" s="23"/>
      <c r="AE87" s="5"/>
      <c r="AF87" s="5"/>
      <c r="AG87" s="5"/>
      <c r="AH87" s="34">
        <v>5</v>
      </c>
      <c r="AI87" s="34"/>
      <c r="AJ87" s="34"/>
      <c r="AK87" s="5"/>
      <c r="AL87" s="5"/>
      <c r="AM87" s="5"/>
      <c r="AN87" s="5" t="s">
        <v>167</v>
      </c>
      <c r="AO87" s="24" t="s">
        <v>33</v>
      </c>
      <c r="AP87" s="24" t="s">
        <v>33</v>
      </c>
      <c r="AQ87" s="24" t="s">
        <v>42</v>
      </c>
      <c r="AR87" s="24" t="s">
        <v>33</v>
      </c>
      <c r="AS87" s="24" t="s">
        <v>33</v>
      </c>
      <c r="AT87" s="24" t="s">
        <v>42</v>
      </c>
      <c r="AU87" s="24" t="s">
        <v>42</v>
      </c>
      <c r="AV87" s="24">
        <v>41</v>
      </c>
      <c r="AW87" s="24" t="s">
        <v>42</v>
      </c>
      <c r="AX87" s="24">
        <v>1</v>
      </c>
      <c r="AY87" s="24">
        <v>0</v>
      </c>
      <c r="AZ87" s="24">
        <v>0</v>
      </c>
      <c r="BA87" s="25">
        <v>7</v>
      </c>
      <c r="BB87" s="24">
        <v>35.666666666666664</v>
      </c>
      <c r="BC87" s="26">
        <f t="shared" si="8"/>
        <v>5.0952380952380949</v>
      </c>
      <c r="BD87" s="27">
        <f t="shared" si="9"/>
        <v>0.92307692307692313</v>
      </c>
      <c r="BE87" s="27"/>
      <c r="BF87" s="5">
        <f t="shared" si="10"/>
        <v>0.2184078129624149</v>
      </c>
      <c r="BG87" s="5">
        <v>100.602</v>
      </c>
      <c r="BH87" s="5">
        <v>4</v>
      </c>
      <c r="BI87" s="24">
        <v>2</v>
      </c>
      <c r="BJ87" s="29" t="s">
        <v>305</v>
      </c>
      <c r="BK87" s="24">
        <v>0</v>
      </c>
      <c r="BL87" s="24"/>
      <c r="BM87" s="5" t="s">
        <v>42</v>
      </c>
      <c r="BN87" s="5" t="s">
        <v>235</v>
      </c>
      <c r="BO87" s="30" t="s">
        <v>217</v>
      </c>
      <c r="BP87" s="5"/>
    </row>
    <row r="88" spans="1:68" s="16" customFormat="1" x14ac:dyDescent="0.25">
      <c r="A88" s="12" t="s">
        <v>236</v>
      </c>
      <c r="B88" s="4">
        <v>89</v>
      </c>
      <c r="C88" s="34">
        <v>-77.072231000000002</v>
      </c>
      <c r="D88" s="34">
        <v>39.027388000000002</v>
      </c>
      <c r="E88" s="12" t="s">
        <v>236</v>
      </c>
      <c r="F88" s="12" t="s">
        <v>195</v>
      </c>
      <c r="G88" s="12"/>
      <c r="H88" s="12"/>
      <c r="I88" s="12"/>
      <c r="J88" s="12"/>
      <c r="K88" s="5" t="s">
        <v>42</v>
      </c>
      <c r="L88" s="5" t="s">
        <v>215</v>
      </c>
      <c r="M88" s="5" t="s">
        <v>48</v>
      </c>
      <c r="N88" s="25">
        <v>418254</v>
      </c>
      <c r="O88" s="5" t="s">
        <v>49</v>
      </c>
      <c r="P88" s="64">
        <v>2</v>
      </c>
      <c r="Q88" s="64">
        <v>3</v>
      </c>
      <c r="R88" s="96">
        <v>3</v>
      </c>
      <c r="S88" s="64">
        <v>3</v>
      </c>
      <c r="T88" s="5">
        <v>3</v>
      </c>
      <c r="U88" s="5">
        <v>4</v>
      </c>
      <c r="V88" s="5">
        <v>1</v>
      </c>
      <c r="W88" s="5"/>
      <c r="X88" s="5"/>
      <c r="Y88" s="5">
        <v>2</v>
      </c>
      <c r="Z88" s="22" t="s">
        <v>325</v>
      </c>
      <c r="AA88" s="22"/>
      <c r="AB88" s="49">
        <v>163.66666666666666</v>
      </c>
      <c r="AC88" s="23"/>
      <c r="AD88" s="23"/>
      <c r="AE88" s="5"/>
      <c r="AF88" s="5"/>
      <c r="AG88" s="5"/>
      <c r="AH88" s="34">
        <v>7</v>
      </c>
      <c r="AI88" s="34"/>
      <c r="AJ88" s="34"/>
      <c r="AK88" s="5"/>
      <c r="AL88" s="5"/>
      <c r="AM88" s="5"/>
      <c r="AN88" s="5" t="s">
        <v>167</v>
      </c>
      <c r="AO88" s="24" t="s">
        <v>33</v>
      </c>
      <c r="AP88" s="24" t="s">
        <v>33</v>
      </c>
      <c r="AQ88" s="24" t="s">
        <v>33</v>
      </c>
      <c r="AR88" s="24" t="s">
        <v>33</v>
      </c>
      <c r="AS88" s="24" t="s">
        <v>33</v>
      </c>
      <c r="AT88" s="24" t="s">
        <v>33</v>
      </c>
      <c r="AU88" s="24" t="s">
        <v>42</v>
      </c>
      <c r="AV88" s="24">
        <v>102</v>
      </c>
      <c r="AW88" s="24" t="s">
        <v>42</v>
      </c>
      <c r="AX88" s="24">
        <v>5</v>
      </c>
      <c r="AY88" s="24">
        <v>0</v>
      </c>
      <c r="AZ88" s="24">
        <v>0</v>
      </c>
      <c r="BA88" s="25">
        <v>40</v>
      </c>
      <c r="BB88" s="24">
        <v>78.666666666666671</v>
      </c>
      <c r="BC88" s="26">
        <f t="shared" si="8"/>
        <v>1.9666666666666668</v>
      </c>
      <c r="BD88" s="27">
        <f t="shared" si="9"/>
        <v>0.62321792260692466</v>
      </c>
      <c r="BE88" s="27"/>
      <c r="BF88" s="5">
        <f t="shared" si="10"/>
        <v>0.54335602249186143</v>
      </c>
      <c r="BG88" s="5">
        <v>179.55600000000001</v>
      </c>
      <c r="BH88" s="5">
        <v>4</v>
      </c>
      <c r="BI88" s="24">
        <v>2</v>
      </c>
      <c r="BJ88" s="29" t="s">
        <v>306</v>
      </c>
      <c r="BK88" s="24">
        <v>0</v>
      </c>
      <c r="BL88" s="24"/>
      <c r="BM88" s="5" t="s">
        <v>42</v>
      </c>
      <c r="BN88" s="5" t="s">
        <v>237</v>
      </c>
      <c r="BO88" s="30" t="s">
        <v>217</v>
      </c>
      <c r="BP88" s="5"/>
    </row>
    <row r="89" spans="1:68" s="16" customFormat="1" x14ac:dyDescent="0.25">
      <c r="A89" s="12" t="s">
        <v>238</v>
      </c>
      <c r="B89" s="4">
        <v>90</v>
      </c>
      <c r="C89" s="34">
        <v>-77.027445999999998</v>
      </c>
      <c r="D89" s="34">
        <v>38.989432999999998</v>
      </c>
      <c r="E89" s="12" t="s">
        <v>238</v>
      </c>
      <c r="F89" s="12" t="s">
        <v>195</v>
      </c>
      <c r="G89" s="12" t="s">
        <v>241</v>
      </c>
      <c r="H89" s="12"/>
      <c r="I89" s="12"/>
      <c r="J89" s="12"/>
      <c r="K89" s="5" t="s">
        <v>42</v>
      </c>
      <c r="L89" s="5" t="s">
        <v>215</v>
      </c>
      <c r="M89" s="5" t="s">
        <v>35</v>
      </c>
      <c r="N89" s="25">
        <v>391426</v>
      </c>
      <c r="O89" s="5" t="s">
        <v>36</v>
      </c>
      <c r="P89" s="64">
        <v>2</v>
      </c>
      <c r="Q89" s="64">
        <v>1</v>
      </c>
      <c r="R89" s="96">
        <v>2</v>
      </c>
      <c r="S89" s="64">
        <v>5</v>
      </c>
      <c r="T89" s="5">
        <v>5</v>
      </c>
      <c r="U89" s="5">
        <v>5</v>
      </c>
      <c r="V89" s="5">
        <v>1</v>
      </c>
      <c r="W89" s="5"/>
      <c r="X89" s="5"/>
      <c r="Y89" s="5">
        <v>4</v>
      </c>
      <c r="Z89" s="22" t="s">
        <v>331</v>
      </c>
      <c r="AA89" s="36" t="s">
        <v>479</v>
      </c>
      <c r="AB89" s="49">
        <v>505.58333333333331</v>
      </c>
      <c r="AC89" s="23"/>
      <c r="AD89" s="23"/>
      <c r="AE89" s="5"/>
      <c r="AF89" s="5"/>
      <c r="AG89" s="5"/>
      <c r="AH89" s="34">
        <v>9</v>
      </c>
      <c r="AI89" s="34"/>
      <c r="AJ89" s="34"/>
      <c r="AK89" s="5"/>
      <c r="AL89" s="5"/>
      <c r="AM89" s="5"/>
      <c r="AN89" s="5" t="s">
        <v>37</v>
      </c>
      <c r="AO89" s="24" t="s">
        <v>33</v>
      </c>
      <c r="AP89" s="24" t="s">
        <v>33</v>
      </c>
      <c r="AQ89" s="24" t="s">
        <v>33</v>
      </c>
      <c r="AR89" s="24" t="s">
        <v>33</v>
      </c>
      <c r="AS89" s="24" t="s">
        <v>42</v>
      </c>
      <c r="AT89" s="24" t="s">
        <v>42</v>
      </c>
      <c r="AU89" s="24" t="s">
        <v>42</v>
      </c>
      <c r="AV89" s="24">
        <v>0</v>
      </c>
      <c r="AW89" s="24" t="s">
        <v>33</v>
      </c>
      <c r="AX89" s="24">
        <v>0</v>
      </c>
      <c r="AY89" s="24">
        <v>0</v>
      </c>
      <c r="AZ89" s="24">
        <v>0</v>
      </c>
      <c r="BA89" s="25">
        <v>0</v>
      </c>
      <c r="BB89" s="24"/>
      <c r="BC89" s="26"/>
      <c r="BD89" s="27">
        <f t="shared" si="9"/>
        <v>0</v>
      </c>
      <c r="BE89" s="27"/>
      <c r="BF89" s="5">
        <f t="shared" si="10"/>
        <v>0</v>
      </c>
      <c r="BG89" s="5">
        <v>163.001</v>
      </c>
      <c r="BH89" s="5">
        <v>11</v>
      </c>
      <c r="BI89" s="24">
        <v>0</v>
      </c>
      <c r="BJ89" s="29" t="s">
        <v>279</v>
      </c>
      <c r="BK89" s="24">
        <v>0</v>
      </c>
      <c r="BL89" s="24"/>
      <c r="BM89" s="5" t="s">
        <v>33</v>
      </c>
      <c r="BN89" s="5" t="s">
        <v>239</v>
      </c>
      <c r="BO89" s="30" t="s">
        <v>217</v>
      </c>
      <c r="BP89" s="5"/>
    </row>
    <row r="90" spans="1:68" x14ac:dyDescent="0.25">
      <c r="A90" s="12" t="s">
        <v>240</v>
      </c>
      <c r="B90" s="4">
        <v>91</v>
      </c>
      <c r="C90" s="34">
        <v>-76.920176999999995</v>
      </c>
      <c r="D90" s="34">
        <v>38.828702999999997</v>
      </c>
      <c r="E90" s="12" t="s">
        <v>240</v>
      </c>
      <c r="F90" s="5" t="s">
        <v>241</v>
      </c>
      <c r="G90" s="5"/>
      <c r="H90" s="5"/>
      <c r="I90" s="5"/>
      <c r="J90" s="5"/>
      <c r="K90" s="6" t="s">
        <v>33</v>
      </c>
      <c r="L90" s="6" t="s">
        <v>242</v>
      </c>
      <c r="M90" s="6"/>
      <c r="N90" s="6"/>
      <c r="O90" s="6"/>
      <c r="P90" s="5"/>
      <c r="Q90" s="5"/>
      <c r="R90" s="5"/>
      <c r="S90" s="5"/>
      <c r="T90" s="5"/>
      <c r="U90" s="5"/>
      <c r="V90" s="6"/>
      <c r="W90" s="6"/>
      <c r="X90" s="6"/>
      <c r="Y90" s="5"/>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7"/>
      <c r="BD90" s="8"/>
      <c r="BE90" s="27"/>
      <c r="BF90" s="9"/>
      <c r="BG90" s="5"/>
      <c r="BH90" s="5"/>
      <c r="BI90" s="10"/>
      <c r="BJ90" s="10"/>
      <c r="BK90" s="10"/>
      <c r="BL90" s="10"/>
      <c r="BM90" s="6"/>
      <c r="BN90" s="6"/>
      <c r="BO90" s="11"/>
      <c r="BP90" s="6"/>
    </row>
    <row r="91" spans="1:68" x14ac:dyDescent="0.25">
      <c r="A91" s="12" t="s">
        <v>349</v>
      </c>
      <c r="B91" s="4">
        <v>92</v>
      </c>
      <c r="C91" s="34">
        <v>-76.956742000000006</v>
      </c>
      <c r="D91" s="34">
        <v>38.851300000000002</v>
      </c>
      <c r="E91" s="12" t="s">
        <v>349</v>
      </c>
      <c r="F91" s="5" t="s">
        <v>241</v>
      </c>
      <c r="G91" s="5"/>
      <c r="H91" s="5"/>
      <c r="I91" s="5"/>
      <c r="J91" s="5"/>
      <c r="K91" s="6" t="s">
        <v>33</v>
      </c>
      <c r="L91" s="6" t="s">
        <v>242</v>
      </c>
      <c r="M91" s="6"/>
      <c r="N91" s="6"/>
      <c r="O91" s="6"/>
      <c r="P91" s="5"/>
      <c r="Q91" s="5"/>
      <c r="R91" s="5"/>
      <c r="S91" s="5"/>
      <c r="T91" s="5"/>
      <c r="U91" s="5"/>
      <c r="V91" s="6"/>
      <c r="W91" s="6"/>
      <c r="X91" s="6"/>
      <c r="Y91" s="5"/>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7"/>
      <c r="BD91" s="8"/>
      <c r="BE91" s="27"/>
      <c r="BF91" s="9"/>
      <c r="BG91" s="5"/>
      <c r="BH91" s="5"/>
      <c r="BI91" s="10"/>
      <c r="BJ91" s="10"/>
      <c r="BK91" s="10"/>
      <c r="BL91" s="10"/>
      <c r="BM91" s="6"/>
      <c r="BN91" s="6"/>
      <c r="BO91" s="11"/>
      <c r="BP91" s="6"/>
    </row>
    <row r="92" spans="1:68" x14ac:dyDescent="0.25">
      <c r="A92" s="12" t="s">
        <v>244</v>
      </c>
      <c r="B92" s="4">
        <v>93</v>
      </c>
      <c r="C92" s="34">
        <v>-77.164440999999997</v>
      </c>
      <c r="D92" s="34">
        <v>39.119827999999998</v>
      </c>
      <c r="E92" s="12" t="s">
        <v>244</v>
      </c>
      <c r="F92" s="5" t="s">
        <v>241</v>
      </c>
      <c r="G92" s="5"/>
      <c r="H92" s="5"/>
      <c r="I92" s="5"/>
      <c r="J92" s="5"/>
      <c r="K92" s="6" t="s">
        <v>33</v>
      </c>
      <c r="L92" s="6" t="s">
        <v>215</v>
      </c>
      <c r="M92" s="6"/>
      <c r="N92" s="6"/>
      <c r="O92" s="6"/>
      <c r="P92" s="5"/>
      <c r="Q92" s="5"/>
      <c r="R92" s="5"/>
      <c r="S92" s="5"/>
      <c r="T92" s="5"/>
      <c r="U92" s="5"/>
      <c r="V92" s="6"/>
      <c r="W92" s="6"/>
      <c r="X92" s="6"/>
      <c r="Y92" s="5"/>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7"/>
      <c r="BD92" s="8"/>
      <c r="BE92" s="27"/>
      <c r="BF92" s="9"/>
      <c r="BG92" s="5"/>
      <c r="BH92" s="5"/>
      <c r="BI92" s="10"/>
      <c r="BJ92" s="10"/>
      <c r="BK92" s="10"/>
      <c r="BL92" s="10"/>
      <c r="BM92" s="6"/>
      <c r="BN92" s="6"/>
      <c r="BO92" s="11"/>
      <c r="BP92" s="6"/>
    </row>
    <row r="93" spans="1:68" x14ac:dyDescent="0.25">
      <c r="A93" s="12" t="s">
        <v>245</v>
      </c>
      <c r="B93" s="4">
        <v>94</v>
      </c>
      <c r="C93" s="34">
        <v>-77.119563999999997</v>
      </c>
      <c r="D93" s="34">
        <v>39.061248999999997</v>
      </c>
      <c r="E93" s="12" t="s">
        <v>245</v>
      </c>
      <c r="F93" s="5" t="s">
        <v>241</v>
      </c>
      <c r="G93" s="5"/>
      <c r="H93" s="5"/>
      <c r="I93" s="5"/>
      <c r="J93" s="5"/>
      <c r="K93" s="6" t="s">
        <v>33</v>
      </c>
      <c r="L93" s="6" t="s">
        <v>215</v>
      </c>
      <c r="M93" s="6"/>
      <c r="N93" s="6"/>
      <c r="O93" s="6"/>
      <c r="P93" s="5"/>
      <c r="Q93" s="5"/>
      <c r="R93" s="5"/>
      <c r="S93" s="5"/>
      <c r="T93" s="5"/>
      <c r="U93" s="5"/>
      <c r="V93" s="6"/>
      <c r="W93" s="6"/>
      <c r="X93" s="6"/>
      <c r="Y93" s="5"/>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7"/>
      <c r="BD93" s="8"/>
      <c r="BE93" s="27"/>
      <c r="BF93" s="9"/>
      <c r="BG93" s="5"/>
      <c r="BH93" s="5"/>
      <c r="BI93" s="10"/>
      <c r="BJ93" s="10"/>
      <c r="BK93" s="10"/>
      <c r="BL93" s="10"/>
      <c r="BM93" s="6"/>
      <c r="BN93" s="6"/>
      <c r="BO93" s="11"/>
      <c r="BP93" s="6"/>
    </row>
    <row r="94" spans="1:68" x14ac:dyDescent="0.25">
      <c r="A94" s="12" t="s">
        <v>246</v>
      </c>
      <c r="B94" s="4">
        <v>95</v>
      </c>
      <c r="C94" s="34">
        <v>-77.051232999999996</v>
      </c>
      <c r="D94" s="34">
        <v>39.039413000000003</v>
      </c>
      <c r="E94" s="12" t="s">
        <v>246</v>
      </c>
      <c r="F94" s="5" t="s">
        <v>241</v>
      </c>
      <c r="G94" s="5"/>
      <c r="H94" s="5"/>
      <c r="I94" s="5"/>
      <c r="J94" s="5"/>
      <c r="K94" s="6" t="s">
        <v>33</v>
      </c>
      <c r="L94" s="6" t="s">
        <v>215</v>
      </c>
      <c r="M94" s="6"/>
      <c r="N94" s="6"/>
      <c r="O94" s="6"/>
      <c r="P94" s="5"/>
      <c r="Q94" s="5"/>
      <c r="R94" s="5"/>
      <c r="S94" s="5"/>
      <c r="T94" s="5"/>
      <c r="U94" s="5"/>
      <c r="V94" s="6"/>
      <c r="W94" s="6"/>
      <c r="X94" s="6"/>
      <c r="Y94" s="5"/>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7"/>
      <c r="BD94" s="8"/>
      <c r="BE94" s="27"/>
      <c r="BF94" s="9"/>
      <c r="BG94" s="6"/>
      <c r="BH94" s="5"/>
      <c r="BI94" s="10"/>
      <c r="BJ94" s="10"/>
      <c r="BK94" s="10"/>
      <c r="BL94" s="10"/>
      <c r="BM94" s="6"/>
      <c r="BN94" s="6"/>
      <c r="BO94" s="11"/>
      <c r="BP94" s="6"/>
    </row>
    <row r="95" spans="1:68" x14ac:dyDescent="0.25">
      <c r="A95" s="12" t="s">
        <v>247</v>
      </c>
      <c r="B95" s="4">
        <v>96</v>
      </c>
      <c r="C95" s="34">
        <v>-77.112110000000001</v>
      </c>
      <c r="D95" s="34">
        <v>39.048597999999998</v>
      </c>
      <c r="E95" s="12" t="s">
        <v>247</v>
      </c>
      <c r="F95" s="5" t="s">
        <v>241</v>
      </c>
      <c r="G95" s="5"/>
      <c r="H95" s="5"/>
      <c r="I95" s="5"/>
      <c r="J95" s="5"/>
      <c r="K95" s="6" t="s">
        <v>33</v>
      </c>
      <c r="L95" s="6" t="s">
        <v>215</v>
      </c>
      <c r="M95" s="6"/>
      <c r="N95" s="6"/>
      <c r="O95" s="6"/>
      <c r="P95" s="5"/>
      <c r="Q95" s="5"/>
      <c r="R95" s="5"/>
      <c r="S95" s="5"/>
      <c r="T95" s="5"/>
      <c r="U95" s="5"/>
      <c r="V95" s="6"/>
      <c r="W95" s="6"/>
      <c r="X95" s="6"/>
      <c r="Y95" s="5"/>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7"/>
      <c r="BD95" s="8"/>
      <c r="BE95" s="27"/>
      <c r="BF95" s="9"/>
      <c r="BG95" s="6"/>
      <c r="BH95" s="5"/>
      <c r="BI95" s="10"/>
      <c r="BJ95" s="10"/>
      <c r="BK95" s="10"/>
      <c r="BL95" s="10"/>
      <c r="BM95" s="6"/>
      <c r="BN95" s="6"/>
      <c r="BO95" s="11"/>
      <c r="BP95" s="6"/>
    </row>
    <row r="96" spans="1:68" x14ac:dyDescent="0.25">
      <c r="F96" s="13"/>
      <c r="G96" s="13"/>
      <c r="H96" s="13"/>
      <c r="I96" s="13"/>
      <c r="J96" s="13"/>
      <c r="S96" s="16"/>
      <c r="Y96"/>
    </row>
    <row r="97" spans="18:25" x14ac:dyDescent="0.25">
      <c r="S97" s="16"/>
      <c r="Y97"/>
    </row>
    <row r="98" spans="18:25" x14ac:dyDescent="0.25">
      <c r="S98" s="16"/>
      <c r="Y98"/>
    </row>
    <row r="99" spans="18:25" x14ac:dyDescent="0.25">
      <c r="R99" s="14"/>
    </row>
    <row r="100" spans="18:25" x14ac:dyDescent="0.25">
      <c r="R100" s="14"/>
    </row>
    <row r="101" spans="18:25" x14ac:dyDescent="0.25">
      <c r="R101" s="14"/>
    </row>
    <row r="102" spans="18:25" x14ac:dyDescent="0.25">
      <c r="R102" s="14"/>
    </row>
    <row r="103" spans="18:25" x14ac:dyDescent="0.25">
      <c r="R103" s="14"/>
    </row>
    <row r="104" spans="18:25" x14ac:dyDescent="0.25">
      <c r="R104" s="14"/>
    </row>
    <row r="105" spans="18:25" x14ac:dyDescent="0.25">
      <c r="R105" s="14"/>
    </row>
    <row r="106" spans="18:25" x14ac:dyDescent="0.25">
      <c r="R106" s="14"/>
    </row>
    <row r="107" spans="18:25" x14ac:dyDescent="0.25">
      <c r="R107" s="15"/>
    </row>
    <row r="108" spans="18:25" x14ac:dyDescent="0.25">
      <c r="R108" s="15"/>
    </row>
    <row r="109" spans="18:25" x14ac:dyDescent="0.25">
      <c r="R109" s="14"/>
    </row>
    <row r="110" spans="18:25" x14ac:dyDescent="0.25">
      <c r="R110" s="14"/>
    </row>
    <row r="111" spans="18:25" x14ac:dyDescent="0.25">
      <c r="R111" s="15"/>
    </row>
    <row r="112" spans="18:25" x14ac:dyDescent="0.25">
      <c r="R112" s="15"/>
    </row>
    <row r="113" spans="18:18" x14ac:dyDescent="0.25">
      <c r="R113" s="14"/>
    </row>
    <row r="114" spans="18:18" x14ac:dyDescent="0.25">
      <c r="R114" s="15"/>
    </row>
    <row r="115" spans="18:18" x14ac:dyDescent="0.25">
      <c r="R115" s="14"/>
    </row>
    <row r="116" spans="18:18" x14ac:dyDescent="0.25">
      <c r="R116" s="14"/>
    </row>
    <row r="117" spans="18:18" x14ac:dyDescent="0.25">
      <c r="R117" s="15"/>
    </row>
    <row r="118" spans="18:18" x14ac:dyDescent="0.25">
      <c r="R118" s="15"/>
    </row>
    <row r="119" spans="18:18" x14ac:dyDescent="0.25">
      <c r="R119" s="15"/>
    </row>
    <row r="120" spans="18:18" x14ac:dyDescent="0.25">
      <c r="R120" s="15"/>
    </row>
    <row r="121" spans="18:18" x14ac:dyDescent="0.25">
      <c r="R121" s="15"/>
    </row>
    <row r="122" spans="18:18" x14ac:dyDescent="0.25">
      <c r="R122" s="15"/>
    </row>
    <row r="123" spans="18:18" x14ac:dyDescent="0.25">
      <c r="R123" s="14"/>
    </row>
    <row r="124" spans="18:18" x14ac:dyDescent="0.25">
      <c r="R124" s="14"/>
    </row>
    <row r="125" spans="18:18" x14ac:dyDescent="0.25">
      <c r="R125" s="14"/>
    </row>
    <row r="126" spans="18:18" x14ac:dyDescent="0.25">
      <c r="R126" s="14"/>
    </row>
    <row r="127" spans="18:18" x14ac:dyDescent="0.25">
      <c r="R127" s="14"/>
    </row>
    <row r="128" spans="18:18" x14ac:dyDescent="0.25">
      <c r="R128" s="14"/>
    </row>
    <row r="129" spans="18:18" x14ac:dyDescent="0.25">
      <c r="R129" s="14"/>
    </row>
    <row r="130" spans="18:18" x14ac:dyDescent="0.25">
      <c r="R130" s="14"/>
    </row>
    <row r="131" spans="18:18" x14ac:dyDescent="0.25">
      <c r="R131" s="14"/>
    </row>
    <row r="132" spans="18:18" x14ac:dyDescent="0.25">
      <c r="R132" s="14"/>
    </row>
    <row r="133" spans="18:18" x14ac:dyDescent="0.25">
      <c r="R133" s="14"/>
    </row>
    <row r="134" spans="18:18" x14ac:dyDescent="0.25">
      <c r="R134" s="14"/>
    </row>
    <row r="135" spans="18:18" x14ac:dyDescent="0.25">
      <c r="R135" s="15"/>
    </row>
    <row r="136" spans="18:18" x14ac:dyDescent="0.25">
      <c r="R136" s="15"/>
    </row>
    <row r="137" spans="18:18" x14ac:dyDescent="0.25">
      <c r="R137" s="14"/>
    </row>
    <row r="138" spans="18:18" x14ac:dyDescent="0.25">
      <c r="R138" s="14"/>
    </row>
    <row r="139" spans="18:18" x14ac:dyDescent="0.25">
      <c r="R139" s="15"/>
    </row>
    <row r="140" spans="18:18" x14ac:dyDescent="0.25">
      <c r="R140" s="15"/>
    </row>
    <row r="141" spans="18:18" x14ac:dyDescent="0.25">
      <c r="R141" s="14"/>
    </row>
    <row r="142" spans="18:18" x14ac:dyDescent="0.25">
      <c r="R142" s="15"/>
    </row>
    <row r="143" spans="18:18" x14ac:dyDescent="0.25">
      <c r="R143" s="14"/>
    </row>
    <row r="144" spans="18:18" x14ac:dyDescent="0.25">
      <c r="R144" s="14"/>
    </row>
    <row r="145" spans="18:18" x14ac:dyDescent="0.25">
      <c r="R145" s="15"/>
    </row>
    <row r="146" spans="18:18" x14ac:dyDescent="0.25">
      <c r="R146" s="14"/>
    </row>
    <row r="147" spans="18:18" x14ac:dyDescent="0.25">
      <c r="R147" s="14"/>
    </row>
  </sheetData>
  <sortState ref="A3:DB146">
    <sortCondition ref="B1"/>
  </sortState>
  <mergeCells count="8">
    <mergeCell ref="BM1:BP1"/>
    <mergeCell ref="E1:O1"/>
    <mergeCell ref="P1:U1"/>
    <mergeCell ref="AN1:AU1"/>
    <mergeCell ref="AV1:BF1"/>
    <mergeCell ref="V1:AM1"/>
    <mergeCell ref="BG1:BH1"/>
    <mergeCell ref="BI1:BL1"/>
  </mergeCells>
  <conditionalFormatting sqref="E1:E1048576">
    <cfRule type="duplicateValues" dxfId="68" priority="1"/>
  </conditionalFormatting>
  <hyperlinks>
    <hyperlink ref="BO75" r:id="rId1"/>
    <hyperlink ref="BO76" r:id="rId2"/>
    <hyperlink ref="BO6" r:id="rId3"/>
    <hyperlink ref="BO7" r:id="rId4"/>
    <hyperlink ref="BO8" r:id="rId5"/>
    <hyperlink ref="BO9" r:id="rId6"/>
    <hyperlink ref="BO10" r:id="rId7"/>
    <hyperlink ref="BO11" r:id="rId8"/>
    <hyperlink ref="BO12" r:id="rId9"/>
    <hyperlink ref="BO13" r:id="rId10"/>
    <hyperlink ref="BO14" r:id="rId11"/>
    <hyperlink ref="BO15" r:id="rId12"/>
    <hyperlink ref="BO16" r:id="rId13"/>
    <hyperlink ref="BO17" r:id="rId14"/>
    <hyperlink ref="BO18" r:id="rId15"/>
    <hyperlink ref="BO19" r:id="rId16"/>
    <hyperlink ref="BO20" r:id="rId17" location=".VCLVo5RdWX0"/>
    <hyperlink ref="BO21" r:id="rId18" location=".VCLVo5RdWX0"/>
    <hyperlink ref="BO22" r:id="rId19" location=".VCLVo5RdWX0"/>
    <hyperlink ref="BO23" r:id="rId20" location=".VCLVo5RdWX0"/>
    <hyperlink ref="BO24" r:id="rId21" location=".VCLVo5RdWX0"/>
    <hyperlink ref="BO25" r:id="rId22" location=".VCLVo5RdWX0"/>
    <hyperlink ref="BO26" r:id="rId23" location=".VCLVo5RdWX0"/>
    <hyperlink ref="BO27" r:id="rId24"/>
    <hyperlink ref="BO28" r:id="rId25"/>
    <hyperlink ref="BO29" r:id="rId26"/>
    <hyperlink ref="BO30" r:id="rId27"/>
    <hyperlink ref="BO31" r:id="rId28"/>
    <hyperlink ref="BO32" r:id="rId29"/>
    <hyperlink ref="BO33" r:id="rId30"/>
    <hyperlink ref="BO34" r:id="rId31"/>
    <hyperlink ref="BO35" r:id="rId32"/>
    <hyperlink ref="BO36" r:id="rId33"/>
    <hyperlink ref="BO37" r:id="rId34"/>
    <hyperlink ref="BO38" r:id="rId35"/>
    <hyperlink ref="BO39" r:id="rId36"/>
    <hyperlink ref="BO40" r:id="rId37"/>
    <hyperlink ref="BO41" r:id="rId38"/>
    <hyperlink ref="BO42" r:id="rId39"/>
    <hyperlink ref="BO43" r:id="rId40"/>
    <hyperlink ref="BO44" r:id="rId41"/>
    <hyperlink ref="BO45" r:id="rId42"/>
    <hyperlink ref="BO46" r:id="rId43"/>
    <hyperlink ref="BO47" r:id="rId44"/>
    <hyperlink ref="BO48" r:id="rId45"/>
    <hyperlink ref="BO49" r:id="rId46"/>
    <hyperlink ref="BO50" r:id="rId47"/>
    <hyperlink ref="BO51" r:id="rId48"/>
    <hyperlink ref="BO52" r:id="rId49"/>
    <hyperlink ref="BO53" r:id="rId50"/>
    <hyperlink ref="BO54" r:id="rId51"/>
    <hyperlink ref="BO4" r:id="rId52"/>
    <hyperlink ref="BO55" r:id="rId53"/>
    <hyperlink ref="BO56" r:id="rId54"/>
    <hyperlink ref="BO57" r:id="rId55" location=".VCLVo5RdWX0"/>
    <hyperlink ref="BO58" r:id="rId56" location=".VCLVo5RdWX0"/>
    <hyperlink ref="BO59" r:id="rId57"/>
    <hyperlink ref="BO60" r:id="rId58"/>
    <hyperlink ref="BO61" r:id="rId59"/>
    <hyperlink ref="BO5" r:id="rId60"/>
    <hyperlink ref="BO62" r:id="rId61"/>
    <hyperlink ref="BO67" r:id="rId62"/>
    <hyperlink ref="BO68" r:id="rId63"/>
    <hyperlink ref="BO69" r:id="rId64"/>
    <hyperlink ref="BO71" r:id="rId65"/>
    <hyperlink ref="BP6" r:id="rId66"/>
    <hyperlink ref="BP9" r:id="rId67"/>
    <hyperlink ref="BP15" r:id="rId68"/>
    <hyperlink ref="BP30" r:id="rId69"/>
    <hyperlink ref="BP36" r:id="rId70"/>
    <hyperlink ref="BP8" r:id="rId71"/>
    <hyperlink ref="BP52" r:id="rId72"/>
    <hyperlink ref="BP58" r:id="rId73"/>
    <hyperlink ref="BP65" r:id="rId74"/>
    <hyperlink ref="BP67" r:id="rId75"/>
    <hyperlink ref="BO89" r:id="rId76"/>
    <hyperlink ref="BO88" r:id="rId77"/>
    <hyperlink ref="BO87" r:id="rId78"/>
    <hyperlink ref="BO86" r:id="rId79"/>
    <hyperlink ref="BO83" r:id="rId80"/>
    <hyperlink ref="BO85" r:id="rId81"/>
    <hyperlink ref="BO84" r:id="rId82"/>
    <hyperlink ref="BO82" r:id="rId83"/>
    <hyperlink ref="BO81" r:id="rId84"/>
    <hyperlink ref="BO80" r:id="rId85"/>
    <hyperlink ref="BO79" r:id="rId86"/>
    <hyperlink ref="BO78" r:id="rId87"/>
    <hyperlink ref="BO77" r:id="rId88"/>
  </hyperlinks>
  <pageMargins left="0.7" right="0.7" top="0.75" bottom="0.75" header="0.3" footer="0.3"/>
  <pageSetup orientation="portrait" r:id="rId89"/>
  <legacyDrawing r:id="rId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workbookViewId="0">
      <selection activeCell="E55" sqref="E55"/>
    </sheetView>
  </sheetViews>
  <sheetFormatPr defaultRowHeight="15" x14ac:dyDescent="0.25"/>
  <cols>
    <col min="1" max="1" width="30.140625" bestFit="1" customWidth="1"/>
    <col min="2" max="2" width="11.7109375" customWidth="1"/>
    <col min="4" max="4" width="15.85546875" style="16" customWidth="1"/>
    <col min="5" max="5" width="24.5703125" style="16" customWidth="1"/>
    <col min="6" max="6" width="16.5703125" style="16" customWidth="1"/>
    <col min="7" max="7" width="25" style="16" customWidth="1"/>
    <col min="8" max="8" width="24.28515625" style="16" customWidth="1"/>
    <col min="9" max="10" width="26.28515625" customWidth="1"/>
    <col min="11" max="11" width="27" customWidth="1"/>
    <col min="12" max="12" width="27.140625" customWidth="1"/>
    <col min="13" max="13" width="28" customWidth="1"/>
    <col min="14" max="14" width="13.140625" customWidth="1"/>
    <col min="15" max="15" width="13.42578125" customWidth="1"/>
    <col min="16" max="16" width="14.5703125" bestFit="1" customWidth="1"/>
  </cols>
  <sheetData>
    <row r="1" spans="1:16" ht="67.5" customHeight="1" x14ac:dyDescent="0.25">
      <c r="A1" s="78" t="s">
        <v>9</v>
      </c>
      <c r="B1" s="78" t="s">
        <v>10</v>
      </c>
      <c r="C1" s="79" t="s">
        <v>258</v>
      </c>
      <c r="D1" s="79" t="s">
        <v>378</v>
      </c>
      <c r="E1" s="70" t="s">
        <v>374</v>
      </c>
      <c r="F1" s="79" t="s">
        <v>368</v>
      </c>
      <c r="G1" s="70" t="s">
        <v>373</v>
      </c>
      <c r="H1" s="79" t="s">
        <v>369</v>
      </c>
      <c r="I1" s="70" t="s">
        <v>375</v>
      </c>
      <c r="J1" s="80" t="s">
        <v>370</v>
      </c>
      <c r="K1" s="70" t="s">
        <v>376</v>
      </c>
      <c r="L1" s="80" t="s">
        <v>371</v>
      </c>
      <c r="M1" s="70" t="s">
        <v>377</v>
      </c>
      <c r="N1" s="79" t="s">
        <v>16</v>
      </c>
      <c r="O1" s="81" t="s">
        <v>422</v>
      </c>
      <c r="P1" s="70" t="s">
        <v>423</v>
      </c>
    </row>
    <row r="2" spans="1:16" x14ac:dyDescent="0.25">
      <c r="A2" s="82" t="s">
        <v>110</v>
      </c>
      <c r="B2" s="83">
        <v>2</v>
      </c>
      <c r="C2" s="14">
        <v>5</v>
      </c>
      <c r="D2" s="14">
        <v>8</v>
      </c>
      <c r="E2" s="14" t="str">
        <f>IF(PERCENTRANK(Table5[Lines/ Modes Aggregate], D2) &lt; 1/5, "1", IF(PERCENTRANK(Table5[Lines/ Modes Aggregate], D2) &lt; 2/5, "2", IF(PERCENTRANK(Table5[Lines/ Modes Aggregate], D2) &lt; 3/5, "3", IF(PERCENTRANK(Table5[Lines/ Modes Aggregate], D2) &lt; 4/5, "4", "5"))))</f>
        <v>5</v>
      </c>
      <c r="F2" s="14">
        <v>5</v>
      </c>
      <c r="G2" s="14" t="str">
        <f>IF(PERCENTRANK(Table5[Local Bus/Shuttle Routes], F2) &lt; 1/5, "1", IF(PERCENTRANK(Table5[Local Bus/Shuttle Routes], F2) &lt; 2/5, "2", IF(PERCENTRANK(Table5[Local Bus/Shuttle Routes], F2) &lt; 3/5, "3", IF(PERCENTRANK(Table5[Local Bus/Shuttle Routes], F2) &lt; 4/5, "4", "5"))))</f>
        <v>4</v>
      </c>
      <c r="H2" s="84">
        <v>3990.3941379310345</v>
      </c>
      <c r="I2" s="84" t="str">
        <f>IF(PERCENTRANK(Table5[Total Weekday Ridership], H2) &lt; 1/5, "1", IF(PERCENTRANK(Table5[Total Weekday Ridership], H2) &lt; 2/5, "2", IF(PERCENTRANK(Table5[Total Weekday Ridership], H2) &lt; 3/5, "3", IF(PERCENTRANK(Table5[Total Weekday Ridership], H2) &lt; 4/5, "4", "5"))))</f>
        <v>5</v>
      </c>
      <c r="J2" s="21">
        <v>58</v>
      </c>
      <c r="K2" s="21" t="str">
        <f>IF(PERCENTRANK(Table5[Total Weekday Frequency of Service], J2) &lt; 1/5, "1", IF(PERCENTRANK(Table5[Total Weekday Frequency of Service], J2) &lt; 2/5, "2", IF(PERCENTRANK(Table5[Total Weekday Frequency of Service], J2) &lt; 3/5, "3", IF(PERCENTRANK(Table5[Total Weekday Frequency of Service], J2) &lt; 4/5, "4", "5"))))</f>
        <v>3</v>
      </c>
      <c r="L2" s="14">
        <v>18</v>
      </c>
      <c r="M2" s="21" t="str">
        <f>IF(PERCENTRANK(Table5[Total Weekend Frequency of Service], L2) &lt; 1/5, "1", IF(PERCENTRANK(Table5[Total Weekend Frequency of Service], L2) &lt; 2/5, "2", IF(PERCENTRANK(Table5[Total Weekend Frequency of Service], L2) &lt; 3/5, "3", IF(PERCENTRANK(Table5[Total Weekend Frequency of Service], L2) &lt; 4/5, "4", "5"))))</f>
        <v>4</v>
      </c>
      <c r="N2" s="14">
        <f>Table5[[#This Row],[Weekend Frequency Grade]]+Table5[[#This Row],[Weekday Frequency Grade]]+Table5[[#This Row],[Weekday Ridership Grade]]+Table5[[#This Row],[Local Bus/Shuttle Grade]]+Table5[[#This Row],[Lines/Modes Grade]]</f>
        <v>21</v>
      </c>
      <c r="O2" s="21" t="str">
        <f>IF(PERCENTRANK(Table5[Transit Score], N2) &lt; 1/5, "1", IF(PERCENTRANK(Table5[Transit Score], N2) &lt; 2/5, "2", IF(PERCENTRANK(Table5[Transit Score], N2) &lt; 3/5, "3", IF(PERCENTRANK(Table5[Transit Score], N2) &lt; 4/5, "4", "5"))))</f>
        <v>5</v>
      </c>
      <c r="P2" s="21" t="str">
        <f>IF(PERCENTRANK(Table5[Transit Score], N2) &lt; 1/5, "LOW", IF(PERCENTRANK(Table5[Transit Score], N2) &lt; 2/5, "MEDIUM-LOW", IF(PERCENTRANK(Table5[Transit Score], N2) &lt; 3/5, "MEDIUM", IF(PERCENTRANK(Table5[Transit Score], N2) &lt; 4/5, "MEDIUM-HIGH", "HIGH"))))</f>
        <v>HIGH</v>
      </c>
    </row>
    <row r="3" spans="1:16" x14ac:dyDescent="0.25">
      <c r="A3" s="82" t="s">
        <v>266</v>
      </c>
      <c r="B3" s="83">
        <v>3</v>
      </c>
      <c r="C3" s="14">
        <v>5</v>
      </c>
      <c r="D3" s="14">
        <v>8</v>
      </c>
      <c r="E3" s="14" t="str">
        <f>IF(PERCENTRANK(Table5[Lines/ Modes Aggregate], D3) &lt; 1/5, "1", IF(PERCENTRANK(Table5[Lines/ Modes Aggregate], D3) &lt; 2/5, "2", IF(PERCENTRANK(Table5[Lines/ Modes Aggregate], D3) &lt; 3/5, "3", IF(PERCENTRANK(Table5[Lines/ Modes Aggregate], D3) &lt; 4/5, "4", "5"))))</f>
        <v>5</v>
      </c>
      <c r="F3" s="14">
        <v>9</v>
      </c>
      <c r="G3" s="14" t="str">
        <f>IF(PERCENTRANK(Table5[Local Bus/Shuttle Routes], F3) &lt; 1/5, "1", IF(PERCENTRANK(Table5[Local Bus/Shuttle Routes], F3) &lt; 2/5, "2", IF(PERCENTRANK(Table5[Local Bus/Shuttle Routes], F3) &lt; 3/5, "3", IF(PERCENTRANK(Table5[Local Bus/Shuttle Routes], F3) &lt; 4/5, "4", "5"))))</f>
        <v>5</v>
      </c>
      <c r="H3" s="84">
        <v>1041.7565229885058</v>
      </c>
      <c r="I3" s="84" t="str">
        <f>IF(PERCENTRANK(Table5[Total Weekday Ridership], H3) &lt; 1/5, "1", IF(PERCENTRANK(Table5[Total Weekday Ridership], H3) &lt; 2/5, "2", IF(PERCENTRANK(Table5[Total Weekday Ridership], H3) &lt; 3/5, "3", IF(PERCENTRANK(Table5[Total Weekday Ridership], H3) &lt; 4/5, "4", "5"))))</f>
        <v>4</v>
      </c>
      <c r="J3" s="21">
        <v>18</v>
      </c>
      <c r="K3" s="21" t="str">
        <f>IF(PERCENTRANK(Table5[Total Weekday Frequency of Service], J3) &lt; 1/5, "1", IF(PERCENTRANK(Table5[Total Weekday Frequency of Service], J3) &lt; 2/5, "2", IF(PERCENTRANK(Table5[Total Weekday Frequency of Service], J3) &lt; 3/5, "3", IF(PERCENTRANK(Table5[Total Weekday Frequency of Service], J3) &lt; 4/5, "4", "5"))))</f>
        <v>2</v>
      </c>
      <c r="L3" s="14">
        <v>0</v>
      </c>
      <c r="M3" s="21" t="str">
        <f>IF(PERCENTRANK(Table5[Total Weekend Frequency of Service], L3) &lt; 1/5, "1", IF(PERCENTRANK(Table5[Total Weekend Frequency of Service], L3) &lt; 2/5, "2", IF(PERCENTRANK(Table5[Total Weekend Frequency of Service], L3) &lt; 3/5, "3", IF(PERCENTRANK(Table5[Total Weekend Frequency of Service], L3) &lt; 4/5, "4", "5"))))</f>
        <v>1</v>
      </c>
      <c r="N3" s="14">
        <f>Table5[[#This Row],[Weekend Frequency Grade]]+Table5[[#This Row],[Weekday Frequency Grade]]+Table5[[#This Row],[Weekday Ridership Grade]]+Table5[[#This Row],[Local Bus/Shuttle Grade]]+Table5[[#This Row],[Lines/Modes Grade]]</f>
        <v>17</v>
      </c>
      <c r="O3" s="21" t="str">
        <f>IF(PERCENTRANK(Table5[Transit Score], N3) &lt; 1/5, "1", IF(PERCENTRANK(Table5[Transit Score], N3) &lt; 2/5, "2", IF(PERCENTRANK(Table5[Transit Score], N3) &lt; 3/5, "3", IF(PERCENTRANK(Table5[Transit Score], N3) &lt; 4/5, "4", "5"))))</f>
        <v>4</v>
      </c>
      <c r="P3" s="21" t="str">
        <f>IF(PERCENTRANK(Table5[Transit Score], N3) &lt; 1/5, "LOW", IF(PERCENTRANK(Table5[Transit Score], N3) &lt; 2/5, "MEDIUM-LOW", IF(PERCENTRANK(Table5[Transit Score], N3) &lt; 3/5, "MEDIUM", IF(PERCENTRANK(Table5[Transit Score], N3) &lt; 4/5, "MEDIUM-HIGH", "HIGH"))))</f>
        <v>MEDIUM-HIGH</v>
      </c>
    </row>
    <row r="4" spans="1:16" x14ac:dyDescent="0.25">
      <c r="A4" s="83" t="s">
        <v>32</v>
      </c>
      <c r="B4" s="83">
        <v>4</v>
      </c>
      <c r="C4" s="14">
        <v>2</v>
      </c>
      <c r="D4" s="14">
        <v>3</v>
      </c>
      <c r="E4" s="14" t="str">
        <f>IF(PERCENTRANK(Table5[Lines/ Modes Aggregate], D4) &lt; 1/5, "1", IF(PERCENTRANK(Table5[Lines/ Modes Aggregate], D4) &lt; 2/5, "2", IF(PERCENTRANK(Table5[Lines/ Modes Aggregate], D4) &lt; 3/5, "3", IF(PERCENTRANK(Table5[Lines/ Modes Aggregate], D4) &lt; 4/5, "4", "5"))))</f>
        <v>1</v>
      </c>
      <c r="F4" s="14">
        <v>2</v>
      </c>
      <c r="G4" s="14" t="str">
        <f>IF(PERCENTRANK(Table5[Local Bus/Shuttle Routes], F4) &lt; 1/5, "1", IF(PERCENTRANK(Table5[Local Bus/Shuttle Routes], F4) &lt; 2/5, "2", IF(PERCENTRANK(Table5[Local Bus/Shuttle Routes], F4) &lt; 3/5, "3", IF(PERCENTRANK(Table5[Local Bus/Shuttle Routes], F4) &lt; 4/5, "4", "5"))))</f>
        <v>2</v>
      </c>
      <c r="H4" s="84">
        <v>4516</v>
      </c>
      <c r="I4" s="84" t="str">
        <f>IF(PERCENTRANK(Table5[Total Weekday Ridership], H4) &lt; 1/5, "1", IF(PERCENTRANK(Table5[Total Weekday Ridership], H4) &lt; 2/5, "2", IF(PERCENTRANK(Table5[Total Weekday Ridership], H4) &lt; 3/5, "3", IF(PERCENTRANK(Table5[Total Weekday Ridership], H4) &lt; 4/5, "4", "5"))))</f>
        <v>5</v>
      </c>
      <c r="J4" s="21">
        <v>240</v>
      </c>
      <c r="K4" s="21" t="str">
        <f>IF(PERCENTRANK(Table5[Total Weekday Frequency of Service], J4) &lt; 1/5, "1", IF(PERCENTRANK(Table5[Total Weekday Frequency of Service], J4) &lt; 2/5, "2", IF(PERCENTRANK(Table5[Total Weekday Frequency of Service], J4) &lt; 3/5, "3", IF(PERCENTRANK(Table5[Total Weekday Frequency of Service], J4) &lt; 4/5, "4", "5"))))</f>
        <v>5</v>
      </c>
      <c r="L4" s="14">
        <v>144</v>
      </c>
      <c r="M4" s="21" t="str">
        <f>IF(PERCENTRANK(Table5[Total Weekend Frequency of Service], L4) &lt; 1/5, "1", IF(PERCENTRANK(Table5[Total Weekend Frequency of Service], L4) &lt; 2/5, "2", IF(PERCENTRANK(Table5[Total Weekend Frequency of Service], L4) &lt; 3/5, "3", IF(PERCENTRANK(Table5[Total Weekend Frequency of Service], L4) &lt; 4/5, "4", "5"))))</f>
        <v>5</v>
      </c>
      <c r="N4" s="14">
        <f>Table5[[#This Row],[Weekend Frequency Grade]]+Table5[[#This Row],[Weekday Frequency Grade]]+Table5[[#This Row],[Weekday Ridership Grade]]+Table5[[#This Row],[Local Bus/Shuttle Grade]]+Table5[[#This Row],[Lines/Modes Grade]]</f>
        <v>18</v>
      </c>
      <c r="O4" s="21" t="str">
        <f>IF(PERCENTRANK(Table5[Transit Score], N4) &lt; 1/5, "1", IF(PERCENTRANK(Table5[Transit Score], N4) &lt; 2/5, "2", IF(PERCENTRANK(Table5[Transit Score], N4) &lt; 3/5, "3", IF(PERCENTRANK(Table5[Transit Score], N4) &lt; 4/5, "4", "5"))))</f>
        <v>4</v>
      </c>
      <c r="P4" s="21" t="str">
        <f>IF(PERCENTRANK(Table5[Transit Score], N4) &lt; 1/5, "LOW", IF(PERCENTRANK(Table5[Transit Score], N4) &lt; 2/5, "MEDIUM-LOW", IF(PERCENTRANK(Table5[Transit Score], N4) &lt; 3/5, "MEDIUM", IF(PERCENTRANK(Table5[Transit Score], N4) &lt; 4/5, "MEDIUM-HIGH", "HIGH"))))</f>
        <v>MEDIUM-HIGH</v>
      </c>
    </row>
    <row r="5" spans="1:16" x14ac:dyDescent="0.25">
      <c r="A5" s="83" t="s">
        <v>41</v>
      </c>
      <c r="B5" s="83">
        <v>5</v>
      </c>
      <c r="C5" s="14">
        <v>2</v>
      </c>
      <c r="D5" s="14">
        <v>3</v>
      </c>
      <c r="E5" s="14" t="str">
        <f>IF(PERCENTRANK(Table5[Lines/ Modes Aggregate], D5) &lt; 1/5, "1", IF(PERCENTRANK(Table5[Lines/ Modes Aggregate], D5) &lt; 2/5, "2", IF(PERCENTRANK(Table5[Lines/ Modes Aggregate], D5) &lt; 3/5, "3", IF(PERCENTRANK(Table5[Lines/ Modes Aggregate], D5) &lt; 4/5, "4", "5"))))</f>
        <v>1</v>
      </c>
      <c r="F5" s="14">
        <v>4</v>
      </c>
      <c r="G5" s="14" t="str">
        <f>IF(PERCENTRANK(Table5[Local Bus/Shuttle Routes], F5) &lt; 1/5, "1", IF(PERCENTRANK(Table5[Local Bus/Shuttle Routes], F5) &lt; 2/5, "2", IF(PERCENTRANK(Table5[Local Bus/Shuttle Routes], F5) &lt; 3/5, "3", IF(PERCENTRANK(Table5[Local Bus/Shuttle Routes], F5) &lt; 4/5, "4", "5"))))</f>
        <v>4</v>
      </c>
      <c r="H5" s="84">
        <v>1493</v>
      </c>
      <c r="I5" s="84" t="str">
        <f>IF(PERCENTRANK(Table5[Total Weekday Ridership], H5) &lt; 1/5, "1", IF(PERCENTRANK(Table5[Total Weekday Ridership], H5) &lt; 2/5, "2", IF(PERCENTRANK(Table5[Total Weekday Ridership], H5) &lt; 3/5, "3", IF(PERCENTRANK(Table5[Total Weekday Ridership], H5) &lt; 4/5, "4", "5"))))</f>
        <v>4</v>
      </c>
      <c r="J5" s="21">
        <v>240</v>
      </c>
      <c r="K5" s="21" t="str">
        <f>IF(PERCENTRANK(Table5[Total Weekday Frequency of Service], J5) &lt; 1/5, "1", IF(PERCENTRANK(Table5[Total Weekday Frequency of Service], J5) &lt; 2/5, "2", IF(PERCENTRANK(Table5[Total Weekday Frequency of Service], J5) &lt; 3/5, "3", IF(PERCENTRANK(Table5[Total Weekday Frequency of Service], J5) &lt; 4/5, "4", "5"))))</f>
        <v>5</v>
      </c>
      <c r="L5" s="14">
        <v>144</v>
      </c>
      <c r="M5" s="21" t="str">
        <f>IF(PERCENTRANK(Table5[Total Weekend Frequency of Service], L5) &lt; 1/5, "1", IF(PERCENTRANK(Table5[Total Weekend Frequency of Service], L5) &lt; 2/5, "2", IF(PERCENTRANK(Table5[Total Weekend Frequency of Service], L5) &lt; 3/5, "3", IF(PERCENTRANK(Table5[Total Weekend Frequency of Service], L5) &lt; 4/5, "4", "5"))))</f>
        <v>5</v>
      </c>
      <c r="N5" s="14">
        <f>Table5[[#This Row],[Weekend Frequency Grade]]+Table5[[#This Row],[Weekday Frequency Grade]]+Table5[[#This Row],[Weekday Ridership Grade]]+Table5[[#This Row],[Local Bus/Shuttle Grade]]+Table5[[#This Row],[Lines/Modes Grade]]</f>
        <v>19</v>
      </c>
      <c r="O5" s="21" t="str">
        <f>IF(PERCENTRANK(Table5[Transit Score], N5) &lt; 1/5, "1", IF(PERCENTRANK(Table5[Transit Score], N5) &lt; 2/5, "2", IF(PERCENTRANK(Table5[Transit Score], N5) &lt; 3/5, "3", IF(PERCENTRANK(Table5[Transit Score], N5) &lt; 4/5, "4", "5"))))</f>
        <v>4</v>
      </c>
      <c r="P5" s="21" t="str">
        <f>IF(PERCENTRANK(Table5[Transit Score], N5) &lt; 1/5, "LOW", IF(PERCENTRANK(Table5[Transit Score], N5) &lt; 2/5, "MEDIUM-LOW", IF(PERCENTRANK(Table5[Transit Score], N5) &lt; 3/5, "MEDIUM", IF(PERCENTRANK(Table5[Transit Score], N5) &lt; 4/5, "MEDIUM-HIGH", "HIGH"))))</f>
        <v>MEDIUM-HIGH</v>
      </c>
    </row>
    <row r="6" spans="1:16" x14ac:dyDescent="0.25">
      <c r="A6" s="83" t="s">
        <v>44</v>
      </c>
      <c r="B6" s="83">
        <v>6</v>
      </c>
      <c r="C6" s="14">
        <v>2</v>
      </c>
      <c r="D6" s="14">
        <v>3</v>
      </c>
      <c r="E6" s="14" t="str">
        <f>IF(PERCENTRANK(Table5[Lines/ Modes Aggregate], D6) &lt; 1/5, "1", IF(PERCENTRANK(Table5[Lines/ Modes Aggregate], D6) &lt; 2/5, "2", IF(PERCENTRANK(Table5[Lines/ Modes Aggregate], D6) &lt; 3/5, "3", IF(PERCENTRANK(Table5[Lines/ Modes Aggregate], D6) &lt; 4/5, "4", "5"))))</f>
        <v>1</v>
      </c>
      <c r="F6" s="14">
        <v>1</v>
      </c>
      <c r="G6" s="14" t="str">
        <f>IF(PERCENTRANK(Table5[Local Bus/Shuttle Routes], F6) &lt; 1/5, "1", IF(PERCENTRANK(Table5[Local Bus/Shuttle Routes], F6) &lt; 2/5, "2", IF(PERCENTRANK(Table5[Local Bus/Shuttle Routes], F6) &lt; 3/5, "3", IF(PERCENTRANK(Table5[Local Bus/Shuttle Routes], F6) &lt; 4/5, "4", "5"))))</f>
        <v>1</v>
      </c>
      <c r="H6" s="84">
        <v>1809</v>
      </c>
      <c r="I6" s="84" t="str">
        <f>IF(PERCENTRANK(Table5[Total Weekday Ridership], H6) &lt; 1/5, "1", IF(PERCENTRANK(Table5[Total Weekday Ridership], H6) &lt; 2/5, "2", IF(PERCENTRANK(Table5[Total Weekday Ridership], H6) &lt; 3/5, "3", IF(PERCENTRANK(Table5[Total Weekday Ridership], H6) &lt; 4/5, "4", "5"))))</f>
        <v>4</v>
      </c>
      <c r="J6" s="21">
        <v>240</v>
      </c>
      <c r="K6" s="21" t="str">
        <f>IF(PERCENTRANK(Table5[Total Weekday Frequency of Service], J6) &lt; 1/5, "1", IF(PERCENTRANK(Table5[Total Weekday Frequency of Service], J6) &lt; 2/5, "2", IF(PERCENTRANK(Table5[Total Weekday Frequency of Service], J6) &lt; 3/5, "3", IF(PERCENTRANK(Table5[Total Weekday Frequency of Service], J6) &lt; 4/5, "4", "5"))))</f>
        <v>5</v>
      </c>
      <c r="L6" s="14">
        <v>144</v>
      </c>
      <c r="M6" s="21" t="str">
        <f>IF(PERCENTRANK(Table5[Total Weekend Frequency of Service], L6) &lt; 1/5, "1", IF(PERCENTRANK(Table5[Total Weekend Frequency of Service], L6) &lt; 2/5, "2", IF(PERCENTRANK(Table5[Total Weekend Frequency of Service], L6) &lt; 3/5, "3", IF(PERCENTRANK(Table5[Total Weekend Frequency of Service], L6) &lt; 4/5, "4", "5"))))</f>
        <v>5</v>
      </c>
      <c r="N6" s="14">
        <f>Table5[[#This Row],[Weekend Frequency Grade]]+Table5[[#This Row],[Weekday Frequency Grade]]+Table5[[#This Row],[Weekday Ridership Grade]]+Table5[[#This Row],[Local Bus/Shuttle Grade]]+Table5[[#This Row],[Lines/Modes Grade]]</f>
        <v>16</v>
      </c>
      <c r="O6" s="21" t="str">
        <f>IF(PERCENTRANK(Table5[Transit Score], N6) &lt; 1/5, "1", IF(PERCENTRANK(Table5[Transit Score], N6) &lt; 2/5, "2", IF(PERCENTRANK(Table5[Transit Score], N6) &lt; 3/5, "3", IF(PERCENTRANK(Table5[Transit Score], N6) &lt; 4/5, "4", "5"))))</f>
        <v>4</v>
      </c>
      <c r="P6" s="21" t="str">
        <f>IF(PERCENTRANK(Table5[Transit Score], N6) &lt; 1/5, "LOW", IF(PERCENTRANK(Table5[Transit Score], N6) &lt; 2/5, "MEDIUM-LOW", IF(PERCENTRANK(Table5[Transit Score], N6) &lt; 3/5, "MEDIUM", IF(PERCENTRANK(Table5[Transit Score], N6) &lt; 4/5, "MEDIUM-HIGH", "HIGH"))))</f>
        <v>MEDIUM-HIGH</v>
      </c>
    </row>
    <row r="7" spans="1:16" x14ac:dyDescent="0.25">
      <c r="A7" s="83" t="s">
        <v>46</v>
      </c>
      <c r="B7" s="83">
        <v>7</v>
      </c>
      <c r="C7" s="14">
        <v>2</v>
      </c>
      <c r="D7" s="14">
        <v>3</v>
      </c>
      <c r="E7" s="14" t="str">
        <f>IF(PERCENTRANK(Table5[Lines/ Modes Aggregate], D7) &lt; 1/5, "1", IF(PERCENTRANK(Table5[Lines/ Modes Aggregate], D7) &lt; 2/5, "2", IF(PERCENTRANK(Table5[Lines/ Modes Aggregate], D7) &lt; 3/5, "3", IF(PERCENTRANK(Table5[Lines/ Modes Aggregate], D7) &lt; 4/5, "4", "5"))))</f>
        <v>1</v>
      </c>
      <c r="F7" s="14">
        <v>4</v>
      </c>
      <c r="G7" s="14" t="str">
        <f>IF(PERCENTRANK(Table5[Local Bus/Shuttle Routes], F7) &lt; 1/5, "1", IF(PERCENTRANK(Table5[Local Bus/Shuttle Routes], F7) &lt; 2/5, "2", IF(PERCENTRANK(Table5[Local Bus/Shuttle Routes], F7) &lt; 3/5, "3", IF(PERCENTRANK(Table5[Local Bus/Shuttle Routes], F7) &lt; 4/5, "4", "5"))))</f>
        <v>4</v>
      </c>
      <c r="H7" s="84">
        <v>2469</v>
      </c>
      <c r="I7" s="84" t="str">
        <f>IF(PERCENTRANK(Table5[Total Weekday Ridership], H7) &lt; 1/5, "1", IF(PERCENTRANK(Table5[Total Weekday Ridership], H7) &lt; 2/5, "2", IF(PERCENTRANK(Table5[Total Weekday Ridership], H7) &lt; 3/5, "3", IF(PERCENTRANK(Table5[Total Weekday Ridership], H7) &lt; 4/5, "4", "5"))))</f>
        <v>5</v>
      </c>
      <c r="J7" s="21">
        <v>241</v>
      </c>
      <c r="K7" s="21" t="str">
        <f>IF(PERCENTRANK(Table5[Total Weekday Frequency of Service], J7) &lt; 1/5, "1", IF(PERCENTRANK(Table5[Total Weekday Frequency of Service], J7) &lt; 2/5, "2", IF(PERCENTRANK(Table5[Total Weekday Frequency of Service], J7) &lt; 3/5, "3", IF(PERCENTRANK(Table5[Total Weekday Frequency of Service], J7) &lt; 4/5, "4", "5"))))</f>
        <v>5</v>
      </c>
      <c r="L7" s="14">
        <v>145</v>
      </c>
      <c r="M7" s="21" t="str">
        <f>IF(PERCENTRANK(Table5[Total Weekend Frequency of Service], L7) &lt; 1/5, "1", IF(PERCENTRANK(Table5[Total Weekend Frequency of Service], L7) &lt; 2/5, "2", IF(PERCENTRANK(Table5[Total Weekend Frequency of Service], L7) &lt; 3/5, "3", IF(PERCENTRANK(Table5[Total Weekend Frequency of Service], L7) &lt; 4/5, "4", "5"))))</f>
        <v>5</v>
      </c>
      <c r="N7" s="14">
        <f>Table5[[#This Row],[Weekend Frequency Grade]]+Table5[[#This Row],[Weekday Frequency Grade]]+Table5[[#This Row],[Weekday Ridership Grade]]+Table5[[#This Row],[Local Bus/Shuttle Grade]]+Table5[[#This Row],[Lines/Modes Grade]]</f>
        <v>20</v>
      </c>
      <c r="O7" s="21" t="str">
        <f>IF(PERCENTRANK(Table5[Transit Score], N7) &lt; 1/5, "1", IF(PERCENTRANK(Table5[Transit Score], N7) &lt; 2/5, "2", IF(PERCENTRANK(Table5[Transit Score], N7) &lt; 3/5, "3", IF(PERCENTRANK(Table5[Transit Score], N7) &lt; 4/5, "4", "5"))))</f>
        <v>5</v>
      </c>
      <c r="P7" s="21" t="str">
        <f>IF(PERCENTRANK(Table5[Transit Score], N7) &lt; 1/5, "LOW", IF(PERCENTRANK(Table5[Transit Score], N7) &lt; 2/5, "MEDIUM-LOW", IF(PERCENTRANK(Table5[Transit Score], N7) &lt; 3/5, "MEDIUM", IF(PERCENTRANK(Table5[Transit Score], N7) &lt; 4/5, "MEDIUM-HIGH", "HIGH"))))</f>
        <v>HIGH</v>
      </c>
    </row>
    <row r="8" spans="1:16" x14ac:dyDescent="0.25">
      <c r="A8" s="83" t="s">
        <v>53</v>
      </c>
      <c r="B8" s="83">
        <v>8</v>
      </c>
      <c r="C8" s="14">
        <v>2</v>
      </c>
      <c r="D8" s="14">
        <v>3</v>
      </c>
      <c r="E8" s="14" t="str">
        <f>IF(PERCENTRANK(Table5[Lines/ Modes Aggregate], D8) &lt; 1/5, "1", IF(PERCENTRANK(Table5[Lines/ Modes Aggregate], D8) &lt; 2/5, "2", IF(PERCENTRANK(Table5[Lines/ Modes Aggregate], D8) &lt; 3/5, "3", IF(PERCENTRANK(Table5[Lines/ Modes Aggregate], D8) &lt; 4/5, "4", "5"))))</f>
        <v>1</v>
      </c>
      <c r="F8" s="14">
        <v>6</v>
      </c>
      <c r="G8" s="14" t="str">
        <f>IF(PERCENTRANK(Table5[Local Bus/Shuttle Routes], F8) &lt; 1/5, "1", IF(PERCENTRANK(Table5[Local Bus/Shuttle Routes], F8) &lt; 2/5, "2", IF(PERCENTRANK(Table5[Local Bus/Shuttle Routes], F8) &lt; 3/5, "3", IF(PERCENTRANK(Table5[Local Bus/Shuttle Routes], F8) &lt; 4/5, "4", "5"))))</f>
        <v>4</v>
      </c>
      <c r="H8" s="84">
        <v>2974</v>
      </c>
      <c r="I8" s="84" t="str">
        <f>IF(PERCENTRANK(Table5[Total Weekday Ridership], H8) &lt; 1/5, "1", IF(PERCENTRANK(Table5[Total Weekday Ridership], H8) &lt; 2/5, "2", IF(PERCENTRANK(Table5[Total Weekday Ridership], H8) &lt; 3/5, "3", IF(PERCENTRANK(Table5[Total Weekday Ridership], H8) &lt; 4/5, "4", "5"))))</f>
        <v>5</v>
      </c>
      <c r="J8" s="21">
        <v>233</v>
      </c>
      <c r="K8" s="21" t="str">
        <f>IF(PERCENTRANK(Table5[Total Weekday Frequency of Service], J8) &lt; 1/5, "1", IF(PERCENTRANK(Table5[Total Weekday Frequency of Service], J8) &lt; 2/5, "2", IF(PERCENTRANK(Table5[Total Weekday Frequency of Service], J8) &lt; 3/5, "3", IF(PERCENTRANK(Table5[Total Weekday Frequency of Service], J8) &lt; 4/5, "4", "5"))))</f>
        <v>5</v>
      </c>
      <c r="L8" s="14">
        <v>143</v>
      </c>
      <c r="M8" s="21" t="str">
        <f>IF(PERCENTRANK(Table5[Total Weekend Frequency of Service], L8) &lt; 1/5, "1", IF(PERCENTRANK(Table5[Total Weekend Frequency of Service], L8) &lt; 2/5, "2", IF(PERCENTRANK(Table5[Total Weekend Frequency of Service], L8) &lt; 3/5, "3", IF(PERCENTRANK(Table5[Total Weekend Frequency of Service], L8) &lt; 4/5, "4", "5"))))</f>
        <v>5</v>
      </c>
      <c r="N8" s="14">
        <f>Table5[[#This Row],[Weekend Frequency Grade]]+Table5[[#This Row],[Weekday Frequency Grade]]+Table5[[#This Row],[Weekday Ridership Grade]]+Table5[[#This Row],[Local Bus/Shuttle Grade]]+Table5[[#This Row],[Lines/Modes Grade]]</f>
        <v>20</v>
      </c>
      <c r="O8" s="21" t="str">
        <f>IF(PERCENTRANK(Table5[Transit Score], N8) &lt; 1/5, "1", IF(PERCENTRANK(Table5[Transit Score], N8) &lt; 2/5, "2", IF(PERCENTRANK(Table5[Transit Score], N8) &lt; 3/5, "3", IF(PERCENTRANK(Table5[Transit Score], N8) &lt; 4/5, "4", "5"))))</f>
        <v>5</v>
      </c>
      <c r="P8" s="21" t="str">
        <f>IF(PERCENTRANK(Table5[Transit Score], N8) &lt; 1/5, "LOW", IF(PERCENTRANK(Table5[Transit Score], N8) &lt; 2/5, "MEDIUM-LOW", IF(PERCENTRANK(Table5[Transit Score], N8) &lt; 3/5, "MEDIUM", IF(PERCENTRANK(Table5[Transit Score], N8) &lt; 4/5, "MEDIUM-HIGH", "HIGH"))))</f>
        <v>HIGH</v>
      </c>
    </row>
    <row r="9" spans="1:16" x14ac:dyDescent="0.25">
      <c r="A9" s="83" t="s">
        <v>351</v>
      </c>
      <c r="B9" s="83">
        <v>9</v>
      </c>
      <c r="C9" s="14">
        <v>3</v>
      </c>
      <c r="D9" s="14">
        <v>4</v>
      </c>
      <c r="E9" s="14" t="str">
        <f>IF(PERCENTRANK(Table5[Lines/ Modes Aggregate], D9) &lt; 1/5, "1", IF(PERCENTRANK(Table5[Lines/ Modes Aggregate], D9) &lt; 2/5, "2", IF(PERCENTRANK(Table5[Lines/ Modes Aggregate], D9) &lt; 3/5, "3", IF(PERCENTRANK(Table5[Lines/ Modes Aggregate], D9) &lt; 4/5, "4", "5"))))</f>
        <v>4</v>
      </c>
      <c r="F9" s="14">
        <v>3</v>
      </c>
      <c r="G9" s="14" t="str">
        <f>IF(PERCENTRANK(Table5[Local Bus/Shuttle Routes], F9) &lt; 1/5, "1", IF(PERCENTRANK(Table5[Local Bus/Shuttle Routes], F9) &lt; 2/5, "2", IF(PERCENTRANK(Table5[Local Bus/Shuttle Routes], F9) &lt; 3/5, "3", IF(PERCENTRANK(Table5[Local Bus/Shuttle Routes], F9) &lt; 4/5, "4", "5"))))</f>
        <v>3</v>
      </c>
      <c r="H9" s="84">
        <v>1921</v>
      </c>
      <c r="I9" s="84" t="str">
        <f>IF(PERCENTRANK(Table5[Total Weekday Ridership], H9) &lt; 1/5, "1", IF(PERCENTRANK(Table5[Total Weekday Ridership], H9) &lt; 2/5, "2", IF(PERCENTRANK(Table5[Total Weekday Ridership], H9) &lt; 3/5, "3", IF(PERCENTRANK(Table5[Total Weekday Ridership], H9) &lt; 4/5, "4", "5"))))</f>
        <v>5</v>
      </c>
      <c r="J9" s="21">
        <v>233</v>
      </c>
      <c r="K9" s="21" t="str">
        <f>IF(PERCENTRANK(Table5[Total Weekday Frequency of Service], J9) &lt; 1/5, "1", IF(PERCENTRANK(Table5[Total Weekday Frequency of Service], J9) &lt; 2/5, "2", IF(PERCENTRANK(Table5[Total Weekday Frequency of Service], J9) &lt; 3/5, "3", IF(PERCENTRANK(Table5[Total Weekday Frequency of Service], J9) &lt; 4/5, "4", "5"))))</f>
        <v>5</v>
      </c>
      <c r="L9" s="14">
        <v>143</v>
      </c>
      <c r="M9" s="21" t="str">
        <f>IF(PERCENTRANK(Table5[Total Weekend Frequency of Service], L9) &lt; 1/5, "1", IF(PERCENTRANK(Table5[Total Weekend Frequency of Service], L9) &lt; 2/5, "2", IF(PERCENTRANK(Table5[Total Weekend Frequency of Service], L9) &lt; 3/5, "3", IF(PERCENTRANK(Table5[Total Weekend Frequency of Service], L9) &lt; 4/5, "4", "5"))))</f>
        <v>5</v>
      </c>
      <c r="N9" s="14">
        <f>Table5[[#This Row],[Weekend Frequency Grade]]+Table5[[#This Row],[Weekday Frequency Grade]]+Table5[[#This Row],[Weekday Ridership Grade]]+Table5[[#This Row],[Local Bus/Shuttle Grade]]+Table5[[#This Row],[Lines/Modes Grade]]</f>
        <v>22</v>
      </c>
      <c r="O9" s="21" t="str">
        <f>IF(PERCENTRANK(Table5[Transit Score], N9) &lt; 1/5, "1", IF(PERCENTRANK(Table5[Transit Score], N9) &lt; 2/5, "2", IF(PERCENTRANK(Table5[Transit Score], N9) &lt; 3/5, "3", IF(PERCENTRANK(Table5[Transit Score], N9) &lt; 4/5, "4", "5"))))</f>
        <v>5</v>
      </c>
      <c r="P9" s="21" t="str">
        <f>IF(PERCENTRANK(Table5[Transit Score], N9) &lt; 1/5, "LOW", IF(PERCENTRANK(Table5[Transit Score], N9) &lt; 2/5, "MEDIUM-LOW", IF(PERCENTRANK(Table5[Transit Score], N9) &lt; 3/5, "MEDIUM", IF(PERCENTRANK(Table5[Transit Score], N9) &lt; 4/5, "MEDIUM-HIGH", "HIGH"))))</f>
        <v>HIGH</v>
      </c>
    </row>
    <row r="10" spans="1:16" x14ac:dyDescent="0.25">
      <c r="A10" s="83" t="s">
        <v>56</v>
      </c>
      <c r="B10" s="83">
        <v>10</v>
      </c>
      <c r="C10" s="14">
        <v>3</v>
      </c>
      <c r="D10" s="14">
        <v>4</v>
      </c>
      <c r="E10" s="14" t="str">
        <f>IF(PERCENTRANK(Table5[Lines/ Modes Aggregate], D10) &lt; 1/5, "1", IF(PERCENTRANK(Table5[Lines/ Modes Aggregate], D10) &lt; 2/5, "2", IF(PERCENTRANK(Table5[Lines/ Modes Aggregate], D10) &lt; 3/5, "3", IF(PERCENTRANK(Table5[Lines/ Modes Aggregate], D10) &lt; 4/5, "4", "5"))))</f>
        <v>4</v>
      </c>
      <c r="F10" s="14">
        <v>11</v>
      </c>
      <c r="G10" s="14" t="str">
        <f>IF(PERCENTRANK(Table5[Local Bus/Shuttle Routes], F10) &lt; 1/5, "1", IF(PERCENTRANK(Table5[Local Bus/Shuttle Routes], F10) &lt; 2/5, "2", IF(PERCENTRANK(Table5[Local Bus/Shuttle Routes], F10) &lt; 3/5, "3", IF(PERCENTRANK(Table5[Local Bus/Shuttle Routes], F10) &lt; 4/5, "4", "5"))))</f>
        <v>5</v>
      </c>
      <c r="H10" s="84">
        <v>6122</v>
      </c>
      <c r="I10" s="84" t="str">
        <f>IF(PERCENTRANK(Table5[Total Weekday Ridership], H10) &lt; 1/5, "1", IF(PERCENTRANK(Table5[Total Weekday Ridership], H10) &lt; 2/5, "2", IF(PERCENTRANK(Table5[Total Weekday Ridership], H10) &lt; 3/5, "3", IF(PERCENTRANK(Table5[Total Weekday Ridership], H10) &lt; 4/5, "4", "5"))))</f>
        <v>5</v>
      </c>
      <c r="J10" s="21">
        <v>233</v>
      </c>
      <c r="K10" s="21" t="str">
        <f>IF(PERCENTRANK(Table5[Total Weekday Frequency of Service], J10) &lt; 1/5, "1", IF(PERCENTRANK(Table5[Total Weekday Frequency of Service], J10) &lt; 2/5, "2", IF(PERCENTRANK(Table5[Total Weekday Frequency of Service], J10) &lt; 3/5, "3", IF(PERCENTRANK(Table5[Total Weekday Frequency of Service], J10) &lt; 4/5, "4", "5"))))</f>
        <v>5</v>
      </c>
      <c r="L10" s="14">
        <v>143</v>
      </c>
      <c r="M10" s="21" t="str">
        <f>IF(PERCENTRANK(Table5[Total Weekend Frequency of Service], L10) &lt; 1/5, "1", IF(PERCENTRANK(Table5[Total Weekend Frequency of Service], L10) &lt; 2/5, "2", IF(PERCENTRANK(Table5[Total Weekend Frequency of Service], L10) &lt; 3/5, "3", IF(PERCENTRANK(Table5[Total Weekend Frequency of Service], L10) &lt; 4/5, "4", "5"))))</f>
        <v>5</v>
      </c>
      <c r="N10" s="14">
        <f>Table5[[#This Row],[Weekend Frequency Grade]]+Table5[[#This Row],[Weekday Frequency Grade]]+Table5[[#This Row],[Weekday Ridership Grade]]+Table5[[#This Row],[Local Bus/Shuttle Grade]]+Table5[[#This Row],[Lines/Modes Grade]]</f>
        <v>24</v>
      </c>
      <c r="O10" s="21" t="str">
        <f>IF(PERCENTRANK(Table5[Transit Score], N10) &lt; 1/5, "1", IF(PERCENTRANK(Table5[Transit Score], N10) &lt; 2/5, "2", IF(PERCENTRANK(Table5[Transit Score], N10) &lt; 3/5, "3", IF(PERCENTRANK(Table5[Transit Score], N10) &lt; 4/5, "4", "5"))))</f>
        <v>5</v>
      </c>
      <c r="P10" s="21" t="str">
        <f>IF(PERCENTRANK(Table5[Transit Score], N10) &lt; 1/5, "LOW", IF(PERCENTRANK(Table5[Transit Score], N10) &lt; 2/5, "MEDIUM-LOW", IF(PERCENTRANK(Table5[Transit Score], N10) &lt; 3/5, "MEDIUM", IF(PERCENTRANK(Table5[Transit Score], N10) &lt; 4/5, "MEDIUM-HIGH", "HIGH"))))</f>
        <v>HIGH</v>
      </c>
    </row>
    <row r="11" spans="1:16" x14ac:dyDescent="0.25">
      <c r="A11" s="83" t="s">
        <v>59</v>
      </c>
      <c r="B11" s="83">
        <v>11</v>
      </c>
      <c r="C11" s="14">
        <v>2</v>
      </c>
      <c r="D11" s="14">
        <v>3</v>
      </c>
      <c r="E11" s="14" t="str">
        <f>IF(PERCENTRANK(Table5[Lines/ Modes Aggregate], D11) &lt; 1/5, "1", IF(PERCENTRANK(Table5[Lines/ Modes Aggregate], D11) &lt; 2/5, "2", IF(PERCENTRANK(Table5[Lines/ Modes Aggregate], D11) &lt; 3/5, "3", IF(PERCENTRANK(Table5[Lines/ Modes Aggregate], D11) &lt; 4/5, "4", "5"))))</f>
        <v>1</v>
      </c>
      <c r="F11" s="14">
        <v>4</v>
      </c>
      <c r="G11" s="14" t="str">
        <f>IF(PERCENTRANK(Table5[Local Bus/Shuttle Routes], F11) &lt; 1/5, "1", IF(PERCENTRANK(Table5[Local Bus/Shuttle Routes], F11) &lt; 2/5, "2", IF(PERCENTRANK(Table5[Local Bus/Shuttle Routes], F11) &lt; 3/5, "3", IF(PERCENTRANK(Table5[Local Bus/Shuttle Routes], F11) &lt; 4/5, "4", "5"))))</f>
        <v>4</v>
      </c>
      <c r="H11" s="84">
        <v>3349</v>
      </c>
      <c r="I11" s="84" t="str">
        <f>IF(PERCENTRANK(Table5[Total Weekday Ridership], H11) &lt; 1/5, "1", IF(PERCENTRANK(Table5[Total Weekday Ridership], H11) &lt; 2/5, "2", IF(PERCENTRANK(Table5[Total Weekday Ridership], H11) &lt; 3/5, "3", IF(PERCENTRANK(Table5[Total Weekday Ridership], H11) &lt; 4/5, "4", "5"))))</f>
        <v>5</v>
      </c>
      <c r="J11" s="21">
        <v>233</v>
      </c>
      <c r="K11" s="21" t="str">
        <f>IF(PERCENTRANK(Table5[Total Weekday Frequency of Service], J11) &lt; 1/5, "1", IF(PERCENTRANK(Table5[Total Weekday Frequency of Service], J11) &lt; 2/5, "2", IF(PERCENTRANK(Table5[Total Weekday Frequency of Service], J11) &lt; 3/5, "3", IF(PERCENTRANK(Table5[Total Weekday Frequency of Service], J11) &lt; 4/5, "4", "5"))))</f>
        <v>5</v>
      </c>
      <c r="L11" s="14">
        <v>143</v>
      </c>
      <c r="M11" s="21" t="str">
        <f>IF(PERCENTRANK(Table5[Total Weekend Frequency of Service], L11) &lt; 1/5, "1", IF(PERCENTRANK(Table5[Total Weekend Frequency of Service], L11) &lt; 2/5, "2", IF(PERCENTRANK(Table5[Total Weekend Frequency of Service], L11) &lt; 3/5, "3", IF(PERCENTRANK(Table5[Total Weekend Frequency of Service], L11) &lt; 4/5, "4", "5"))))</f>
        <v>5</v>
      </c>
      <c r="N11" s="14">
        <f>Table5[[#This Row],[Weekend Frequency Grade]]+Table5[[#This Row],[Weekday Frequency Grade]]+Table5[[#This Row],[Weekday Ridership Grade]]+Table5[[#This Row],[Local Bus/Shuttle Grade]]+Table5[[#This Row],[Lines/Modes Grade]]</f>
        <v>20</v>
      </c>
      <c r="O11" s="21" t="str">
        <f>IF(PERCENTRANK(Table5[Transit Score], N11) &lt; 1/5, "1", IF(PERCENTRANK(Table5[Transit Score], N11) &lt; 2/5, "2", IF(PERCENTRANK(Table5[Transit Score], N11) &lt; 3/5, "3", IF(PERCENTRANK(Table5[Transit Score], N11) &lt; 4/5, "4", "5"))))</f>
        <v>5</v>
      </c>
      <c r="P11" s="21" t="str">
        <f>IF(PERCENTRANK(Table5[Transit Score], N11) &lt; 1/5, "LOW", IF(PERCENTRANK(Table5[Transit Score], N11) &lt; 2/5, "MEDIUM-LOW", IF(PERCENTRANK(Table5[Transit Score], N11) &lt; 3/5, "MEDIUM", IF(PERCENTRANK(Table5[Transit Score], N11) &lt; 4/5, "MEDIUM-HIGH", "HIGH"))))</f>
        <v>HIGH</v>
      </c>
    </row>
    <row r="12" spans="1:16" x14ac:dyDescent="0.25">
      <c r="A12" s="83" t="s">
        <v>61</v>
      </c>
      <c r="B12" s="83">
        <v>12</v>
      </c>
      <c r="C12" s="14">
        <v>2</v>
      </c>
      <c r="D12" s="14">
        <v>3</v>
      </c>
      <c r="E12" s="14" t="str">
        <f>IF(PERCENTRANK(Table5[Lines/ Modes Aggregate], D12) &lt; 1/5, "1", IF(PERCENTRANK(Table5[Lines/ Modes Aggregate], D12) &lt; 2/5, "2", IF(PERCENTRANK(Table5[Lines/ Modes Aggregate], D12) &lt; 3/5, "3", IF(PERCENTRANK(Table5[Lines/ Modes Aggregate], D12) &lt; 4/5, "4", "5"))))</f>
        <v>1</v>
      </c>
      <c r="F12" s="14">
        <v>1</v>
      </c>
      <c r="G12" s="14" t="str">
        <f>IF(PERCENTRANK(Table5[Local Bus/Shuttle Routes], F12) &lt; 1/5, "1", IF(PERCENTRANK(Table5[Local Bus/Shuttle Routes], F12) &lt; 2/5, "2", IF(PERCENTRANK(Table5[Local Bus/Shuttle Routes], F12) &lt; 3/5, "3", IF(PERCENTRANK(Table5[Local Bus/Shuttle Routes], F12) &lt; 4/5, "4", "5"))))</f>
        <v>1</v>
      </c>
      <c r="H12" s="84">
        <v>1919</v>
      </c>
      <c r="I12" s="84" t="str">
        <f>IF(PERCENTRANK(Table5[Total Weekday Ridership], H12) &lt; 1/5, "1", IF(PERCENTRANK(Table5[Total Weekday Ridership], H12) &lt; 2/5, "2", IF(PERCENTRANK(Table5[Total Weekday Ridership], H12) &lt; 3/5, "3", IF(PERCENTRANK(Table5[Total Weekday Ridership], H12) &lt; 4/5, "4", "5"))))</f>
        <v>5</v>
      </c>
      <c r="J12" s="21">
        <v>233</v>
      </c>
      <c r="K12" s="21" t="str">
        <f>IF(PERCENTRANK(Table5[Total Weekday Frequency of Service], J12) &lt; 1/5, "1", IF(PERCENTRANK(Table5[Total Weekday Frequency of Service], J12) &lt; 2/5, "2", IF(PERCENTRANK(Table5[Total Weekday Frequency of Service], J12) &lt; 3/5, "3", IF(PERCENTRANK(Table5[Total Weekday Frequency of Service], J12) &lt; 4/5, "4", "5"))))</f>
        <v>5</v>
      </c>
      <c r="L12" s="14">
        <v>143</v>
      </c>
      <c r="M12" s="21" t="str">
        <f>IF(PERCENTRANK(Table5[Total Weekend Frequency of Service], L12) &lt; 1/5, "1", IF(PERCENTRANK(Table5[Total Weekend Frequency of Service], L12) &lt; 2/5, "2", IF(PERCENTRANK(Table5[Total Weekend Frequency of Service], L12) &lt; 3/5, "3", IF(PERCENTRANK(Table5[Total Weekend Frequency of Service], L12) &lt; 4/5, "4", "5"))))</f>
        <v>5</v>
      </c>
      <c r="N12" s="14">
        <f>Table5[[#This Row],[Weekend Frequency Grade]]+Table5[[#This Row],[Weekday Frequency Grade]]+Table5[[#This Row],[Weekday Ridership Grade]]+Table5[[#This Row],[Local Bus/Shuttle Grade]]+Table5[[#This Row],[Lines/Modes Grade]]</f>
        <v>17</v>
      </c>
      <c r="O12" s="21" t="str">
        <f>IF(PERCENTRANK(Table5[Transit Score], N12) &lt; 1/5, "1", IF(PERCENTRANK(Table5[Transit Score], N12) &lt; 2/5, "2", IF(PERCENTRANK(Table5[Transit Score], N12) &lt; 3/5, "3", IF(PERCENTRANK(Table5[Transit Score], N12) &lt; 4/5, "4", "5"))))</f>
        <v>4</v>
      </c>
      <c r="P12" s="21" t="str">
        <f>IF(PERCENTRANK(Table5[Transit Score], N12) &lt; 1/5, "LOW", IF(PERCENTRANK(Table5[Transit Score], N12) &lt; 2/5, "MEDIUM-LOW", IF(PERCENTRANK(Table5[Transit Score], N12) &lt; 3/5, "MEDIUM", IF(PERCENTRANK(Table5[Transit Score], N12) &lt; 4/5, "MEDIUM-HIGH", "HIGH"))))</f>
        <v>MEDIUM-HIGH</v>
      </c>
    </row>
    <row r="13" spans="1:16" x14ac:dyDescent="0.25">
      <c r="A13" s="83" t="s">
        <v>63</v>
      </c>
      <c r="B13" s="83">
        <v>13</v>
      </c>
      <c r="C13" s="14">
        <v>3</v>
      </c>
      <c r="D13" s="14">
        <v>4</v>
      </c>
      <c r="E13" s="14" t="str">
        <f>IF(PERCENTRANK(Table5[Lines/ Modes Aggregate], D13) &lt; 1/5, "1", IF(PERCENTRANK(Table5[Lines/ Modes Aggregate], D13) &lt; 2/5, "2", IF(PERCENTRANK(Table5[Lines/ Modes Aggregate], D13) &lt; 3/5, "3", IF(PERCENTRANK(Table5[Lines/ Modes Aggregate], D13) &lt; 4/5, "4", "5"))))</f>
        <v>4</v>
      </c>
      <c r="F13" s="14">
        <v>5</v>
      </c>
      <c r="G13" s="14" t="str">
        <f>IF(PERCENTRANK(Table5[Local Bus/Shuttle Routes], F13) &lt; 1/5, "1", IF(PERCENTRANK(Table5[Local Bus/Shuttle Routes], F13) &lt; 2/5, "2", IF(PERCENTRANK(Table5[Local Bus/Shuttle Routes], F13) &lt; 3/5, "3", IF(PERCENTRANK(Table5[Local Bus/Shuttle Routes], F13) &lt; 4/5, "4", "5"))))</f>
        <v>4</v>
      </c>
      <c r="H13" s="84">
        <v>2140</v>
      </c>
      <c r="I13" s="84" t="str">
        <f>IF(PERCENTRANK(Table5[Total Weekday Ridership], H13) &lt; 1/5, "1", IF(PERCENTRANK(Table5[Total Weekday Ridership], H13) &lt; 2/5, "2", IF(PERCENTRANK(Table5[Total Weekday Ridership], H13) &lt; 3/5, "3", IF(PERCENTRANK(Table5[Total Weekday Ridership], H13) &lt; 4/5, "4", "5"))))</f>
        <v>5</v>
      </c>
      <c r="J13" s="21">
        <v>233</v>
      </c>
      <c r="K13" s="21" t="str">
        <f>IF(PERCENTRANK(Table5[Total Weekday Frequency of Service], J13) &lt; 1/5, "1", IF(PERCENTRANK(Table5[Total Weekday Frequency of Service], J13) &lt; 2/5, "2", IF(PERCENTRANK(Table5[Total Weekday Frequency of Service], J13) &lt; 3/5, "3", IF(PERCENTRANK(Table5[Total Weekday Frequency of Service], J13) &lt; 4/5, "4", "5"))))</f>
        <v>5</v>
      </c>
      <c r="L13" s="14">
        <v>143</v>
      </c>
      <c r="M13" s="21" t="str">
        <f>IF(PERCENTRANK(Table5[Total Weekend Frequency of Service], L13) &lt; 1/5, "1", IF(PERCENTRANK(Table5[Total Weekend Frequency of Service], L13) &lt; 2/5, "2", IF(PERCENTRANK(Table5[Total Weekend Frequency of Service], L13) &lt; 3/5, "3", IF(PERCENTRANK(Table5[Total Weekend Frequency of Service], L13) &lt; 4/5, "4", "5"))))</f>
        <v>5</v>
      </c>
      <c r="N13" s="14">
        <f>Table5[[#This Row],[Weekend Frequency Grade]]+Table5[[#This Row],[Weekday Frequency Grade]]+Table5[[#This Row],[Weekday Ridership Grade]]+Table5[[#This Row],[Local Bus/Shuttle Grade]]+Table5[[#This Row],[Lines/Modes Grade]]</f>
        <v>23</v>
      </c>
      <c r="O13" s="21" t="str">
        <f>IF(PERCENTRANK(Table5[Transit Score], N13) &lt; 1/5, "1", IF(PERCENTRANK(Table5[Transit Score], N13) &lt; 2/5, "2", IF(PERCENTRANK(Table5[Transit Score], N13) &lt; 3/5, "3", IF(PERCENTRANK(Table5[Transit Score], N13) &lt; 4/5, "4", "5"))))</f>
        <v>5</v>
      </c>
      <c r="P13" s="21" t="str">
        <f>IF(PERCENTRANK(Table5[Transit Score], N13) &lt; 1/5, "LOW", IF(PERCENTRANK(Table5[Transit Score], N13) &lt; 2/5, "MEDIUM-LOW", IF(PERCENTRANK(Table5[Transit Score], N13) &lt; 3/5, "MEDIUM", IF(PERCENTRANK(Table5[Transit Score], N13) &lt; 4/5, "MEDIUM-HIGH", "HIGH"))))</f>
        <v>HIGH</v>
      </c>
    </row>
    <row r="14" spans="1:16" x14ac:dyDescent="0.25">
      <c r="A14" s="83" t="s">
        <v>68</v>
      </c>
      <c r="B14" s="83">
        <v>14</v>
      </c>
      <c r="C14" s="14">
        <v>5</v>
      </c>
      <c r="D14" s="14">
        <v>6</v>
      </c>
      <c r="E14" s="14" t="str">
        <f>IF(PERCENTRANK(Table5[Lines/ Modes Aggregate], D14) &lt; 1/5, "1", IF(PERCENTRANK(Table5[Lines/ Modes Aggregate], D14) &lt; 2/5, "2", IF(PERCENTRANK(Table5[Lines/ Modes Aggregate], D14) &lt; 3/5, "3", IF(PERCENTRANK(Table5[Lines/ Modes Aggregate], D14) &lt; 4/5, "4", "5"))))</f>
        <v>5</v>
      </c>
      <c r="F14" s="14">
        <v>16</v>
      </c>
      <c r="G14" s="14" t="str">
        <f>IF(PERCENTRANK(Table5[Local Bus/Shuttle Routes], F14) &lt; 1/5, "1", IF(PERCENTRANK(Table5[Local Bus/Shuttle Routes], F14) &lt; 2/5, "2", IF(PERCENTRANK(Table5[Local Bus/Shuttle Routes], F14) &lt; 3/5, "3", IF(PERCENTRANK(Table5[Local Bus/Shuttle Routes], F14) &lt; 4/5, "4", "5"))))</f>
        <v>5</v>
      </c>
      <c r="H14" s="84">
        <v>6548</v>
      </c>
      <c r="I14" s="84" t="str">
        <f>IF(PERCENTRANK(Table5[Total Weekday Ridership], H14) &lt; 1/5, "1", IF(PERCENTRANK(Table5[Total Weekday Ridership], H14) &lt; 2/5, "2", IF(PERCENTRANK(Table5[Total Weekday Ridership], H14) &lt; 3/5, "3", IF(PERCENTRANK(Table5[Total Weekday Ridership], H14) &lt; 4/5, "4", "5"))))</f>
        <v>5</v>
      </c>
      <c r="J14" s="21">
        <v>233</v>
      </c>
      <c r="K14" s="21" t="str">
        <f>IF(PERCENTRANK(Table5[Total Weekday Frequency of Service], J14) &lt; 1/5, "1", IF(PERCENTRANK(Table5[Total Weekday Frequency of Service], J14) &lt; 2/5, "2", IF(PERCENTRANK(Table5[Total Weekday Frequency of Service], J14) &lt; 3/5, "3", IF(PERCENTRANK(Table5[Total Weekday Frequency of Service], J14) &lt; 4/5, "4", "5"))))</f>
        <v>5</v>
      </c>
      <c r="L14" s="14">
        <v>143</v>
      </c>
      <c r="M14" s="21" t="str">
        <f>IF(PERCENTRANK(Table5[Total Weekend Frequency of Service], L14) &lt; 1/5, "1", IF(PERCENTRANK(Table5[Total Weekend Frequency of Service], L14) &lt; 2/5, "2", IF(PERCENTRANK(Table5[Total Weekend Frequency of Service], L14) &lt; 3/5, "3", IF(PERCENTRANK(Table5[Total Weekend Frequency of Service], L14) &lt; 4/5, "4", "5"))))</f>
        <v>5</v>
      </c>
      <c r="N14" s="14">
        <f>Table5[[#This Row],[Weekend Frequency Grade]]+Table5[[#This Row],[Weekday Frequency Grade]]+Table5[[#This Row],[Weekday Ridership Grade]]+Table5[[#This Row],[Local Bus/Shuttle Grade]]+Table5[[#This Row],[Lines/Modes Grade]]</f>
        <v>25</v>
      </c>
      <c r="O14" s="21" t="str">
        <f>IF(PERCENTRANK(Table5[Transit Score], N14) &lt; 1/5, "1", IF(PERCENTRANK(Table5[Transit Score], N14) &lt; 2/5, "2", IF(PERCENTRANK(Table5[Transit Score], N14) &lt; 3/5, "3", IF(PERCENTRANK(Table5[Transit Score], N14) &lt; 4/5, "4", "5"))))</f>
        <v>5</v>
      </c>
      <c r="P14" s="21" t="str">
        <f>IF(PERCENTRANK(Table5[Transit Score], N14) &lt; 1/5, "LOW", IF(PERCENTRANK(Table5[Transit Score], N14) &lt; 2/5, "MEDIUM-LOW", IF(PERCENTRANK(Table5[Transit Score], N14) &lt; 3/5, "MEDIUM", IF(PERCENTRANK(Table5[Transit Score], N14) &lt; 4/5, "MEDIUM-HIGH", "HIGH"))))</f>
        <v>HIGH</v>
      </c>
    </row>
    <row r="15" spans="1:16" x14ac:dyDescent="0.25">
      <c r="A15" s="83" t="s">
        <v>70</v>
      </c>
      <c r="B15" s="83">
        <v>15</v>
      </c>
      <c r="C15" s="14">
        <v>5</v>
      </c>
      <c r="D15" s="14">
        <v>6</v>
      </c>
      <c r="E15" s="14" t="str">
        <f>IF(PERCENTRANK(Table5[Lines/ Modes Aggregate], D15) &lt; 1/5, "1", IF(PERCENTRANK(Table5[Lines/ Modes Aggregate], D15) &lt; 2/5, "2", IF(PERCENTRANK(Table5[Lines/ Modes Aggregate], D15) &lt; 3/5, "3", IF(PERCENTRANK(Table5[Lines/ Modes Aggregate], D15) &lt; 4/5, "4", "5"))))</f>
        <v>5</v>
      </c>
      <c r="F15" s="14">
        <v>25</v>
      </c>
      <c r="G15" s="14" t="str">
        <f>IF(PERCENTRANK(Table5[Local Bus/Shuttle Routes], F15) &lt; 1/5, "1", IF(PERCENTRANK(Table5[Local Bus/Shuttle Routes], F15) &lt; 2/5, "2", IF(PERCENTRANK(Table5[Local Bus/Shuttle Routes], F15) &lt; 3/5, "3", IF(PERCENTRANK(Table5[Local Bus/Shuttle Routes], F15) &lt; 4/5, "4", "5"))))</f>
        <v>5</v>
      </c>
      <c r="H15" s="84">
        <v>6244</v>
      </c>
      <c r="I15" s="84" t="str">
        <f>IF(PERCENTRANK(Table5[Total Weekday Ridership], H15) &lt; 1/5, "1", IF(PERCENTRANK(Table5[Total Weekday Ridership], H15) &lt; 2/5, "2", IF(PERCENTRANK(Table5[Total Weekday Ridership], H15) &lt; 3/5, "3", IF(PERCENTRANK(Table5[Total Weekday Ridership], H15) &lt; 4/5, "4", "5"))))</f>
        <v>5</v>
      </c>
      <c r="J15" s="21">
        <v>233</v>
      </c>
      <c r="K15" s="21" t="str">
        <f>IF(PERCENTRANK(Table5[Total Weekday Frequency of Service], J15) &lt; 1/5, "1", IF(PERCENTRANK(Table5[Total Weekday Frequency of Service], J15) &lt; 2/5, "2", IF(PERCENTRANK(Table5[Total Weekday Frequency of Service], J15) &lt; 3/5, "3", IF(PERCENTRANK(Table5[Total Weekday Frequency of Service], J15) &lt; 4/5, "4", "5"))))</f>
        <v>5</v>
      </c>
      <c r="L15" s="14">
        <v>143</v>
      </c>
      <c r="M15" s="21" t="str">
        <f>IF(PERCENTRANK(Table5[Total Weekend Frequency of Service], L15) &lt; 1/5, "1", IF(PERCENTRANK(Table5[Total Weekend Frequency of Service], L15) &lt; 2/5, "2", IF(PERCENTRANK(Table5[Total Weekend Frequency of Service], L15) &lt; 3/5, "3", IF(PERCENTRANK(Table5[Total Weekend Frequency of Service], L15) &lt; 4/5, "4", "5"))))</f>
        <v>5</v>
      </c>
      <c r="N15" s="14">
        <f>Table5[[#This Row],[Weekend Frequency Grade]]+Table5[[#This Row],[Weekday Frequency Grade]]+Table5[[#This Row],[Weekday Ridership Grade]]+Table5[[#This Row],[Local Bus/Shuttle Grade]]+Table5[[#This Row],[Lines/Modes Grade]]</f>
        <v>25</v>
      </c>
      <c r="O15" s="21" t="str">
        <f>IF(PERCENTRANK(Table5[Transit Score], N15) &lt; 1/5, "1", IF(PERCENTRANK(Table5[Transit Score], N15) &lt; 2/5, "2", IF(PERCENTRANK(Table5[Transit Score], N15) &lt; 3/5, "3", IF(PERCENTRANK(Table5[Transit Score], N15) &lt; 4/5, "4", "5"))))</f>
        <v>5</v>
      </c>
      <c r="P15" s="21" t="str">
        <f>IF(PERCENTRANK(Table5[Transit Score], N15) &lt; 1/5, "LOW", IF(PERCENTRANK(Table5[Transit Score], N15) &lt; 2/5, "MEDIUM-LOW", IF(PERCENTRANK(Table5[Transit Score], N15) &lt; 3/5, "MEDIUM", IF(PERCENTRANK(Table5[Transit Score], N15) &lt; 4/5, "MEDIUM-HIGH", "HIGH"))))</f>
        <v>HIGH</v>
      </c>
    </row>
    <row r="16" spans="1:16" x14ac:dyDescent="0.25">
      <c r="A16" s="83" t="s">
        <v>71</v>
      </c>
      <c r="B16" s="83">
        <v>16</v>
      </c>
      <c r="C16" s="14">
        <v>3</v>
      </c>
      <c r="D16" s="14">
        <v>4</v>
      </c>
      <c r="E16" s="14" t="str">
        <f>IF(PERCENTRANK(Table5[Lines/ Modes Aggregate], D16) &lt; 1/5, "1", IF(PERCENTRANK(Table5[Lines/ Modes Aggregate], D16) &lt; 2/5, "2", IF(PERCENTRANK(Table5[Lines/ Modes Aggregate], D16) &lt; 3/5, "3", IF(PERCENTRANK(Table5[Lines/ Modes Aggregate], D16) &lt; 4/5, "4", "5"))))</f>
        <v>4</v>
      </c>
      <c r="F16" s="14">
        <v>3</v>
      </c>
      <c r="G16" s="14" t="str">
        <f>IF(PERCENTRANK(Table5[Local Bus/Shuttle Routes], F16) &lt; 1/5, "1", IF(PERCENTRANK(Table5[Local Bus/Shuttle Routes], F16) &lt; 2/5, "2", IF(PERCENTRANK(Table5[Local Bus/Shuttle Routes], F16) &lt; 3/5, "3", IF(PERCENTRANK(Table5[Local Bus/Shuttle Routes], F16) &lt; 4/5, "4", "5"))))</f>
        <v>3</v>
      </c>
      <c r="H16" s="84">
        <v>1892</v>
      </c>
      <c r="I16" s="84" t="str">
        <f>IF(PERCENTRANK(Table5[Total Weekday Ridership], H16) &lt; 1/5, "1", IF(PERCENTRANK(Table5[Total Weekday Ridership], H16) &lt; 2/5, "2", IF(PERCENTRANK(Table5[Total Weekday Ridership], H16) &lt; 3/5, "3", IF(PERCENTRANK(Table5[Total Weekday Ridership], H16) &lt; 4/5, "4", "5"))))</f>
        <v>5</v>
      </c>
      <c r="J16" s="21">
        <v>233</v>
      </c>
      <c r="K16" s="21" t="str">
        <f>IF(PERCENTRANK(Table5[Total Weekday Frequency of Service], J16) &lt; 1/5, "1", IF(PERCENTRANK(Table5[Total Weekday Frequency of Service], J16) &lt; 2/5, "2", IF(PERCENTRANK(Table5[Total Weekday Frequency of Service], J16) &lt; 3/5, "3", IF(PERCENTRANK(Table5[Total Weekday Frequency of Service], J16) &lt; 4/5, "4", "5"))))</f>
        <v>5</v>
      </c>
      <c r="L16" s="14">
        <v>143</v>
      </c>
      <c r="M16" s="21" t="str">
        <f>IF(PERCENTRANK(Table5[Total Weekend Frequency of Service], L16) &lt; 1/5, "1", IF(PERCENTRANK(Table5[Total Weekend Frequency of Service], L16) &lt; 2/5, "2", IF(PERCENTRANK(Table5[Total Weekend Frequency of Service], L16) &lt; 3/5, "3", IF(PERCENTRANK(Table5[Total Weekend Frequency of Service], L16) &lt; 4/5, "4", "5"))))</f>
        <v>5</v>
      </c>
      <c r="N16" s="14">
        <f>Table5[[#This Row],[Weekend Frequency Grade]]+Table5[[#This Row],[Weekday Frequency Grade]]+Table5[[#This Row],[Weekday Ridership Grade]]+Table5[[#This Row],[Local Bus/Shuttle Grade]]+Table5[[#This Row],[Lines/Modes Grade]]</f>
        <v>22</v>
      </c>
      <c r="O16" s="21" t="str">
        <f>IF(PERCENTRANK(Table5[Transit Score], N16) &lt; 1/5, "1", IF(PERCENTRANK(Table5[Transit Score], N16) &lt; 2/5, "2", IF(PERCENTRANK(Table5[Transit Score], N16) &lt; 3/5, "3", IF(PERCENTRANK(Table5[Transit Score], N16) &lt; 4/5, "4", "5"))))</f>
        <v>5</v>
      </c>
      <c r="P16" s="21" t="str">
        <f>IF(PERCENTRANK(Table5[Transit Score], N16) &lt; 1/5, "LOW", IF(PERCENTRANK(Table5[Transit Score], N16) &lt; 2/5, "MEDIUM-LOW", IF(PERCENTRANK(Table5[Transit Score], N16) &lt; 3/5, "MEDIUM", IF(PERCENTRANK(Table5[Transit Score], N16) &lt; 4/5, "MEDIUM-HIGH", "HIGH"))))</f>
        <v>HIGH</v>
      </c>
    </row>
    <row r="17" spans="1:16" x14ac:dyDescent="0.25">
      <c r="A17" s="83" t="s">
        <v>348</v>
      </c>
      <c r="B17" s="83">
        <v>17</v>
      </c>
      <c r="C17" s="14">
        <v>5</v>
      </c>
      <c r="D17" s="14">
        <v>6</v>
      </c>
      <c r="E17" s="14" t="str">
        <f>IF(PERCENTRANK(Table5[Lines/ Modes Aggregate], D17) &lt; 1/5, "1", IF(PERCENTRANK(Table5[Lines/ Modes Aggregate], D17) &lt; 2/5, "2", IF(PERCENTRANK(Table5[Lines/ Modes Aggregate], D17) &lt; 3/5, "3", IF(PERCENTRANK(Table5[Lines/ Modes Aggregate], D17) &lt; 4/5, "4", "5"))))</f>
        <v>5</v>
      </c>
      <c r="F17" s="14">
        <v>12</v>
      </c>
      <c r="G17" s="14" t="str">
        <f>IF(PERCENTRANK(Table5[Local Bus/Shuttle Routes], F17) &lt; 1/5, "1", IF(PERCENTRANK(Table5[Local Bus/Shuttle Routes], F17) &lt; 2/5, "2", IF(PERCENTRANK(Table5[Local Bus/Shuttle Routes], F17) &lt; 3/5, "3", IF(PERCENTRANK(Table5[Local Bus/Shuttle Routes], F17) &lt; 4/5, "4", "5"))))</f>
        <v>5</v>
      </c>
      <c r="H17" s="84">
        <v>4317</v>
      </c>
      <c r="I17" s="84" t="str">
        <f>IF(PERCENTRANK(Table5[Total Weekday Ridership], H17) &lt; 1/5, "1", IF(PERCENTRANK(Table5[Total Weekday Ridership], H17) &lt; 2/5, "2", IF(PERCENTRANK(Table5[Total Weekday Ridership], H17) &lt; 3/5, "3", IF(PERCENTRANK(Table5[Total Weekday Ridership], H17) &lt; 4/5, "4", "5"))))</f>
        <v>5</v>
      </c>
      <c r="J17" s="21">
        <v>233</v>
      </c>
      <c r="K17" s="21" t="str">
        <f>IF(PERCENTRANK(Table5[Total Weekday Frequency of Service], J17) &lt; 1/5, "1", IF(PERCENTRANK(Table5[Total Weekday Frequency of Service], J17) &lt; 2/5, "2", IF(PERCENTRANK(Table5[Total Weekday Frequency of Service], J17) &lt; 3/5, "3", IF(PERCENTRANK(Table5[Total Weekday Frequency of Service], J17) &lt; 4/5, "4", "5"))))</f>
        <v>5</v>
      </c>
      <c r="L17" s="14">
        <v>143</v>
      </c>
      <c r="M17" s="21" t="str">
        <f>IF(PERCENTRANK(Table5[Total Weekend Frequency of Service], L17) &lt; 1/5, "1", IF(PERCENTRANK(Table5[Total Weekend Frequency of Service], L17) &lt; 2/5, "2", IF(PERCENTRANK(Table5[Total Weekend Frequency of Service], L17) &lt; 3/5, "3", IF(PERCENTRANK(Table5[Total Weekend Frequency of Service], L17) &lt; 4/5, "4", "5"))))</f>
        <v>5</v>
      </c>
      <c r="N17" s="14">
        <f>Table5[[#This Row],[Weekend Frequency Grade]]+Table5[[#This Row],[Weekday Frequency Grade]]+Table5[[#This Row],[Weekday Ridership Grade]]+Table5[[#This Row],[Local Bus/Shuttle Grade]]+Table5[[#This Row],[Lines/Modes Grade]]</f>
        <v>25</v>
      </c>
      <c r="O17" s="21" t="str">
        <f>IF(PERCENTRANK(Table5[Transit Score], N17) &lt; 1/5, "1", IF(PERCENTRANK(Table5[Transit Score], N17) &lt; 2/5, "2", IF(PERCENTRANK(Table5[Transit Score], N17) &lt; 3/5, "3", IF(PERCENTRANK(Table5[Transit Score], N17) &lt; 4/5, "4", "5"))))</f>
        <v>5</v>
      </c>
      <c r="P17" s="21" t="str">
        <f>IF(PERCENTRANK(Table5[Transit Score], N17) &lt; 1/5, "LOW", IF(PERCENTRANK(Table5[Transit Score], N17) &lt; 2/5, "MEDIUM-LOW", IF(PERCENTRANK(Table5[Transit Score], N17) &lt; 3/5, "MEDIUM", IF(PERCENTRANK(Table5[Transit Score], N17) &lt; 4/5, "MEDIUM-HIGH", "HIGH"))))</f>
        <v>HIGH</v>
      </c>
    </row>
    <row r="18" spans="1:16" x14ac:dyDescent="0.25">
      <c r="A18" s="82" t="s">
        <v>74</v>
      </c>
      <c r="B18" s="83">
        <v>18</v>
      </c>
      <c r="C18" s="14">
        <v>3</v>
      </c>
      <c r="D18" s="14">
        <v>4</v>
      </c>
      <c r="E18" s="14" t="str">
        <f>IF(PERCENTRANK(Table5[Lines/ Modes Aggregate], D18) &lt; 1/5, "1", IF(PERCENTRANK(Table5[Lines/ Modes Aggregate], D18) &lt; 2/5, "2", IF(PERCENTRANK(Table5[Lines/ Modes Aggregate], D18) &lt; 3/5, "3", IF(PERCENTRANK(Table5[Lines/ Modes Aggregate], D18) &lt; 4/5, "4", "5"))))</f>
        <v>4</v>
      </c>
      <c r="F18" s="14">
        <v>3</v>
      </c>
      <c r="G18" s="14" t="str">
        <f>IF(PERCENTRANK(Table5[Local Bus/Shuttle Routes], F18) &lt; 1/5, "1", IF(PERCENTRANK(Table5[Local Bus/Shuttle Routes], F18) &lt; 2/5, "2", IF(PERCENTRANK(Table5[Local Bus/Shuttle Routes], F18) &lt; 3/5, "3", IF(PERCENTRANK(Table5[Local Bus/Shuttle Routes], F18) &lt; 4/5, "4", "5"))))</f>
        <v>3</v>
      </c>
      <c r="H18" s="84">
        <v>1137.087155172414</v>
      </c>
      <c r="I18" s="84" t="str">
        <f>IF(PERCENTRANK(Table5[Total Weekday Ridership], H18) &lt; 1/5, "1", IF(PERCENTRANK(Table5[Total Weekday Ridership], H18) &lt; 2/5, "2", IF(PERCENTRANK(Table5[Total Weekday Ridership], H18) &lt; 3/5, "3", IF(PERCENTRANK(Table5[Total Weekday Ridership], H18) &lt; 4/5, "4", "5"))))</f>
        <v>4</v>
      </c>
      <c r="J18" s="14">
        <v>120</v>
      </c>
      <c r="K18" s="14" t="str">
        <f>IF(PERCENTRANK(Table5[Total Weekday Frequency of Service], J18) &lt; 1/5, "1", IF(PERCENTRANK(Table5[Total Weekday Frequency of Service], J18) &lt; 2/5, "2", IF(PERCENTRANK(Table5[Total Weekday Frequency of Service], J18) &lt; 3/5, "3", IF(PERCENTRANK(Table5[Total Weekday Frequency of Service], J18) &lt; 4/5, "4", "5"))))</f>
        <v>4</v>
      </c>
      <c r="L18" s="14">
        <v>30</v>
      </c>
      <c r="M18" s="21" t="str">
        <f>IF(PERCENTRANK(Table5[Total Weekend Frequency of Service], L18) &lt; 1/5, "1", IF(PERCENTRANK(Table5[Total Weekend Frequency of Service], L18) &lt; 2/5, "2", IF(PERCENTRANK(Table5[Total Weekend Frequency of Service], L18) &lt; 3/5, "3", IF(PERCENTRANK(Table5[Total Weekend Frequency of Service], L18) &lt; 4/5, "4", "5"))))</f>
        <v>4</v>
      </c>
      <c r="N18" s="14">
        <f>Table5[[#This Row],[Weekend Frequency Grade]]+Table5[[#This Row],[Weekday Frequency Grade]]+Table5[[#This Row],[Weekday Ridership Grade]]+Table5[[#This Row],[Local Bus/Shuttle Grade]]+Table5[[#This Row],[Lines/Modes Grade]]</f>
        <v>19</v>
      </c>
      <c r="O18" s="21" t="str">
        <f>IF(PERCENTRANK(Table5[Transit Score], N18) &lt; 1/5, "1", IF(PERCENTRANK(Table5[Transit Score], N18) &lt; 2/5, "2", IF(PERCENTRANK(Table5[Transit Score], N18) &lt; 3/5, "3", IF(PERCENTRANK(Table5[Transit Score], N18) &lt; 4/5, "4", "5"))))</f>
        <v>4</v>
      </c>
      <c r="P18" s="21" t="str">
        <f>IF(PERCENTRANK(Table5[Transit Score], N18) &lt; 1/5, "LOW", IF(PERCENTRANK(Table5[Transit Score], N18) &lt; 2/5, "MEDIUM-LOW", IF(PERCENTRANK(Table5[Transit Score], N18) &lt; 3/5, "MEDIUM", IF(PERCENTRANK(Table5[Transit Score], N18) &lt; 4/5, "MEDIUM-HIGH", "HIGH"))))</f>
        <v>MEDIUM-HIGH</v>
      </c>
    </row>
    <row r="19" spans="1:16" x14ac:dyDescent="0.25">
      <c r="A19" s="82" t="s">
        <v>346</v>
      </c>
      <c r="B19" s="83">
        <v>19</v>
      </c>
      <c r="C19" s="14">
        <v>2</v>
      </c>
      <c r="D19" s="14">
        <v>3</v>
      </c>
      <c r="E19" s="14" t="str">
        <f>IF(PERCENTRANK(Table5[Lines/ Modes Aggregate], D19) &lt; 1/5, "1", IF(PERCENTRANK(Table5[Lines/ Modes Aggregate], D19) &lt; 2/5, "2", IF(PERCENTRANK(Table5[Lines/ Modes Aggregate], D19) &lt; 3/5, "3", IF(PERCENTRANK(Table5[Lines/ Modes Aggregate], D19) &lt; 4/5, "4", "5"))))</f>
        <v>1</v>
      </c>
      <c r="F19" s="14">
        <v>2</v>
      </c>
      <c r="G19" s="14" t="str">
        <f>IF(PERCENTRANK(Table5[Local Bus/Shuttle Routes], F19) &lt; 1/5, "1", IF(PERCENTRANK(Table5[Local Bus/Shuttle Routes], F19) &lt; 2/5, "2", IF(PERCENTRANK(Table5[Local Bus/Shuttle Routes], F19) &lt; 3/5, "3", IF(PERCENTRANK(Table5[Local Bus/Shuttle Routes], F19) &lt; 4/5, "4", "5"))))</f>
        <v>2</v>
      </c>
      <c r="H19" s="84">
        <v>233.79362068965517</v>
      </c>
      <c r="I19" s="84" t="str">
        <f>IF(PERCENTRANK(Table5[Total Weekday Ridership], H19) &lt; 1/5, "1", IF(PERCENTRANK(Table5[Total Weekday Ridership], H19) &lt; 2/5, "2", IF(PERCENTRANK(Table5[Total Weekday Ridership], H19) &lt; 3/5, "3", IF(PERCENTRANK(Table5[Total Weekday Ridership], H19) &lt; 4/5, "4", "5"))))</f>
        <v>2</v>
      </c>
      <c r="J19" s="14">
        <v>120</v>
      </c>
      <c r="K19" s="14" t="str">
        <f>IF(PERCENTRANK(Table5[Total Weekday Frequency of Service], J19) &lt; 1/5, "1", IF(PERCENTRANK(Table5[Total Weekday Frequency of Service], J19) &lt; 2/5, "2", IF(PERCENTRANK(Table5[Total Weekday Frequency of Service], J19) &lt; 3/5, "3", IF(PERCENTRANK(Table5[Total Weekday Frequency of Service], J19) &lt; 4/5, "4", "5"))))</f>
        <v>4</v>
      </c>
      <c r="L19" s="14">
        <v>30</v>
      </c>
      <c r="M19" s="21" t="str">
        <f>IF(PERCENTRANK(Table5[Total Weekend Frequency of Service], L19) &lt; 1/5, "1", IF(PERCENTRANK(Table5[Total Weekend Frequency of Service], L19) &lt; 2/5, "2", IF(PERCENTRANK(Table5[Total Weekend Frequency of Service], L19) &lt; 3/5, "3", IF(PERCENTRANK(Table5[Total Weekend Frequency of Service], L19) &lt; 4/5, "4", "5"))))</f>
        <v>4</v>
      </c>
      <c r="N19" s="14">
        <f>Table5[[#This Row],[Weekend Frequency Grade]]+Table5[[#This Row],[Weekday Frequency Grade]]+Table5[[#This Row],[Weekday Ridership Grade]]+Table5[[#This Row],[Local Bus/Shuttle Grade]]+Table5[[#This Row],[Lines/Modes Grade]]</f>
        <v>13</v>
      </c>
      <c r="O19" s="21" t="str">
        <f>IF(PERCENTRANK(Table5[Transit Score], N19) &lt; 1/5, "1", IF(PERCENTRANK(Table5[Transit Score], N19) &lt; 2/5, "2", IF(PERCENTRANK(Table5[Transit Score], N19) &lt; 3/5, "3", IF(PERCENTRANK(Table5[Transit Score], N19) &lt; 4/5, "4", "5"))))</f>
        <v>3</v>
      </c>
      <c r="P19" s="21" t="str">
        <f>IF(PERCENTRANK(Table5[Transit Score], N19) &lt; 1/5, "LOW", IF(PERCENTRANK(Table5[Transit Score], N19) &lt; 2/5, "MEDIUM-LOW", IF(PERCENTRANK(Table5[Transit Score], N19) &lt; 3/5, "MEDIUM", IF(PERCENTRANK(Table5[Transit Score], N19) &lt; 4/5, "MEDIUM-HIGH", "HIGH"))))</f>
        <v>MEDIUM</v>
      </c>
    </row>
    <row r="20" spans="1:16" x14ac:dyDescent="0.25">
      <c r="A20" s="82" t="s">
        <v>347</v>
      </c>
      <c r="B20" s="83">
        <v>20</v>
      </c>
      <c r="C20" s="14">
        <v>2</v>
      </c>
      <c r="D20" s="14">
        <v>3</v>
      </c>
      <c r="E20" s="14" t="str">
        <f>IF(PERCENTRANK(Table5[Lines/ Modes Aggregate], D20) &lt; 1/5, "1", IF(PERCENTRANK(Table5[Lines/ Modes Aggregate], D20) &lt; 2/5, "2", IF(PERCENTRANK(Table5[Lines/ Modes Aggregate], D20) &lt; 3/5, "3", IF(PERCENTRANK(Table5[Lines/ Modes Aggregate], D20) &lt; 4/5, "4", "5"))))</f>
        <v>1</v>
      </c>
      <c r="F20" s="14">
        <v>1</v>
      </c>
      <c r="G20" s="14" t="str">
        <f>IF(PERCENTRANK(Table5[Local Bus/Shuttle Routes], F20) &lt; 1/5, "1", IF(PERCENTRANK(Table5[Local Bus/Shuttle Routes], F20) &lt; 2/5, "2", IF(PERCENTRANK(Table5[Local Bus/Shuttle Routes], F20) &lt; 3/5, "3", IF(PERCENTRANK(Table5[Local Bus/Shuttle Routes], F20) &lt; 4/5, "4", "5"))))</f>
        <v>1</v>
      </c>
      <c r="H20" s="84">
        <v>1232.73</v>
      </c>
      <c r="I20" s="84" t="str">
        <f>IF(PERCENTRANK(Table5[Total Weekday Ridership], H20) &lt; 1/5, "1", IF(PERCENTRANK(Table5[Total Weekday Ridership], H20) &lt; 2/5, "2", IF(PERCENTRANK(Table5[Total Weekday Ridership], H20) &lt; 3/5, "3", IF(PERCENTRANK(Table5[Total Weekday Ridership], H20) &lt; 4/5, "4", "5"))))</f>
        <v>4</v>
      </c>
      <c r="J20" s="14">
        <v>120</v>
      </c>
      <c r="K20" s="14" t="str">
        <f>IF(PERCENTRANK(Table5[Total Weekday Frequency of Service], J20) &lt; 1/5, "1", IF(PERCENTRANK(Table5[Total Weekday Frequency of Service], J20) &lt; 2/5, "2", IF(PERCENTRANK(Table5[Total Weekday Frequency of Service], J20) &lt; 3/5, "3", IF(PERCENTRANK(Table5[Total Weekday Frequency of Service], J20) &lt; 4/5, "4", "5"))))</f>
        <v>4</v>
      </c>
      <c r="L20" s="14">
        <v>30</v>
      </c>
      <c r="M20" s="21" t="str">
        <f>IF(PERCENTRANK(Table5[Total Weekend Frequency of Service], L20) &lt; 1/5, "1", IF(PERCENTRANK(Table5[Total Weekend Frequency of Service], L20) &lt; 2/5, "2", IF(PERCENTRANK(Table5[Total Weekend Frequency of Service], L20) &lt; 3/5, "3", IF(PERCENTRANK(Table5[Total Weekend Frequency of Service], L20) &lt; 4/5, "4", "5"))))</f>
        <v>4</v>
      </c>
      <c r="N20" s="14">
        <f>Table5[[#This Row],[Weekend Frequency Grade]]+Table5[[#This Row],[Weekday Frequency Grade]]+Table5[[#This Row],[Weekday Ridership Grade]]+Table5[[#This Row],[Local Bus/Shuttle Grade]]+Table5[[#This Row],[Lines/Modes Grade]]</f>
        <v>14</v>
      </c>
      <c r="O20" s="21" t="str">
        <f>IF(PERCENTRANK(Table5[Transit Score], N20) &lt; 1/5, "1", IF(PERCENTRANK(Table5[Transit Score], N20) &lt; 2/5, "2", IF(PERCENTRANK(Table5[Transit Score], N20) &lt; 3/5, "3", IF(PERCENTRANK(Table5[Transit Score], N20) &lt; 4/5, "4", "5"))))</f>
        <v>3</v>
      </c>
      <c r="P20" s="21" t="str">
        <f>IF(PERCENTRANK(Table5[Transit Score], N20) &lt; 1/5, "LOW", IF(PERCENTRANK(Table5[Transit Score], N20) &lt; 2/5, "MEDIUM-LOW", IF(PERCENTRANK(Table5[Transit Score], N20) &lt; 3/5, "MEDIUM", IF(PERCENTRANK(Table5[Transit Score], N20) &lt; 4/5, "MEDIUM-HIGH", "HIGH"))))</f>
        <v>MEDIUM</v>
      </c>
    </row>
    <row r="21" spans="1:16" x14ac:dyDescent="0.25">
      <c r="A21" s="82" t="s">
        <v>84</v>
      </c>
      <c r="B21" s="83">
        <v>21</v>
      </c>
      <c r="C21" s="14">
        <v>1</v>
      </c>
      <c r="D21" s="14">
        <v>2</v>
      </c>
      <c r="E21" s="14" t="str">
        <f>IF(PERCENTRANK(Table5[Lines/ Modes Aggregate], D21) &lt; 1/5, "1", IF(PERCENTRANK(Table5[Lines/ Modes Aggregate], D21) &lt; 2/5, "2", IF(PERCENTRANK(Table5[Lines/ Modes Aggregate], D21) &lt; 3/5, "3", IF(PERCENTRANK(Table5[Lines/ Modes Aggregate], D21) &lt; 4/5, "4", "5"))))</f>
        <v>1</v>
      </c>
      <c r="F21" s="14">
        <v>0</v>
      </c>
      <c r="G21" s="14" t="str">
        <f>IF(PERCENTRANK(Table5[Local Bus/Shuttle Routes], F21) &lt; 1/5, "1", IF(PERCENTRANK(Table5[Local Bus/Shuttle Routes], F21) &lt; 2/5, "2", IF(PERCENTRANK(Table5[Local Bus/Shuttle Routes], F21) &lt; 3/5, "3", IF(PERCENTRANK(Table5[Local Bus/Shuttle Routes], F21) &lt; 4/5, "4", "5"))))</f>
        <v>1</v>
      </c>
      <c r="H21" s="84">
        <v>106.2698275862069</v>
      </c>
      <c r="I21" s="84" t="str">
        <f>IF(PERCENTRANK(Table5[Total Weekday Ridership], H21) &lt; 1/5, "1", IF(PERCENTRANK(Table5[Total Weekday Ridership], H21) &lt; 2/5, "2", IF(PERCENTRANK(Table5[Total Weekday Ridership], H21) &lt; 3/5, "3", IF(PERCENTRANK(Table5[Total Weekday Ridership], H21) &lt; 4/5, "4", "5"))))</f>
        <v>1</v>
      </c>
      <c r="J21" s="14">
        <v>120</v>
      </c>
      <c r="K21" s="14" t="str">
        <f>IF(PERCENTRANK(Table5[Total Weekday Frequency of Service], J21) &lt; 1/5, "1", IF(PERCENTRANK(Table5[Total Weekday Frequency of Service], J21) &lt; 2/5, "2", IF(PERCENTRANK(Table5[Total Weekday Frequency of Service], J21) &lt; 3/5, "3", IF(PERCENTRANK(Table5[Total Weekday Frequency of Service], J21) &lt; 4/5, "4", "5"))))</f>
        <v>4</v>
      </c>
      <c r="L21" s="14">
        <v>30</v>
      </c>
      <c r="M21" s="21" t="str">
        <f>IF(PERCENTRANK(Table5[Total Weekend Frequency of Service], L21) &lt; 1/5, "1", IF(PERCENTRANK(Table5[Total Weekend Frequency of Service], L21) &lt; 2/5, "2", IF(PERCENTRANK(Table5[Total Weekend Frequency of Service], L21) &lt; 3/5, "3", IF(PERCENTRANK(Table5[Total Weekend Frequency of Service], L21) &lt; 4/5, "4", "5"))))</f>
        <v>4</v>
      </c>
      <c r="N21" s="14">
        <f>Table5[[#This Row],[Weekend Frequency Grade]]+Table5[[#This Row],[Weekday Frequency Grade]]+Table5[[#This Row],[Weekday Ridership Grade]]+Table5[[#This Row],[Local Bus/Shuttle Grade]]+Table5[[#This Row],[Lines/Modes Grade]]</f>
        <v>11</v>
      </c>
      <c r="O21" s="21" t="str">
        <f>IF(PERCENTRANK(Table5[Transit Score], N21) &lt; 1/5, "1", IF(PERCENTRANK(Table5[Transit Score], N21) &lt; 2/5, "2", IF(PERCENTRANK(Table5[Transit Score], N21) &lt; 3/5, "3", IF(PERCENTRANK(Table5[Transit Score], N21) &lt; 4/5, "4", "5"))))</f>
        <v>2</v>
      </c>
      <c r="P21" s="21" t="str">
        <f>IF(PERCENTRANK(Table5[Transit Score], N21) &lt; 1/5, "LOW", IF(PERCENTRANK(Table5[Transit Score], N21) &lt; 2/5, "MEDIUM-LOW", IF(PERCENTRANK(Table5[Transit Score], N21) &lt; 3/5, "MEDIUM", IF(PERCENTRANK(Table5[Transit Score], N21) &lt; 4/5, "MEDIUM-HIGH", "HIGH"))))</f>
        <v>MEDIUM-LOW</v>
      </c>
    </row>
    <row r="22" spans="1:16" x14ac:dyDescent="0.25">
      <c r="A22" s="82" t="s">
        <v>86</v>
      </c>
      <c r="B22" s="83">
        <v>22</v>
      </c>
      <c r="C22" s="14">
        <v>1</v>
      </c>
      <c r="D22" s="14">
        <v>2</v>
      </c>
      <c r="E22" s="14" t="str">
        <f>IF(PERCENTRANK(Table5[Lines/ Modes Aggregate], D22) &lt; 1/5, "1", IF(PERCENTRANK(Table5[Lines/ Modes Aggregate], D22) &lt; 2/5, "2", IF(PERCENTRANK(Table5[Lines/ Modes Aggregate], D22) &lt; 3/5, "3", IF(PERCENTRANK(Table5[Lines/ Modes Aggregate], D22) &lt; 4/5, "4", "5"))))</f>
        <v>1</v>
      </c>
      <c r="F22" s="14">
        <v>0</v>
      </c>
      <c r="G22" s="14" t="str">
        <f>IF(PERCENTRANK(Table5[Local Bus/Shuttle Routes], F22) &lt; 1/5, "1", IF(PERCENTRANK(Table5[Local Bus/Shuttle Routes], F22) &lt; 2/5, "2", IF(PERCENTRANK(Table5[Local Bus/Shuttle Routes], F22) &lt; 3/5, "3", IF(PERCENTRANK(Table5[Local Bus/Shuttle Routes], F22) &lt; 4/5, "4", "5"))))</f>
        <v>1</v>
      </c>
      <c r="H22" s="84">
        <v>506.55284482758617</v>
      </c>
      <c r="I22" s="84" t="str">
        <f>IF(PERCENTRANK(Table5[Total Weekday Ridership], H22) &lt; 1/5, "1", IF(PERCENTRANK(Table5[Total Weekday Ridership], H22) &lt; 2/5, "2", IF(PERCENTRANK(Table5[Total Weekday Ridership], H22) &lt; 3/5, "3", IF(PERCENTRANK(Table5[Total Weekday Ridership], H22) &lt; 4/5, "4", "5"))))</f>
        <v>3</v>
      </c>
      <c r="J22" s="14">
        <v>60</v>
      </c>
      <c r="K22" s="14" t="str">
        <f>IF(PERCENTRANK(Table5[Total Weekday Frequency of Service], J22) &lt; 1/5, "1", IF(PERCENTRANK(Table5[Total Weekday Frequency of Service], J22) &lt; 2/5, "2", IF(PERCENTRANK(Table5[Total Weekday Frequency of Service], J22) &lt; 3/5, "3", IF(PERCENTRANK(Table5[Total Weekday Frequency of Service], J22) &lt; 4/5, "4", "5"))))</f>
        <v>3</v>
      </c>
      <c r="L22" s="14">
        <v>15</v>
      </c>
      <c r="M22" s="21" t="str">
        <f>IF(PERCENTRANK(Table5[Total Weekend Frequency of Service], L22) &lt; 1/5, "1", IF(PERCENTRANK(Table5[Total Weekend Frequency of Service], L22) &lt; 2/5, "2", IF(PERCENTRANK(Table5[Total Weekend Frequency of Service], L22) &lt; 3/5, "3", IF(PERCENTRANK(Table5[Total Weekend Frequency of Service], L22) &lt; 4/5, "4", "5"))))</f>
        <v>3</v>
      </c>
      <c r="N22" s="14">
        <f>Table5[[#This Row],[Weekend Frequency Grade]]+Table5[[#This Row],[Weekday Frequency Grade]]+Table5[[#This Row],[Weekday Ridership Grade]]+Table5[[#This Row],[Local Bus/Shuttle Grade]]+Table5[[#This Row],[Lines/Modes Grade]]</f>
        <v>11</v>
      </c>
      <c r="O22" s="21" t="str">
        <f>IF(PERCENTRANK(Table5[Transit Score], N22) &lt; 1/5, "1", IF(PERCENTRANK(Table5[Transit Score], N22) &lt; 2/5, "2", IF(PERCENTRANK(Table5[Transit Score], N22) &lt; 3/5, "3", IF(PERCENTRANK(Table5[Transit Score], N22) &lt; 4/5, "4", "5"))))</f>
        <v>2</v>
      </c>
      <c r="P22" s="21" t="str">
        <f>IF(PERCENTRANK(Table5[Transit Score], N22) &lt; 1/5, "LOW", IF(PERCENTRANK(Table5[Transit Score], N22) &lt; 2/5, "MEDIUM-LOW", IF(PERCENTRANK(Table5[Transit Score], N22) &lt; 3/5, "MEDIUM", IF(PERCENTRANK(Table5[Transit Score], N22) &lt; 4/5, "MEDIUM-HIGH", "HIGH"))))</f>
        <v>MEDIUM-LOW</v>
      </c>
    </row>
    <row r="23" spans="1:16" x14ac:dyDescent="0.25">
      <c r="A23" s="82" t="s">
        <v>88</v>
      </c>
      <c r="B23" s="83">
        <v>23</v>
      </c>
      <c r="C23" s="14">
        <v>1</v>
      </c>
      <c r="D23" s="14">
        <v>2</v>
      </c>
      <c r="E23" s="14" t="str">
        <f>IF(PERCENTRANK(Table5[Lines/ Modes Aggregate], D23) &lt; 1/5, "1", IF(PERCENTRANK(Table5[Lines/ Modes Aggregate], D23) &lt; 2/5, "2", IF(PERCENTRANK(Table5[Lines/ Modes Aggregate], D23) &lt; 3/5, "3", IF(PERCENTRANK(Table5[Lines/ Modes Aggregate], D23) &lt; 4/5, "4", "5"))))</f>
        <v>1</v>
      </c>
      <c r="F23" s="14">
        <v>0</v>
      </c>
      <c r="G23" s="14" t="str">
        <f>IF(PERCENTRANK(Table5[Local Bus/Shuttle Routes], F23) &lt; 1/5, "1", IF(PERCENTRANK(Table5[Local Bus/Shuttle Routes], F23) &lt; 2/5, "2", IF(PERCENTRANK(Table5[Local Bus/Shuttle Routes], F23) &lt; 3/5, "3", IF(PERCENTRANK(Table5[Local Bus/Shuttle Routes], F23) &lt; 4/5, "4", "5"))))</f>
        <v>1</v>
      </c>
      <c r="H23" s="84">
        <v>662.41525862068966</v>
      </c>
      <c r="I23" s="84" t="str">
        <f>IF(PERCENTRANK(Table5[Total Weekday Ridership], H23) &lt; 1/5, "1", IF(PERCENTRANK(Table5[Total Weekday Ridership], H23) &lt; 2/5, "2", IF(PERCENTRANK(Table5[Total Weekday Ridership], H23) &lt; 3/5, "3", IF(PERCENTRANK(Table5[Total Weekday Ridership], H23) &lt; 4/5, "4", "5"))))</f>
        <v>3</v>
      </c>
      <c r="J23" s="14">
        <v>60</v>
      </c>
      <c r="K23" s="14" t="str">
        <f>IF(PERCENTRANK(Table5[Total Weekday Frequency of Service], J23) &lt; 1/5, "1", IF(PERCENTRANK(Table5[Total Weekday Frequency of Service], J23) &lt; 2/5, "2", IF(PERCENTRANK(Table5[Total Weekday Frequency of Service], J23) &lt; 3/5, "3", IF(PERCENTRANK(Table5[Total Weekday Frequency of Service], J23) &lt; 4/5, "4", "5"))))</f>
        <v>3</v>
      </c>
      <c r="L23" s="14">
        <v>15</v>
      </c>
      <c r="M23" s="21" t="str">
        <f>IF(PERCENTRANK(Table5[Total Weekend Frequency of Service], L23) &lt; 1/5, "1", IF(PERCENTRANK(Table5[Total Weekend Frequency of Service], L23) &lt; 2/5, "2", IF(PERCENTRANK(Table5[Total Weekend Frequency of Service], L23) &lt; 3/5, "3", IF(PERCENTRANK(Table5[Total Weekend Frequency of Service], L23) &lt; 4/5, "4", "5"))))</f>
        <v>3</v>
      </c>
      <c r="N23" s="14">
        <f>Table5[[#This Row],[Weekend Frequency Grade]]+Table5[[#This Row],[Weekday Frequency Grade]]+Table5[[#This Row],[Weekday Ridership Grade]]+Table5[[#This Row],[Local Bus/Shuttle Grade]]+Table5[[#This Row],[Lines/Modes Grade]]</f>
        <v>11</v>
      </c>
      <c r="O23" s="21" t="str">
        <f>IF(PERCENTRANK(Table5[Transit Score], N23) &lt; 1/5, "1", IF(PERCENTRANK(Table5[Transit Score], N23) &lt; 2/5, "2", IF(PERCENTRANK(Table5[Transit Score], N23) &lt; 3/5, "3", IF(PERCENTRANK(Table5[Transit Score], N23) &lt; 4/5, "4", "5"))))</f>
        <v>2</v>
      </c>
      <c r="P23" s="21" t="str">
        <f>IF(PERCENTRANK(Table5[Transit Score], N23) &lt; 1/5, "LOW", IF(PERCENTRANK(Table5[Transit Score], N23) &lt; 2/5, "MEDIUM-LOW", IF(PERCENTRANK(Table5[Transit Score], N23) &lt; 3/5, "MEDIUM", IF(PERCENTRANK(Table5[Transit Score], N23) &lt; 4/5, "MEDIUM-HIGH", "HIGH"))))</f>
        <v>MEDIUM-LOW</v>
      </c>
    </row>
    <row r="24" spans="1:16" x14ac:dyDescent="0.25">
      <c r="A24" s="82" t="s">
        <v>89</v>
      </c>
      <c r="B24" s="83">
        <v>24</v>
      </c>
      <c r="C24" s="14">
        <v>2</v>
      </c>
      <c r="D24" s="14">
        <v>3</v>
      </c>
      <c r="E24" s="14" t="str">
        <f>IF(PERCENTRANK(Table5[Lines/ Modes Aggregate], D24) &lt; 1/5, "1", IF(PERCENTRANK(Table5[Lines/ Modes Aggregate], D24) &lt; 2/5, "2", IF(PERCENTRANK(Table5[Lines/ Modes Aggregate], D24) &lt; 3/5, "3", IF(PERCENTRANK(Table5[Lines/ Modes Aggregate], D24) &lt; 4/5, "4", "5"))))</f>
        <v>1</v>
      </c>
      <c r="F24" s="14">
        <v>1</v>
      </c>
      <c r="G24" s="14" t="str">
        <f>IF(PERCENTRANK(Table5[Local Bus/Shuttle Routes], F24) &lt; 1/5, "1", IF(PERCENTRANK(Table5[Local Bus/Shuttle Routes], F24) &lt; 2/5, "2", IF(PERCENTRANK(Table5[Local Bus/Shuttle Routes], F24) &lt; 3/5, "3", IF(PERCENTRANK(Table5[Local Bus/Shuttle Routes], F24) &lt; 4/5, "4", "5"))))</f>
        <v>1</v>
      </c>
      <c r="H24" s="84">
        <v>488.84120689655168</v>
      </c>
      <c r="I24" s="84" t="str">
        <f>IF(PERCENTRANK(Table5[Total Weekday Ridership], H24) &lt; 1/5, "1", IF(PERCENTRANK(Table5[Total Weekday Ridership], H24) &lt; 2/5, "2", IF(PERCENTRANK(Table5[Total Weekday Ridership], H24) &lt; 3/5, "3", IF(PERCENTRANK(Table5[Total Weekday Ridership], H24) &lt; 4/5, "4", "5"))))</f>
        <v>3</v>
      </c>
      <c r="J24" s="14">
        <v>60</v>
      </c>
      <c r="K24" s="14" t="str">
        <f>IF(PERCENTRANK(Table5[Total Weekday Frequency of Service], J24) &lt; 1/5, "1", IF(PERCENTRANK(Table5[Total Weekday Frequency of Service], J24) &lt; 2/5, "2", IF(PERCENTRANK(Table5[Total Weekday Frequency of Service], J24) &lt; 3/5, "3", IF(PERCENTRANK(Table5[Total Weekday Frequency of Service], J24) &lt; 4/5, "4", "5"))))</f>
        <v>3</v>
      </c>
      <c r="L24" s="14">
        <v>15</v>
      </c>
      <c r="M24" s="21" t="str">
        <f>IF(PERCENTRANK(Table5[Total Weekend Frequency of Service], L24) &lt; 1/5, "1", IF(PERCENTRANK(Table5[Total Weekend Frequency of Service], L24) &lt; 2/5, "2", IF(PERCENTRANK(Table5[Total Weekend Frequency of Service], L24) &lt; 3/5, "3", IF(PERCENTRANK(Table5[Total Weekend Frequency of Service], L24) &lt; 4/5, "4", "5"))))</f>
        <v>3</v>
      </c>
      <c r="N24" s="14">
        <f>Table5[[#This Row],[Weekend Frequency Grade]]+Table5[[#This Row],[Weekday Frequency Grade]]+Table5[[#This Row],[Weekday Ridership Grade]]+Table5[[#This Row],[Local Bus/Shuttle Grade]]+Table5[[#This Row],[Lines/Modes Grade]]</f>
        <v>11</v>
      </c>
      <c r="O24" s="21" t="str">
        <f>IF(PERCENTRANK(Table5[Transit Score], N24) &lt; 1/5, "1", IF(PERCENTRANK(Table5[Transit Score], N24) &lt; 2/5, "2", IF(PERCENTRANK(Table5[Transit Score], N24) &lt; 3/5, "3", IF(PERCENTRANK(Table5[Transit Score], N24) &lt; 4/5, "4", "5"))))</f>
        <v>2</v>
      </c>
      <c r="P24" s="21" t="str">
        <f>IF(PERCENTRANK(Table5[Transit Score], N24) &lt; 1/5, "LOW", IF(PERCENTRANK(Table5[Transit Score], N24) &lt; 2/5, "MEDIUM-LOW", IF(PERCENTRANK(Table5[Transit Score], N24) &lt; 3/5, "MEDIUM", IF(PERCENTRANK(Table5[Transit Score], N24) &lt; 4/5, "MEDIUM-HIGH", "HIGH"))))</f>
        <v>MEDIUM-LOW</v>
      </c>
    </row>
    <row r="25" spans="1:16" x14ac:dyDescent="0.25">
      <c r="A25" s="82" t="s">
        <v>91</v>
      </c>
      <c r="B25" s="83">
        <v>25</v>
      </c>
      <c r="C25" s="14">
        <v>1</v>
      </c>
      <c r="D25" s="14">
        <v>2</v>
      </c>
      <c r="E25" s="14" t="str">
        <f>IF(PERCENTRANK(Table5[Lines/ Modes Aggregate], D25) &lt; 1/5, "1", IF(PERCENTRANK(Table5[Lines/ Modes Aggregate], D25) &lt; 2/5, "2", IF(PERCENTRANK(Table5[Lines/ Modes Aggregate], D25) &lt; 3/5, "3", IF(PERCENTRANK(Table5[Lines/ Modes Aggregate], D25) &lt; 4/5, "4", "5"))))</f>
        <v>1</v>
      </c>
      <c r="F25" s="14">
        <v>0</v>
      </c>
      <c r="G25" s="14" t="str">
        <f>IF(PERCENTRANK(Table5[Local Bus/Shuttle Routes], F25) &lt; 1/5, "1", IF(PERCENTRANK(Table5[Local Bus/Shuttle Routes], F25) &lt; 2/5, "2", IF(PERCENTRANK(Table5[Local Bus/Shuttle Routes], F25) &lt; 3/5, "3", IF(PERCENTRANK(Table5[Local Bus/Shuttle Routes], F25) &lt; 4/5, "4", "5"))))</f>
        <v>1</v>
      </c>
      <c r="H25" s="84">
        <v>308.1825</v>
      </c>
      <c r="I25" s="84" t="str">
        <f>IF(PERCENTRANK(Table5[Total Weekday Ridership], H25) &lt; 1/5, "1", IF(PERCENTRANK(Table5[Total Weekday Ridership], H25) &lt; 2/5, "2", IF(PERCENTRANK(Table5[Total Weekday Ridership], H25) &lt; 3/5, "3", IF(PERCENTRANK(Table5[Total Weekday Ridership], H25) &lt; 4/5, "4", "5"))))</f>
        <v>2</v>
      </c>
      <c r="J25" s="14">
        <v>60</v>
      </c>
      <c r="K25" s="14" t="str">
        <f>IF(PERCENTRANK(Table5[Total Weekday Frequency of Service], J25) &lt; 1/5, "1", IF(PERCENTRANK(Table5[Total Weekday Frequency of Service], J25) &lt; 2/5, "2", IF(PERCENTRANK(Table5[Total Weekday Frequency of Service], J25) &lt; 3/5, "3", IF(PERCENTRANK(Table5[Total Weekday Frequency of Service], J25) &lt; 4/5, "4", "5"))))</f>
        <v>3</v>
      </c>
      <c r="L25" s="14">
        <v>15</v>
      </c>
      <c r="M25" s="21" t="str">
        <f>IF(PERCENTRANK(Table5[Total Weekend Frequency of Service], L25) &lt; 1/5, "1", IF(PERCENTRANK(Table5[Total Weekend Frequency of Service], L25) &lt; 2/5, "2", IF(PERCENTRANK(Table5[Total Weekend Frequency of Service], L25) &lt; 3/5, "3", IF(PERCENTRANK(Table5[Total Weekend Frequency of Service], L25) &lt; 4/5, "4", "5"))))</f>
        <v>3</v>
      </c>
      <c r="N25" s="14">
        <f>Table5[[#This Row],[Weekend Frequency Grade]]+Table5[[#This Row],[Weekday Frequency Grade]]+Table5[[#This Row],[Weekday Ridership Grade]]+Table5[[#This Row],[Local Bus/Shuttle Grade]]+Table5[[#This Row],[Lines/Modes Grade]]</f>
        <v>10</v>
      </c>
      <c r="O25" s="21" t="str">
        <f>IF(PERCENTRANK(Table5[Transit Score], N25) &lt; 1/5, "1", IF(PERCENTRANK(Table5[Transit Score], N25) &lt; 2/5, "2", IF(PERCENTRANK(Table5[Transit Score], N25) &lt; 3/5, "3", IF(PERCENTRANK(Table5[Transit Score], N25) &lt; 4/5, "4", "5"))))</f>
        <v>2</v>
      </c>
      <c r="P25" s="21" t="str">
        <f>IF(PERCENTRANK(Table5[Transit Score], N25) &lt; 1/5, "LOW", IF(PERCENTRANK(Table5[Transit Score], N25) &lt; 2/5, "MEDIUM-LOW", IF(PERCENTRANK(Table5[Transit Score], N25) &lt; 3/5, "MEDIUM", IF(PERCENTRANK(Table5[Transit Score], N25) &lt; 4/5, "MEDIUM-HIGH", "HIGH"))))</f>
        <v>MEDIUM-LOW</v>
      </c>
    </row>
    <row r="26" spans="1:16" x14ac:dyDescent="0.25">
      <c r="A26" s="82" t="s">
        <v>93</v>
      </c>
      <c r="B26" s="83">
        <v>26</v>
      </c>
      <c r="C26" s="14">
        <v>2</v>
      </c>
      <c r="D26" s="14">
        <v>3</v>
      </c>
      <c r="E26" s="14" t="str">
        <f>IF(PERCENTRANK(Table5[Lines/ Modes Aggregate], D26) &lt; 1/5, "1", IF(PERCENTRANK(Table5[Lines/ Modes Aggregate], D26) &lt; 2/5, "2", IF(PERCENTRANK(Table5[Lines/ Modes Aggregate], D26) &lt; 3/5, "3", IF(PERCENTRANK(Table5[Lines/ Modes Aggregate], D26) &lt; 4/5, "4", "5"))))</f>
        <v>1</v>
      </c>
      <c r="F26" s="14">
        <v>5</v>
      </c>
      <c r="G26" s="14" t="str">
        <f>IF(PERCENTRANK(Table5[Local Bus/Shuttle Routes], F26) &lt; 1/5, "1", IF(PERCENTRANK(Table5[Local Bus/Shuttle Routes], F26) &lt; 2/5, "2", IF(PERCENTRANK(Table5[Local Bus/Shuttle Routes], F26) &lt; 3/5, "3", IF(PERCENTRANK(Table5[Local Bus/Shuttle Routes], F26) &lt; 4/5, "4", "5"))))</f>
        <v>4</v>
      </c>
      <c r="H26" s="84">
        <v>1363.796120689655</v>
      </c>
      <c r="I26" s="84" t="str">
        <f>IF(PERCENTRANK(Table5[Total Weekday Ridership], H26) &lt; 1/5, "1", IF(PERCENTRANK(Table5[Total Weekday Ridership], H26) &lt; 2/5, "2", IF(PERCENTRANK(Table5[Total Weekday Ridership], H26) &lt; 3/5, "3", IF(PERCENTRANK(Table5[Total Weekday Ridership], H26) &lt; 4/5, "4", "5"))))</f>
        <v>4</v>
      </c>
      <c r="J26" s="14">
        <v>60</v>
      </c>
      <c r="K26" s="14" t="str">
        <f>IF(PERCENTRANK(Table5[Total Weekday Frequency of Service], J26) &lt; 1/5, "1", IF(PERCENTRANK(Table5[Total Weekday Frequency of Service], J26) &lt; 2/5, "2", IF(PERCENTRANK(Table5[Total Weekday Frequency of Service], J26) &lt; 3/5, "3", IF(PERCENTRANK(Table5[Total Weekday Frequency of Service], J26) &lt; 4/5, "4", "5"))))</f>
        <v>3</v>
      </c>
      <c r="L26" s="14">
        <v>15</v>
      </c>
      <c r="M26" s="21" t="str">
        <f>IF(PERCENTRANK(Table5[Total Weekend Frequency of Service], L26) &lt; 1/5, "1", IF(PERCENTRANK(Table5[Total Weekend Frequency of Service], L26) &lt; 2/5, "2", IF(PERCENTRANK(Table5[Total Weekend Frequency of Service], L26) &lt; 3/5, "3", IF(PERCENTRANK(Table5[Total Weekend Frequency of Service], L26) &lt; 4/5, "4", "5"))))</f>
        <v>3</v>
      </c>
      <c r="N26" s="14">
        <f>Table5[[#This Row],[Weekend Frequency Grade]]+Table5[[#This Row],[Weekday Frequency Grade]]+Table5[[#This Row],[Weekday Ridership Grade]]+Table5[[#This Row],[Local Bus/Shuttle Grade]]+Table5[[#This Row],[Lines/Modes Grade]]</f>
        <v>15</v>
      </c>
      <c r="O26" s="21" t="str">
        <f>IF(PERCENTRANK(Table5[Transit Score], N26) &lt; 1/5, "1", IF(PERCENTRANK(Table5[Transit Score], N26) &lt; 2/5, "2", IF(PERCENTRANK(Table5[Transit Score], N26) &lt; 3/5, "3", IF(PERCENTRANK(Table5[Transit Score], N26) &lt; 4/5, "4", "5"))))</f>
        <v>4</v>
      </c>
      <c r="P26" s="21" t="str">
        <f>IF(PERCENTRANK(Table5[Transit Score], N26) &lt; 1/5, "LOW", IF(PERCENTRANK(Table5[Transit Score], N26) &lt; 2/5, "MEDIUM-LOW", IF(PERCENTRANK(Table5[Transit Score], N26) &lt; 3/5, "MEDIUM", IF(PERCENTRANK(Table5[Transit Score], N26) &lt; 4/5, "MEDIUM-HIGH", "HIGH"))))</f>
        <v>MEDIUM-HIGH</v>
      </c>
    </row>
    <row r="27" spans="1:16" x14ac:dyDescent="0.25">
      <c r="A27" s="82" t="s">
        <v>94</v>
      </c>
      <c r="B27" s="83">
        <v>27</v>
      </c>
      <c r="C27" s="14">
        <v>2</v>
      </c>
      <c r="D27" s="14">
        <v>3</v>
      </c>
      <c r="E27" s="14" t="str">
        <f>IF(PERCENTRANK(Table5[Lines/ Modes Aggregate], D27) &lt; 1/5, "1", IF(PERCENTRANK(Table5[Lines/ Modes Aggregate], D27) &lt; 2/5, "2", IF(PERCENTRANK(Table5[Lines/ Modes Aggregate], D27) &lt; 3/5, "3", IF(PERCENTRANK(Table5[Lines/ Modes Aggregate], D27) &lt; 4/5, "4", "5"))))</f>
        <v>1</v>
      </c>
      <c r="F27" s="14">
        <v>3</v>
      </c>
      <c r="G27" s="14" t="str">
        <f>IF(PERCENTRANK(Table5[Local Bus/Shuttle Routes], F27) &lt; 1/5, "1", IF(PERCENTRANK(Table5[Local Bus/Shuttle Routes], F27) &lt; 2/5, "2", IF(PERCENTRANK(Table5[Local Bus/Shuttle Routes], F27) &lt; 3/5, "3", IF(PERCENTRANK(Table5[Local Bus/Shuttle Routes], F27) &lt; 4/5, "4", "5"))))</f>
        <v>3</v>
      </c>
      <c r="H27" s="84">
        <v>758.0581034482758</v>
      </c>
      <c r="I27" s="84" t="str">
        <f>IF(PERCENTRANK(Table5[Total Weekday Ridership], H27) &lt; 1/5, "1", IF(PERCENTRANK(Table5[Total Weekday Ridership], H27) &lt; 2/5, "2", IF(PERCENTRANK(Table5[Total Weekday Ridership], H27) &lt; 3/5, "3", IF(PERCENTRANK(Table5[Total Weekday Ridership], H27) &lt; 4/5, "4", "5"))))</f>
        <v>4</v>
      </c>
      <c r="J27" s="14">
        <v>60</v>
      </c>
      <c r="K27" s="14" t="str">
        <f>IF(PERCENTRANK(Table5[Total Weekday Frequency of Service], J27) &lt; 1/5, "1", IF(PERCENTRANK(Table5[Total Weekday Frequency of Service], J27) &lt; 2/5, "2", IF(PERCENTRANK(Table5[Total Weekday Frequency of Service], J27) &lt; 3/5, "3", IF(PERCENTRANK(Table5[Total Weekday Frequency of Service], J27) &lt; 4/5, "4", "5"))))</f>
        <v>3</v>
      </c>
      <c r="L27" s="14">
        <v>15</v>
      </c>
      <c r="M27" s="21" t="str">
        <f>IF(PERCENTRANK(Table5[Total Weekend Frequency of Service], L27) &lt; 1/5, "1", IF(PERCENTRANK(Table5[Total Weekend Frequency of Service], L27) &lt; 2/5, "2", IF(PERCENTRANK(Table5[Total Weekend Frequency of Service], L27) &lt; 3/5, "3", IF(PERCENTRANK(Table5[Total Weekend Frequency of Service], L27) &lt; 4/5, "4", "5"))))</f>
        <v>3</v>
      </c>
      <c r="N27" s="14">
        <f>Table5[[#This Row],[Weekend Frequency Grade]]+Table5[[#This Row],[Weekday Frequency Grade]]+Table5[[#This Row],[Weekday Ridership Grade]]+Table5[[#This Row],[Local Bus/Shuttle Grade]]+Table5[[#This Row],[Lines/Modes Grade]]</f>
        <v>14</v>
      </c>
      <c r="O27" s="21" t="str">
        <f>IF(PERCENTRANK(Table5[Transit Score], N27) &lt; 1/5, "1", IF(PERCENTRANK(Table5[Transit Score], N27) &lt; 2/5, "2", IF(PERCENTRANK(Table5[Transit Score], N27) &lt; 3/5, "3", IF(PERCENTRANK(Table5[Transit Score], N27) &lt; 4/5, "4", "5"))))</f>
        <v>3</v>
      </c>
      <c r="P27" s="21" t="str">
        <f>IF(PERCENTRANK(Table5[Transit Score], N27) &lt; 1/5, "LOW", IF(PERCENTRANK(Table5[Transit Score], N27) &lt; 2/5, "MEDIUM-LOW", IF(PERCENTRANK(Table5[Transit Score], N27) &lt; 3/5, "MEDIUM", IF(PERCENTRANK(Table5[Transit Score], N27) &lt; 4/5, "MEDIUM-HIGH", "HIGH"))))</f>
        <v>MEDIUM</v>
      </c>
    </row>
    <row r="28" spans="1:16" x14ac:dyDescent="0.25">
      <c r="A28" s="82" t="s">
        <v>96</v>
      </c>
      <c r="B28" s="83">
        <v>28</v>
      </c>
      <c r="C28" s="14">
        <v>2</v>
      </c>
      <c r="D28" s="14">
        <v>3</v>
      </c>
      <c r="E28" s="14" t="str">
        <f>IF(PERCENTRANK(Table5[Lines/ Modes Aggregate], D28) &lt; 1/5, "1", IF(PERCENTRANK(Table5[Lines/ Modes Aggregate], D28) &lt; 2/5, "2", IF(PERCENTRANK(Table5[Lines/ Modes Aggregate], D28) &lt; 3/5, "3", IF(PERCENTRANK(Table5[Lines/ Modes Aggregate], D28) &lt; 4/5, "4", "5"))))</f>
        <v>1</v>
      </c>
      <c r="F28" s="14">
        <v>2</v>
      </c>
      <c r="G28" s="14" t="str">
        <f>IF(PERCENTRANK(Table5[Local Bus/Shuttle Routes], F28) &lt; 1/5, "1", IF(PERCENTRANK(Table5[Local Bus/Shuttle Routes], F28) &lt; 2/5, "2", IF(PERCENTRANK(Table5[Local Bus/Shuttle Routes], F28) &lt; 3/5, "3", IF(PERCENTRANK(Table5[Local Bus/Shuttle Routes], F28) &lt; 4/5, "4", "5"))))</f>
        <v>2</v>
      </c>
      <c r="H28" s="84">
        <v>690.75387931034481</v>
      </c>
      <c r="I28" s="84" t="str">
        <f>IF(PERCENTRANK(Table5[Total Weekday Ridership], H28) &lt; 1/5, "1", IF(PERCENTRANK(Table5[Total Weekday Ridership], H28) &lt; 2/5, "2", IF(PERCENTRANK(Table5[Total Weekday Ridership], H28) &lt; 3/5, "3", IF(PERCENTRANK(Table5[Total Weekday Ridership], H28) &lt; 4/5, "4", "5"))))</f>
        <v>3</v>
      </c>
      <c r="J28" s="14">
        <v>60</v>
      </c>
      <c r="K28" s="14" t="str">
        <f>IF(PERCENTRANK(Table5[Total Weekday Frequency of Service], J28) &lt; 1/5, "1", IF(PERCENTRANK(Table5[Total Weekday Frequency of Service], J28) &lt; 2/5, "2", IF(PERCENTRANK(Table5[Total Weekday Frequency of Service], J28) &lt; 3/5, "3", IF(PERCENTRANK(Table5[Total Weekday Frequency of Service], J28) &lt; 4/5, "4", "5"))))</f>
        <v>3</v>
      </c>
      <c r="L28" s="14">
        <v>15</v>
      </c>
      <c r="M28" s="21" t="str">
        <f>IF(PERCENTRANK(Table5[Total Weekend Frequency of Service], L28) &lt; 1/5, "1", IF(PERCENTRANK(Table5[Total Weekend Frequency of Service], L28) &lt; 2/5, "2", IF(PERCENTRANK(Table5[Total Weekend Frequency of Service], L28) &lt; 3/5, "3", IF(PERCENTRANK(Table5[Total Weekend Frequency of Service], L28) &lt; 4/5, "4", "5"))))</f>
        <v>3</v>
      </c>
      <c r="N28" s="14">
        <f>Table5[[#This Row],[Weekend Frequency Grade]]+Table5[[#This Row],[Weekday Frequency Grade]]+Table5[[#This Row],[Weekday Ridership Grade]]+Table5[[#This Row],[Local Bus/Shuttle Grade]]+Table5[[#This Row],[Lines/Modes Grade]]</f>
        <v>12</v>
      </c>
      <c r="O28" s="21" t="str">
        <f>IF(PERCENTRANK(Table5[Transit Score], N28) &lt; 1/5, "1", IF(PERCENTRANK(Table5[Transit Score], N28) &lt; 2/5, "2", IF(PERCENTRANK(Table5[Transit Score], N28) &lt; 3/5, "3", IF(PERCENTRANK(Table5[Transit Score], N28) &lt; 4/5, "4", "5"))))</f>
        <v>3</v>
      </c>
      <c r="P28" s="21" t="str">
        <f>IF(PERCENTRANK(Table5[Transit Score], N28) &lt; 1/5, "LOW", IF(PERCENTRANK(Table5[Transit Score], N28) &lt; 2/5, "MEDIUM-LOW", IF(PERCENTRANK(Table5[Transit Score], N28) &lt; 3/5, "MEDIUM", IF(PERCENTRANK(Table5[Transit Score], N28) &lt; 4/5, "MEDIUM-HIGH", "HIGH"))))</f>
        <v>MEDIUM</v>
      </c>
    </row>
    <row r="29" spans="1:16" x14ac:dyDescent="0.25">
      <c r="A29" s="82" t="s">
        <v>98</v>
      </c>
      <c r="B29" s="83">
        <v>29</v>
      </c>
      <c r="C29" s="14">
        <v>1</v>
      </c>
      <c r="D29" s="14">
        <v>2</v>
      </c>
      <c r="E29" s="14" t="str">
        <f>IF(PERCENTRANK(Table5[Lines/ Modes Aggregate], D29) &lt; 1/5, "1", IF(PERCENTRANK(Table5[Lines/ Modes Aggregate], D29) &lt; 2/5, "2", IF(PERCENTRANK(Table5[Lines/ Modes Aggregate], D29) &lt; 3/5, "3", IF(PERCENTRANK(Table5[Lines/ Modes Aggregate], D29) &lt; 4/5, "4", "5"))))</f>
        <v>1</v>
      </c>
      <c r="F29" s="14">
        <v>0</v>
      </c>
      <c r="G29" s="14" t="str">
        <f>IF(PERCENTRANK(Table5[Local Bus/Shuttle Routes], F29) &lt; 1/5, "1", IF(PERCENTRANK(Table5[Local Bus/Shuttle Routes], F29) &lt; 2/5, "2", IF(PERCENTRANK(Table5[Local Bus/Shuttle Routes], F29) &lt; 3/5, "3", IF(PERCENTRANK(Table5[Local Bus/Shuttle Routes], F29) &lt; 4/5, "4", "5"))))</f>
        <v>1</v>
      </c>
      <c r="H29" s="84">
        <v>269.21689655172412</v>
      </c>
      <c r="I29" s="84" t="str">
        <f>IF(PERCENTRANK(Table5[Total Weekday Ridership], H29) &lt; 1/5, "1", IF(PERCENTRANK(Table5[Total Weekday Ridership], H29) &lt; 2/5, "2", IF(PERCENTRANK(Table5[Total Weekday Ridership], H29) &lt; 3/5, "3", IF(PERCENTRANK(Table5[Total Weekday Ridership], H29) &lt; 4/5, "4", "5"))))</f>
        <v>2</v>
      </c>
      <c r="J29" s="14">
        <v>60</v>
      </c>
      <c r="K29" s="14" t="str">
        <f>IF(PERCENTRANK(Table5[Total Weekday Frequency of Service], J29) &lt; 1/5, "1", IF(PERCENTRANK(Table5[Total Weekday Frequency of Service], J29) &lt; 2/5, "2", IF(PERCENTRANK(Table5[Total Weekday Frequency of Service], J29) &lt; 3/5, "3", IF(PERCENTRANK(Table5[Total Weekday Frequency of Service], J29) &lt; 4/5, "4", "5"))))</f>
        <v>3</v>
      </c>
      <c r="L29" s="14">
        <v>15</v>
      </c>
      <c r="M29" s="21" t="str">
        <f>IF(PERCENTRANK(Table5[Total Weekend Frequency of Service], L29) &lt; 1/5, "1", IF(PERCENTRANK(Table5[Total Weekend Frequency of Service], L29) &lt; 2/5, "2", IF(PERCENTRANK(Table5[Total Weekend Frequency of Service], L29) &lt; 3/5, "3", IF(PERCENTRANK(Table5[Total Weekend Frequency of Service], L29) &lt; 4/5, "4", "5"))))</f>
        <v>3</v>
      </c>
      <c r="N29" s="14">
        <f>Table5[[#This Row],[Weekend Frequency Grade]]+Table5[[#This Row],[Weekday Frequency Grade]]+Table5[[#This Row],[Weekday Ridership Grade]]+Table5[[#This Row],[Local Bus/Shuttle Grade]]+Table5[[#This Row],[Lines/Modes Grade]]</f>
        <v>10</v>
      </c>
      <c r="O29" s="21" t="str">
        <f>IF(PERCENTRANK(Table5[Transit Score], N29) &lt; 1/5, "1", IF(PERCENTRANK(Table5[Transit Score], N29) &lt; 2/5, "2", IF(PERCENTRANK(Table5[Transit Score], N29) &lt; 3/5, "3", IF(PERCENTRANK(Table5[Transit Score], N29) &lt; 4/5, "4", "5"))))</f>
        <v>2</v>
      </c>
      <c r="P29" s="21" t="str">
        <f>IF(PERCENTRANK(Table5[Transit Score], N29) &lt; 1/5, "LOW", IF(PERCENTRANK(Table5[Transit Score], N29) &lt; 2/5, "MEDIUM-LOW", IF(PERCENTRANK(Table5[Transit Score], N29) &lt; 3/5, "MEDIUM", IF(PERCENTRANK(Table5[Transit Score], N29) &lt; 4/5, "MEDIUM-HIGH", "HIGH"))))</f>
        <v>MEDIUM-LOW</v>
      </c>
    </row>
    <row r="30" spans="1:16" x14ac:dyDescent="0.25">
      <c r="A30" s="82" t="s">
        <v>350</v>
      </c>
      <c r="B30" s="83">
        <v>30</v>
      </c>
      <c r="C30" s="14">
        <v>4</v>
      </c>
      <c r="D30" s="14">
        <v>6</v>
      </c>
      <c r="E30" s="14" t="str">
        <f>IF(PERCENTRANK(Table5[Lines/ Modes Aggregate], D30) &lt; 1/5, "1", IF(PERCENTRANK(Table5[Lines/ Modes Aggregate], D30) &lt; 2/5, "2", IF(PERCENTRANK(Table5[Lines/ Modes Aggregate], D30) &lt; 3/5, "3", IF(PERCENTRANK(Table5[Lines/ Modes Aggregate], D30) &lt; 4/5, "4", "5"))))</f>
        <v>5</v>
      </c>
      <c r="F30" s="14">
        <v>11</v>
      </c>
      <c r="G30" s="14" t="str">
        <f>IF(PERCENTRANK(Table5[Local Bus/Shuttle Routes], F30) &lt; 1/5, "1", IF(PERCENTRANK(Table5[Local Bus/Shuttle Routes], F30) &lt; 2/5, "2", IF(PERCENTRANK(Table5[Local Bus/Shuttle Routes], F30) &lt; 3/5, "3", IF(PERCENTRANK(Table5[Local Bus/Shuttle Routes], F30) &lt; 4/5, "4", "5"))))</f>
        <v>5</v>
      </c>
      <c r="H30" s="84">
        <v>1154.7987931034484</v>
      </c>
      <c r="I30" s="84" t="str">
        <f>IF(PERCENTRANK(Table5[Total Weekday Ridership], H30) &lt; 1/5, "1", IF(PERCENTRANK(Table5[Total Weekday Ridership], H30) &lt; 2/5, "2", IF(PERCENTRANK(Table5[Total Weekday Ridership], H30) &lt; 3/5, "3", IF(PERCENTRANK(Table5[Total Weekday Ridership], H30) &lt; 4/5, "4", "5"))))</f>
        <v>4</v>
      </c>
      <c r="J30" s="14">
        <v>50</v>
      </c>
      <c r="K30" s="14" t="str">
        <f>IF(PERCENTRANK(Table5[Total Weekday Frequency of Service], J30) &lt; 1/5, "1", IF(PERCENTRANK(Table5[Total Weekday Frequency of Service], J30) &lt; 2/5, "2", IF(PERCENTRANK(Table5[Total Weekday Frequency of Service], J30) &lt; 3/5, "3", IF(PERCENTRANK(Table5[Total Weekday Frequency of Service], J30) &lt; 4/5, "4", "5"))))</f>
        <v>3</v>
      </c>
      <c r="L30" s="14">
        <v>10</v>
      </c>
      <c r="M30" s="21" t="str">
        <f>IF(PERCENTRANK(Table5[Total Weekend Frequency of Service], L30) &lt; 1/5, "1", IF(PERCENTRANK(Table5[Total Weekend Frequency of Service], L30) &lt; 2/5, "2", IF(PERCENTRANK(Table5[Total Weekend Frequency of Service], L30) &lt; 3/5, "3", IF(PERCENTRANK(Table5[Total Weekend Frequency of Service], L30) &lt; 4/5, "4", "5"))))</f>
        <v>2</v>
      </c>
      <c r="N30" s="14">
        <f>Table5[[#This Row],[Weekend Frequency Grade]]+Table5[[#This Row],[Weekday Frequency Grade]]+Table5[[#This Row],[Weekday Ridership Grade]]+Table5[[#This Row],[Local Bus/Shuttle Grade]]+Table5[[#This Row],[Lines/Modes Grade]]</f>
        <v>19</v>
      </c>
      <c r="O30" s="21" t="str">
        <f>IF(PERCENTRANK(Table5[Transit Score], N30) &lt; 1/5, "1", IF(PERCENTRANK(Table5[Transit Score], N30) &lt; 2/5, "2", IF(PERCENTRANK(Table5[Transit Score], N30) &lt; 3/5, "3", IF(PERCENTRANK(Table5[Transit Score], N30) &lt; 4/5, "4", "5"))))</f>
        <v>4</v>
      </c>
      <c r="P30" s="21" t="str">
        <f>IF(PERCENTRANK(Table5[Transit Score], N30) &lt; 1/5, "LOW", IF(PERCENTRANK(Table5[Transit Score], N30) &lt; 2/5, "MEDIUM-LOW", IF(PERCENTRANK(Table5[Transit Score], N30) &lt; 3/5, "MEDIUM", IF(PERCENTRANK(Table5[Transit Score], N30) &lt; 4/5, "MEDIUM-HIGH", "HIGH"))))</f>
        <v>MEDIUM-HIGH</v>
      </c>
    </row>
    <row r="31" spans="1:16" x14ac:dyDescent="0.25">
      <c r="A31" s="82" t="s">
        <v>267</v>
      </c>
      <c r="B31" s="83">
        <v>31</v>
      </c>
      <c r="C31" s="14">
        <v>5</v>
      </c>
      <c r="D31" s="14">
        <v>7</v>
      </c>
      <c r="E31" s="14" t="str">
        <f>IF(PERCENTRANK(Table5[Lines/ Modes Aggregate], D31) &lt; 1/5, "1", IF(PERCENTRANK(Table5[Lines/ Modes Aggregate], D31) &lt; 2/5, "2", IF(PERCENTRANK(Table5[Lines/ Modes Aggregate], D31) &lt; 3/5, "3", IF(PERCENTRANK(Table5[Lines/ Modes Aggregate], D31) &lt; 4/5, "4", "5"))))</f>
        <v>5</v>
      </c>
      <c r="F31" s="14">
        <v>18</v>
      </c>
      <c r="G31" s="14" t="str">
        <f>IF(PERCENTRANK(Table5[Local Bus/Shuttle Routes], F31) &lt; 1/5, "1", IF(PERCENTRANK(Table5[Local Bus/Shuttle Routes], F31) &lt; 2/5, "2", IF(PERCENTRANK(Table5[Local Bus/Shuttle Routes], F31) &lt; 3/5, "3", IF(PERCENTRANK(Table5[Local Bus/Shuttle Routes], F31) &lt; 4/5, "4", "5"))))</f>
        <v>5</v>
      </c>
      <c r="H31" s="84">
        <v>2529.2218965517245</v>
      </c>
      <c r="I31" s="84" t="str">
        <f>IF(PERCENTRANK(Table5[Total Weekday Ridership], H31) &lt; 1/5, "1", IF(PERCENTRANK(Table5[Total Weekday Ridership], H31) &lt; 2/5, "2", IF(PERCENTRANK(Table5[Total Weekday Ridership], H31) &lt; 3/5, "3", IF(PERCENTRANK(Table5[Total Weekday Ridership], H31) &lt; 4/5, "4", "5"))))</f>
        <v>5</v>
      </c>
      <c r="J31" s="14">
        <v>50</v>
      </c>
      <c r="K31" s="14" t="str">
        <f>IF(PERCENTRANK(Table5[Total Weekday Frequency of Service], J31) &lt; 1/5, "1", IF(PERCENTRANK(Table5[Total Weekday Frequency of Service], J31) &lt; 2/5, "2", IF(PERCENTRANK(Table5[Total Weekday Frequency of Service], J31) &lt; 3/5, "3", IF(PERCENTRANK(Table5[Total Weekday Frequency of Service], J31) &lt; 4/5, "4", "5"))))</f>
        <v>3</v>
      </c>
      <c r="L31" s="14">
        <v>10</v>
      </c>
      <c r="M31" s="21" t="str">
        <f>IF(PERCENTRANK(Table5[Total Weekend Frequency of Service], L31) &lt; 1/5, "1", IF(PERCENTRANK(Table5[Total Weekend Frequency of Service], L31) &lt; 2/5, "2", IF(PERCENTRANK(Table5[Total Weekend Frequency of Service], L31) &lt; 3/5, "3", IF(PERCENTRANK(Table5[Total Weekend Frequency of Service], L31) &lt; 4/5, "4", "5"))))</f>
        <v>2</v>
      </c>
      <c r="N31" s="14">
        <f>Table5[[#This Row],[Weekend Frequency Grade]]+Table5[[#This Row],[Weekday Frequency Grade]]+Table5[[#This Row],[Weekday Ridership Grade]]+Table5[[#This Row],[Local Bus/Shuttle Grade]]+Table5[[#This Row],[Lines/Modes Grade]]</f>
        <v>20</v>
      </c>
      <c r="O31" s="21" t="str">
        <f>IF(PERCENTRANK(Table5[Transit Score], N31) &lt; 1/5, "1", IF(PERCENTRANK(Table5[Transit Score], N31) &lt; 2/5, "2", IF(PERCENTRANK(Table5[Transit Score], N31) &lt; 3/5, "3", IF(PERCENTRANK(Table5[Transit Score], N31) &lt; 4/5, "4", "5"))))</f>
        <v>5</v>
      </c>
      <c r="P31" s="21" t="str">
        <f>IF(PERCENTRANK(Table5[Transit Score], N31) &lt; 1/5, "LOW", IF(PERCENTRANK(Table5[Transit Score], N31) &lt; 2/5, "MEDIUM-LOW", IF(PERCENTRANK(Table5[Transit Score], N31) &lt; 3/5, "MEDIUM", IF(PERCENTRANK(Table5[Transit Score], N31) &lt; 4/5, "MEDIUM-HIGH", "HIGH"))))</f>
        <v>HIGH</v>
      </c>
    </row>
    <row r="32" spans="1:16" x14ac:dyDescent="0.25">
      <c r="A32" s="82" t="s">
        <v>104</v>
      </c>
      <c r="B32" s="83">
        <v>32</v>
      </c>
      <c r="C32" s="14">
        <v>6</v>
      </c>
      <c r="D32" s="14">
        <v>8</v>
      </c>
      <c r="E32" s="14" t="str">
        <f>IF(PERCENTRANK(Table5[Lines/ Modes Aggregate], D32) &lt; 1/5, "1", IF(PERCENTRANK(Table5[Lines/ Modes Aggregate], D32) &lt; 2/5, "2", IF(PERCENTRANK(Table5[Lines/ Modes Aggregate], D32) &lt; 3/5, "3", IF(PERCENTRANK(Table5[Lines/ Modes Aggregate], D32) &lt; 4/5, "4", "5"))))</f>
        <v>5</v>
      </c>
      <c r="F32" s="14">
        <v>11</v>
      </c>
      <c r="G32" s="14" t="str">
        <f>IF(PERCENTRANK(Table5[Local Bus/Shuttle Routes], F32) &lt; 1/5, "1", IF(PERCENTRANK(Table5[Local Bus/Shuttle Routes], F32) &lt; 2/5, "2", IF(PERCENTRANK(Table5[Local Bus/Shuttle Routes], F32) &lt; 3/5, "3", IF(PERCENTRANK(Table5[Local Bus/Shuttle Routes], F32) &lt; 4/5, "4", "5"))))</f>
        <v>5</v>
      </c>
      <c r="H32" s="84">
        <v>3485.6503448275862</v>
      </c>
      <c r="I32" s="84" t="str">
        <f>IF(PERCENTRANK(Table5[Total Weekday Ridership], H32) &lt; 1/5, "1", IF(PERCENTRANK(Table5[Total Weekday Ridership], H32) &lt; 2/5, "2", IF(PERCENTRANK(Table5[Total Weekday Ridership], H32) &lt; 3/5, "3", IF(PERCENTRANK(Table5[Total Weekday Ridership], H32) &lt; 4/5, "4", "5"))))</f>
        <v>5</v>
      </c>
      <c r="J32" s="14">
        <v>50</v>
      </c>
      <c r="K32" s="14" t="str">
        <f>IF(PERCENTRANK(Table5[Total Weekday Frequency of Service], J32) &lt; 1/5, "1", IF(PERCENTRANK(Table5[Total Weekday Frequency of Service], J32) &lt; 2/5, "2", IF(PERCENTRANK(Table5[Total Weekday Frequency of Service], J32) &lt; 3/5, "3", IF(PERCENTRANK(Table5[Total Weekday Frequency of Service], J32) &lt; 4/5, "4", "5"))))</f>
        <v>3</v>
      </c>
      <c r="L32" s="14">
        <v>10</v>
      </c>
      <c r="M32" s="21" t="str">
        <f>IF(PERCENTRANK(Table5[Total Weekend Frequency of Service], L32) &lt; 1/5, "1", IF(PERCENTRANK(Table5[Total Weekend Frequency of Service], L32) &lt; 2/5, "2", IF(PERCENTRANK(Table5[Total Weekend Frequency of Service], L32) &lt; 3/5, "3", IF(PERCENTRANK(Table5[Total Weekend Frequency of Service], L32) &lt; 4/5, "4", "5"))))</f>
        <v>2</v>
      </c>
      <c r="N32" s="14">
        <f>Table5[[#This Row],[Weekend Frequency Grade]]+Table5[[#This Row],[Weekday Frequency Grade]]+Table5[[#This Row],[Weekday Ridership Grade]]+Table5[[#This Row],[Local Bus/Shuttle Grade]]+Table5[[#This Row],[Lines/Modes Grade]]</f>
        <v>20</v>
      </c>
      <c r="O32" s="21" t="str">
        <f>IF(PERCENTRANK(Table5[Transit Score], N32) &lt; 1/5, "1", IF(PERCENTRANK(Table5[Transit Score], N32) &lt; 2/5, "2", IF(PERCENTRANK(Table5[Transit Score], N32) &lt; 3/5, "3", IF(PERCENTRANK(Table5[Transit Score], N32) &lt; 4/5, "4", "5"))))</f>
        <v>5</v>
      </c>
      <c r="P32" s="21" t="str">
        <f>IF(PERCENTRANK(Table5[Transit Score], N32) &lt; 1/5, "LOW", IF(PERCENTRANK(Table5[Transit Score], N32) &lt; 2/5, "MEDIUM-LOW", IF(PERCENTRANK(Table5[Transit Score], N32) &lt; 3/5, "MEDIUM", IF(PERCENTRANK(Table5[Transit Score], N32) &lt; 4/5, "MEDIUM-HIGH", "HIGH"))))</f>
        <v>HIGH</v>
      </c>
    </row>
    <row r="33" spans="1:16" x14ac:dyDescent="0.25">
      <c r="A33" s="82" t="s">
        <v>105</v>
      </c>
      <c r="B33" s="83">
        <v>33</v>
      </c>
      <c r="C33" s="14">
        <v>2</v>
      </c>
      <c r="D33" s="14">
        <v>4</v>
      </c>
      <c r="E33" s="14" t="str">
        <f>IF(PERCENTRANK(Table5[Lines/ Modes Aggregate], D33) &lt; 1/5, "1", IF(PERCENTRANK(Table5[Lines/ Modes Aggregate], D33) &lt; 2/5, "2", IF(PERCENTRANK(Table5[Lines/ Modes Aggregate], D33) &lt; 3/5, "3", IF(PERCENTRANK(Table5[Lines/ Modes Aggregate], D33) &lt; 4/5, "4", "5"))))</f>
        <v>4</v>
      </c>
      <c r="F33" s="14">
        <v>2</v>
      </c>
      <c r="G33" s="14" t="str">
        <f>IF(PERCENTRANK(Table5[Local Bus/Shuttle Routes], F33) &lt; 1/5, "1", IF(PERCENTRANK(Table5[Local Bus/Shuttle Routes], F33) &lt; 2/5, "2", IF(PERCENTRANK(Table5[Local Bus/Shuttle Routes], F33) &lt; 3/5, "3", IF(PERCENTRANK(Table5[Local Bus/Shuttle Routes], F33) &lt; 4/5, "4", "5"))))</f>
        <v>2</v>
      </c>
      <c r="H33" s="84">
        <v>517.1798275862069</v>
      </c>
      <c r="I33" s="84" t="str">
        <f>IF(PERCENTRANK(Table5[Total Weekday Ridership], H33) &lt; 1/5, "1", IF(PERCENTRANK(Table5[Total Weekday Ridership], H33) &lt; 2/5, "2", IF(PERCENTRANK(Table5[Total Weekday Ridership], H33) &lt; 3/5, "3", IF(PERCENTRANK(Table5[Total Weekday Ridership], H33) &lt; 4/5, "4", "5"))))</f>
        <v>3</v>
      </c>
      <c r="J33" s="14">
        <v>50</v>
      </c>
      <c r="K33" s="14" t="str">
        <f>IF(PERCENTRANK(Table5[Total Weekday Frequency of Service], J33) &lt; 1/5, "1", IF(PERCENTRANK(Table5[Total Weekday Frequency of Service], J33) &lt; 2/5, "2", IF(PERCENTRANK(Table5[Total Weekday Frequency of Service], J33) &lt; 3/5, "3", IF(PERCENTRANK(Table5[Total Weekday Frequency of Service], J33) &lt; 4/5, "4", "5"))))</f>
        <v>3</v>
      </c>
      <c r="L33" s="14">
        <v>10</v>
      </c>
      <c r="M33" s="21" t="str">
        <f>IF(PERCENTRANK(Table5[Total Weekend Frequency of Service], L33) &lt; 1/5, "1", IF(PERCENTRANK(Table5[Total Weekend Frequency of Service], L33) &lt; 2/5, "2", IF(PERCENTRANK(Table5[Total Weekend Frequency of Service], L33) &lt; 3/5, "3", IF(PERCENTRANK(Table5[Total Weekend Frequency of Service], L33) &lt; 4/5, "4", "5"))))</f>
        <v>2</v>
      </c>
      <c r="N33" s="14">
        <f>Table5[[#This Row],[Weekend Frequency Grade]]+Table5[[#This Row],[Weekday Frequency Grade]]+Table5[[#This Row],[Weekday Ridership Grade]]+Table5[[#This Row],[Local Bus/Shuttle Grade]]+Table5[[#This Row],[Lines/Modes Grade]]</f>
        <v>14</v>
      </c>
      <c r="O33" s="21" t="str">
        <f>IF(PERCENTRANK(Table5[Transit Score], N33) &lt; 1/5, "1", IF(PERCENTRANK(Table5[Transit Score], N33) &lt; 2/5, "2", IF(PERCENTRANK(Table5[Transit Score], N33) &lt; 3/5, "3", IF(PERCENTRANK(Table5[Transit Score], N33) &lt; 4/5, "4", "5"))))</f>
        <v>3</v>
      </c>
      <c r="P33" s="21" t="str">
        <f>IF(PERCENTRANK(Table5[Transit Score], N33) &lt; 1/5, "LOW", IF(PERCENTRANK(Table5[Transit Score], N33) &lt; 2/5, "MEDIUM-LOW", IF(PERCENTRANK(Table5[Transit Score], N33) &lt; 3/5, "MEDIUM", IF(PERCENTRANK(Table5[Transit Score], N33) &lt; 4/5, "MEDIUM-HIGH", "HIGH"))))</f>
        <v>MEDIUM</v>
      </c>
    </row>
    <row r="34" spans="1:16" x14ac:dyDescent="0.25">
      <c r="A34" s="82" t="s">
        <v>107</v>
      </c>
      <c r="B34" s="83">
        <v>34</v>
      </c>
      <c r="C34" s="14">
        <v>4</v>
      </c>
      <c r="D34" s="14">
        <v>6</v>
      </c>
      <c r="E34" s="14" t="str">
        <f>IF(PERCENTRANK(Table5[Lines/ Modes Aggregate], D34) &lt; 1/5, "1", IF(PERCENTRANK(Table5[Lines/ Modes Aggregate], D34) &lt; 2/5, "2", IF(PERCENTRANK(Table5[Lines/ Modes Aggregate], D34) &lt; 3/5, "3", IF(PERCENTRANK(Table5[Lines/ Modes Aggregate], D34) &lt; 4/5, "4", "5"))))</f>
        <v>5</v>
      </c>
      <c r="F34" s="14">
        <v>4</v>
      </c>
      <c r="G34" s="14" t="str">
        <f>IF(PERCENTRANK(Table5[Local Bus/Shuttle Routes], F34) &lt; 1/5, "1", IF(PERCENTRANK(Table5[Local Bus/Shuttle Routes], F34) &lt; 2/5, "2", IF(PERCENTRANK(Table5[Local Bus/Shuttle Routes], F34) &lt; 3/5, "3", IF(PERCENTRANK(Table5[Local Bus/Shuttle Routes], F34) &lt; 4/5, "4", "5"))))</f>
        <v>4</v>
      </c>
      <c r="H34" s="84">
        <v>835.98931034482746</v>
      </c>
      <c r="I34" s="84" t="str">
        <f>IF(PERCENTRANK(Table5[Total Weekday Ridership], H34) &lt; 1/5, "1", IF(PERCENTRANK(Table5[Total Weekday Ridership], H34) &lt; 2/5, "2", IF(PERCENTRANK(Table5[Total Weekday Ridership], H34) &lt; 3/5, "3", IF(PERCENTRANK(Table5[Total Weekday Ridership], H34) &lt; 4/5, "4", "5"))))</f>
        <v>4</v>
      </c>
      <c r="J34" s="14">
        <v>50</v>
      </c>
      <c r="K34" s="14" t="str">
        <f>IF(PERCENTRANK(Table5[Total Weekday Frequency of Service], J34) &lt; 1/5, "1", IF(PERCENTRANK(Table5[Total Weekday Frequency of Service], J34) &lt; 2/5, "2", IF(PERCENTRANK(Table5[Total Weekday Frequency of Service], J34) &lt; 3/5, "3", IF(PERCENTRANK(Table5[Total Weekday Frequency of Service], J34) &lt; 4/5, "4", "5"))))</f>
        <v>3</v>
      </c>
      <c r="L34" s="14">
        <v>10</v>
      </c>
      <c r="M34" s="21" t="str">
        <f>IF(PERCENTRANK(Table5[Total Weekend Frequency of Service], L34) &lt; 1/5, "1", IF(PERCENTRANK(Table5[Total Weekend Frequency of Service], L34) &lt; 2/5, "2", IF(PERCENTRANK(Table5[Total Weekend Frequency of Service], L34) &lt; 3/5, "3", IF(PERCENTRANK(Table5[Total Weekend Frequency of Service], L34) &lt; 4/5, "4", "5"))))</f>
        <v>2</v>
      </c>
      <c r="N34" s="14">
        <f>Table5[[#This Row],[Weekend Frequency Grade]]+Table5[[#This Row],[Weekday Frequency Grade]]+Table5[[#This Row],[Weekday Ridership Grade]]+Table5[[#This Row],[Local Bus/Shuttle Grade]]+Table5[[#This Row],[Lines/Modes Grade]]</f>
        <v>18</v>
      </c>
      <c r="O34" s="21" t="str">
        <f>IF(PERCENTRANK(Table5[Transit Score], N34) &lt; 1/5, "1", IF(PERCENTRANK(Table5[Transit Score], N34) &lt; 2/5, "2", IF(PERCENTRANK(Table5[Transit Score], N34) &lt; 3/5, "3", IF(PERCENTRANK(Table5[Transit Score], N34) &lt; 4/5, "4", "5"))))</f>
        <v>4</v>
      </c>
      <c r="P34" s="21" t="str">
        <f>IF(PERCENTRANK(Table5[Transit Score], N34) &lt; 1/5, "LOW", IF(PERCENTRANK(Table5[Transit Score], N34) &lt; 2/5, "MEDIUM-LOW", IF(PERCENTRANK(Table5[Transit Score], N34) &lt; 3/5, "MEDIUM", IF(PERCENTRANK(Table5[Transit Score], N34) &lt; 4/5, "MEDIUM-HIGH", "HIGH"))))</f>
        <v>MEDIUM-HIGH</v>
      </c>
    </row>
    <row r="35" spans="1:16" x14ac:dyDescent="0.25">
      <c r="A35" s="82" t="s">
        <v>268</v>
      </c>
      <c r="B35" s="83">
        <v>35</v>
      </c>
      <c r="C35" s="14">
        <v>1</v>
      </c>
      <c r="D35" s="14">
        <v>3</v>
      </c>
      <c r="E35" s="14" t="str">
        <f>IF(PERCENTRANK(Table5[Lines/ Modes Aggregate], D35) &lt; 1/5, "1", IF(PERCENTRANK(Table5[Lines/ Modes Aggregate], D35) &lt; 2/5, "2", IF(PERCENTRANK(Table5[Lines/ Modes Aggregate], D35) &lt; 3/5, "3", IF(PERCENTRANK(Table5[Lines/ Modes Aggregate], D35) &lt; 4/5, "4", "5"))))</f>
        <v>1</v>
      </c>
      <c r="F35" s="14">
        <v>1</v>
      </c>
      <c r="G35" s="14" t="str">
        <f>IF(PERCENTRANK(Table5[Local Bus/Shuttle Routes], F35) &lt; 1/5, "1", IF(PERCENTRANK(Table5[Local Bus/Shuttle Routes], F35) &lt; 2/5, "2", IF(PERCENTRANK(Table5[Local Bus/Shuttle Routes], F35) &lt; 3/5, "3", IF(PERCENTRANK(Table5[Local Bus/Shuttle Routes], F35) &lt; 4/5, "4", "5"))))</f>
        <v>1</v>
      </c>
      <c r="H35" s="84">
        <v>804.10836206896545</v>
      </c>
      <c r="I35" s="84" t="str">
        <f>IF(PERCENTRANK(Table5[Total Weekday Ridership], H35) &lt; 1/5, "1", IF(PERCENTRANK(Table5[Total Weekday Ridership], H35) &lt; 2/5, "2", IF(PERCENTRANK(Table5[Total Weekday Ridership], H35) &lt; 3/5, "3", IF(PERCENTRANK(Table5[Total Weekday Ridership], H35) &lt; 4/5, "4", "5"))))</f>
        <v>4</v>
      </c>
      <c r="J35" s="14">
        <v>50</v>
      </c>
      <c r="K35" s="14" t="str">
        <f>IF(PERCENTRANK(Table5[Total Weekday Frequency of Service], J35) &lt; 1/5, "1", IF(PERCENTRANK(Table5[Total Weekday Frequency of Service], J35) &lt; 2/5, "2", IF(PERCENTRANK(Table5[Total Weekday Frequency of Service], J35) &lt; 3/5, "3", IF(PERCENTRANK(Table5[Total Weekday Frequency of Service], J35) &lt; 4/5, "4", "5"))))</f>
        <v>3</v>
      </c>
      <c r="L35" s="14">
        <v>10</v>
      </c>
      <c r="M35" s="21" t="str">
        <f>IF(PERCENTRANK(Table5[Total Weekend Frequency of Service], L35) &lt; 1/5, "1", IF(PERCENTRANK(Table5[Total Weekend Frequency of Service], L35) &lt; 2/5, "2", IF(PERCENTRANK(Table5[Total Weekend Frequency of Service], L35) &lt; 3/5, "3", IF(PERCENTRANK(Table5[Total Weekend Frequency of Service], L35) &lt; 4/5, "4", "5"))))</f>
        <v>2</v>
      </c>
      <c r="N35" s="14">
        <f>Table5[[#This Row],[Weekend Frequency Grade]]+Table5[[#This Row],[Weekday Frequency Grade]]+Table5[[#This Row],[Weekday Ridership Grade]]+Table5[[#This Row],[Local Bus/Shuttle Grade]]+Table5[[#This Row],[Lines/Modes Grade]]</f>
        <v>11</v>
      </c>
      <c r="O35" s="21" t="str">
        <f>IF(PERCENTRANK(Table5[Transit Score], N35) &lt; 1/5, "1", IF(PERCENTRANK(Table5[Transit Score], N35) &lt; 2/5, "2", IF(PERCENTRANK(Table5[Transit Score], N35) &lt; 3/5, "3", IF(PERCENTRANK(Table5[Transit Score], N35) &lt; 4/5, "4", "5"))))</f>
        <v>2</v>
      </c>
      <c r="P35" s="21" t="str">
        <f>IF(PERCENTRANK(Table5[Transit Score], N35) &lt; 1/5, "LOW", IF(PERCENTRANK(Table5[Transit Score], N35) &lt; 2/5, "MEDIUM-LOW", IF(PERCENTRANK(Table5[Transit Score], N35) &lt; 3/5, "MEDIUM", IF(PERCENTRANK(Table5[Transit Score], N35) &lt; 4/5, "MEDIUM-HIGH", "HIGH"))))</f>
        <v>MEDIUM-LOW</v>
      </c>
    </row>
    <row r="36" spans="1:16" x14ac:dyDescent="0.25">
      <c r="A36" s="82" t="s">
        <v>111</v>
      </c>
      <c r="B36" s="83">
        <v>36</v>
      </c>
      <c r="C36" s="14">
        <v>2</v>
      </c>
      <c r="D36" s="14">
        <v>3</v>
      </c>
      <c r="E36" s="14" t="str">
        <f>IF(PERCENTRANK(Table5[Lines/ Modes Aggregate], D36) &lt; 1/5, "1", IF(PERCENTRANK(Table5[Lines/ Modes Aggregate], D36) &lt; 2/5, "2", IF(PERCENTRANK(Table5[Lines/ Modes Aggregate], D36) &lt; 3/5, "3", IF(PERCENTRANK(Table5[Lines/ Modes Aggregate], D36) &lt; 4/5, "4", "5"))))</f>
        <v>1</v>
      </c>
      <c r="F36" s="14">
        <v>1</v>
      </c>
      <c r="G36" s="14" t="str">
        <f>IF(PERCENTRANK(Table5[Local Bus/Shuttle Routes], F36) &lt; 1/5, "1", IF(PERCENTRANK(Table5[Local Bus/Shuttle Routes], F36) &lt; 2/5, "2", IF(PERCENTRANK(Table5[Local Bus/Shuttle Routes], F36) &lt; 3/5, "3", IF(PERCENTRANK(Table5[Local Bus/Shuttle Routes], F36) &lt; 4/5, "4", "5"))))</f>
        <v>1</v>
      </c>
      <c r="H36" s="84">
        <v>1066.240603448276</v>
      </c>
      <c r="I36" s="84" t="str">
        <f>IF(PERCENTRANK(Table5[Total Weekday Ridership], H36) &lt; 1/5, "1", IF(PERCENTRANK(Table5[Total Weekday Ridership], H36) &lt; 2/5, "2", IF(PERCENTRANK(Table5[Total Weekday Ridership], H36) &lt; 3/5, "3", IF(PERCENTRANK(Table5[Total Weekday Ridership], H36) &lt; 4/5, "4", "5"))))</f>
        <v>4</v>
      </c>
      <c r="J36" s="14">
        <v>60</v>
      </c>
      <c r="K36" s="14" t="str">
        <f>IF(PERCENTRANK(Table5[Total Weekday Frequency of Service], J36) &lt; 1/5, "1", IF(PERCENTRANK(Table5[Total Weekday Frequency of Service], J36) &lt; 2/5, "2", IF(PERCENTRANK(Table5[Total Weekday Frequency of Service], J36) &lt; 3/5, "3", IF(PERCENTRANK(Table5[Total Weekday Frequency of Service], J36) &lt; 4/5, "4", "5"))))</f>
        <v>3</v>
      </c>
      <c r="L36" s="14">
        <v>15</v>
      </c>
      <c r="M36" s="21" t="str">
        <f>IF(PERCENTRANK(Table5[Total Weekend Frequency of Service], L36) &lt; 1/5, "1", IF(PERCENTRANK(Table5[Total Weekend Frequency of Service], L36) &lt; 2/5, "2", IF(PERCENTRANK(Table5[Total Weekend Frequency of Service], L36) &lt; 3/5, "3", IF(PERCENTRANK(Table5[Total Weekend Frequency of Service], L36) &lt; 4/5, "4", "5"))))</f>
        <v>3</v>
      </c>
      <c r="N36" s="14">
        <f>Table5[[#This Row],[Weekend Frequency Grade]]+Table5[[#This Row],[Weekday Frequency Grade]]+Table5[[#This Row],[Weekday Ridership Grade]]+Table5[[#This Row],[Local Bus/Shuttle Grade]]+Table5[[#This Row],[Lines/Modes Grade]]</f>
        <v>12</v>
      </c>
      <c r="O36" s="21" t="str">
        <f>IF(PERCENTRANK(Table5[Transit Score], N36) &lt; 1/5, "1", IF(PERCENTRANK(Table5[Transit Score], N36) &lt; 2/5, "2", IF(PERCENTRANK(Table5[Transit Score], N36) &lt; 3/5, "3", IF(PERCENTRANK(Table5[Transit Score], N36) &lt; 4/5, "4", "5"))))</f>
        <v>3</v>
      </c>
      <c r="P36" s="21" t="str">
        <f>IF(PERCENTRANK(Table5[Transit Score], N36) &lt; 1/5, "LOW", IF(PERCENTRANK(Table5[Transit Score], N36) &lt; 2/5, "MEDIUM-LOW", IF(PERCENTRANK(Table5[Transit Score], N36) &lt; 3/5, "MEDIUM", IF(PERCENTRANK(Table5[Transit Score], N36) &lt; 4/5, "MEDIUM-HIGH", "HIGH"))))</f>
        <v>MEDIUM</v>
      </c>
    </row>
    <row r="37" spans="1:16" x14ac:dyDescent="0.25">
      <c r="A37" s="82" t="s">
        <v>113</v>
      </c>
      <c r="B37" s="83">
        <v>37</v>
      </c>
      <c r="C37" s="14">
        <v>3</v>
      </c>
      <c r="D37" s="14">
        <v>4</v>
      </c>
      <c r="E37" s="14" t="str">
        <f>IF(PERCENTRANK(Table5[Lines/ Modes Aggregate], D37) &lt; 1/5, "1", IF(PERCENTRANK(Table5[Lines/ Modes Aggregate], D37) &lt; 2/5, "2", IF(PERCENTRANK(Table5[Lines/ Modes Aggregate], D37) &lt; 3/5, "3", IF(PERCENTRANK(Table5[Lines/ Modes Aggregate], D37) &lt; 4/5, "4", "5"))))</f>
        <v>4</v>
      </c>
      <c r="F37" s="14">
        <v>2</v>
      </c>
      <c r="G37" s="14" t="str">
        <f>IF(PERCENTRANK(Table5[Local Bus/Shuttle Routes], F37) &lt; 1/5, "1", IF(PERCENTRANK(Table5[Local Bus/Shuttle Routes], F37) &lt; 2/5, "2", IF(PERCENTRANK(Table5[Local Bus/Shuttle Routes], F37) &lt; 3/5, "3", IF(PERCENTRANK(Table5[Local Bus/Shuttle Routes], F37) &lt; 4/5, "4", "5"))))</f>
        <v>2</v>
      </c>
      <c r="H37" s="84">
        <v>439.24862068965513</v>
      </c>
      <c r="I37" s="84" t="str">
        <f>IF(PERCENTRANK(Table5[Total Weekday Ridership], H37) &lt; 1/5, "1", IF(PERCENTRANK(Table5[Total Weekday Ridership], H37) &lt; 2/5, "2", IF(PERCENTRANK(Table5[Total Weekday Ridership], H37) &lt; 3/5, "3", IF(PERCENTRANK(Table5[Total Weekday Ridership], H37) &lt; 4/5, "4", "5"))))</f>
        <v>2</v>
      </c>
      <c r="J37" s="14">
        <v>60</v>
      </c>
      <c r="K37" s="14" t="str">
        <f>IF(PERCENTRANK(Table5[Total Weekday Frequency of Service], J37) &lt; 1/5, "1", IF(PERCENTRANK(Table5[Total Weekday Frequency of Service], J37) &lt; 2/5, "2", IF(PERCENTRANK(Table5[Total Weekday Frequency of Service], J37) &lt; 3/5, "3", IF(PERCENTRANK(Table5[Total Weekday Frequency of Service], J37) &lt; 4/5, "4", "5"))))</f>
        <v>3</v>
      </c>
      <c r="L37" s="14">
        <v>15</v>
      </c>
      <c r="M37" s="21" t="str">
        <f>IF(PERCENTRANK(Table5[Total Weekend Frequency of Service], L37) &lt; 1/5, "1", IF(PERCENTRANK(Table5[Total Weekend Frequency of Service], L37) &lt; 2/5, "2", IF(PERCENTRANK(Table5[Total Weekend Frequency of Service], L37) &lt; 3/5, "3", IF(PERCENTRANK(Table5[Total Weekend Frequency of Service], L37) &lt; 4/5, "4", "5"))))</f>
        <v>3</v>
      </c>
      <c r="N37" s="14">
        <f>Table5[[#This Row],[Weekend Frequency Grade]]+Table5[[#This Row],[Weekday Frequency Grade]]+Table5[[#This Row],[Weekday Ridership Grade]]+Table5[[#This Row],[Local Bus/Shuttle Grade]]+Table5[[#This Row],[Lines/Modes Grade]]</f>
        <v>14</v>
      </c>
      <c r="O37" s="21" t="str">
        <f>IF(PERCENTRANK(Table5[Transit Score], N37) &lt; 1/5, "1", IF(PERCENTRANK(Table5[Transit Score], N37) &lt; 2/5, "2", IF(PERCENTRANK(Table5[Transit Score], N37) &lt; 3/5, "3", IF(PERCENTRANK(Table5[Transit Score], N37) &lt; 4/5, "4", "5"))))</f>
        <v>3</v>
      </c>
      <c r="P37" s="21" t="str">
        <f>IF(PERCENTRANK(Table5[Transit Score], N37) &lt; 1/5, "LOW", IF(PERCENTRANK(Table5[Transit Score], N37) &lt; 2/5, "MEDIUM-LOW", IF(PERCENTRANK(Table5[Transit Score], N37) &lt; 3/5, "MEDIUM", IF(PERCENTRANK(Table5[Transit Score], N37) &lt; 4/5, "MEDIUM-HIGH", "HIGH"))))</f>
        <v>MEDIUM</v>
      </c>
    </row>
    <row r="38" spans="1:16" x14ac:dyDescent="0.25">
      <c r="A38" s="82" t="s">
        <v>114</v>
      </c>
      <c r="B38" s="83">
        <v>38</v>
      </c>
      <c r="C38" s="14">
        <v>2</v>
      </c>
      <c r="D38" s="14">
        <v>3</v>
      </c>
      <c r="E38" s="14" t="str">
        <f>IF(PERCENTRANK(Table5[Lines/ Modes Aggregate], D38) &lt; 1/5, "1", IF(PERCENTRANK(Table5[Lines/ Modes Aggregate], D38) &lt; 2/5, "2", IF(PERCENTRANK(Table5[Lines/ Modes Aggregate], D38) &lt; 3/5, "3", IF(PERCENTRANK(Table5[Lines/ Modes Aggregate], D38) &lt; 4/5, "4", "5"))))</f>
        <v>1</v>
      </c>
      <c r="F38" s="14">
        <v>2</v>
      </c>
      <c r="G38" s="14" t="str">
        <f>IF(PERCENTRANK(Table5[Local Bus/Shuttle Routes], F38) &lt; 1/5, "1", IF(PERCENTRANK(Table5[Local Bus/Shuttle Routes], F38) &lt; 2/5, "2", IF(PERCENTRANK(Table5[Local Bus/Shuttle Routes], F38) &lt; 3/5, "3", IF(PERCENTRANK(Table5[Local Bus/Shuttle Routes], F38) &lt; 4/5, "4", "5"))))</f>
        <v>2</v>
      </c>
      <c r="H38" s="84">
        <v>673.04224137931033</v>
      </c>
      <c r="I38" s="84" t="str">
        <f>IF(PERCENTRANK(Table5[Total Weekday Ridership], H38) &lt; 1/5, "1", IF(PERCENTRANK(Table5[Total Weekday Ridership], H38) &lt; 2/5, "2", IF(PERCENTRANK(Table5[Total Weekday Ridership], H38) &lt; 3/5, "3", IF(PERCENTRANK(Table5[Total Weekday Ridership], H38) &lt; 4/5, "4", "5"))))</f>
        <v>3</v>
      </c>
      <c r="J38" s="14">
        <v>60</v>
      </c>
      <c r="K38" s="14" t="str">
        <f>IF(PERCENTRANK(Table5[Total Weekday Frequency of Service], J38) &lt; 1/5, "1", IF(PERCENTRANK(Table5[Total Weekday Frequency of Service], J38) &lt; 2/5, "2", IF(PERCENTRANK(Table5[Total Weekday Frequency of Service], J38) &lt; 3/5, "3", IF(PERCENTRANK(Table5[Total Weekday Frequency of Service], J38) &lt; 4/5, "4", "5"))))</f>
        <v>3</v>
      </c>
      <c r="L38" s="14">
        <v>15</v>
      </c>
      <c r="M38" s="21" t="str">
        <f>IF(PERCENTRANK(Table5[Total Weekend Frequency of Service], L38) &lt; 1/5, "1", IF(PERCENTRANK(Table5[Total Weekend Frequency of Service], L38) &lt; 2/5, "2", IF(PERCENTRANK(Table5[Total Weekend Frequency of Service], L38) &lt; 3/5, "3", IF(PERCENTRANK(Table5[Total Weekend Frequency of Service], L38) &lt; 4/5, "4", "5"))))</f>
        <v>3</v>
      </c>
      <c r="N38" s="14">
        <f>Table5[[#This Row],[Weekend Frequency Grade]]+Table5[[#This Row],[Weekday Frequency Grade]]+Table5[[#This Row],[Weekday Ridership Grade]]+Table5[[#This Row],[Local Bus/Shuttle Grade]]+Table5[[#This Row],[Lines/Modes Grade]]</f>
        <v>12</v>
      </c>
      <c r="O38" s="21" t="str">
        <f>IF(PERCENTRANK(Table5[Transit Score], N38) &lt; 1/5, "1", IF(PERCENTRANK(Table5[Transit Score], N38) &lt; 2/5, "2", IF(PERCENTRANK(Table5[Transit Score], N38) &lt; 3/5, "3", IF(PERCENTRANK(Table5[Transit Score], N38) &lt; 4/5, "4", "5"))))</f>
        <v>3</v>
      </c>
      <c r="P38" s="21" t="str">
        <f>IF(PERCENTRANK(Table5[Transit Score], N38) &lt; 1/5, "LOW", IF(PERCENTRANK(Table5[Transit Score], N38) &lt; 2/5, "MEDIUM-LOW", IF(PERCENTRANK(Table5[Transit Score], N38) &lt; 3/5, "MEDIUM", IF(PERCENTRANK(Table5[Transit Score], N38) &lt; 4/5, "MEDIUM-HIGH", "HIGH"))))</f>
        <v>MEDIUM</v>
      </c>
    </row>
    <row r="39" spans="1:16" x14ac:dyDescent="0.25">
      <c r="A39" s="82" t="s">
        <v>115</v>
      </c>
      <c r="B39" s="83">
        <v>39</v>
      </c>
      <c r="C39" s="14">
        <v>2</v>
      </c>
      <c r="D39" s="14">
        <v>3</v>
      </c>
      <c r="E39" s="14" t="str">
        <f>IF(PERCENTRANK(Table5[Lines/ Modes Aggregate], D39) &lt; 1/5, "1", IF(PERCENTRANK(Table5[Lines/ Modes Aggregate], D39) &lt; 2/5, "2", IF(PERCENTRANK(Table5[Lines/ Modes Aggregate], D39) &lt; 3/5, "3", IF(PERCENTRANK(Table5[Lines/ Modes Aggregate], D39) &lt; 4/5, "4", "5"))))</f>
        <v>1</v>
      </c>
      <c r="F39" s="14">
        <v>4</v>
      </c>
      <c r="G39" s="14" t="str">
        <f>IF(PERCENTRANK(Table5[Local Bus/Shuttle Routes], F39) &lt; 1/5, "1", IF(PERCENTRANK(Table5[Local Bus/Shuttle Routes], F39) &lt; 2/5, "2", IF(PERCENTRANK(Table5[Local Bus/Shuttle Routes], F39) &lt; 3/5, "3", IF(PERCENTRANK(Table5[Local Bus/Shuttle Routes], F39) &lt; 4/5, "4", "5"))))</f>
        <v>4</v>
      </c>
      <c r="H39" s="84">
        <v>481.75655172413798</v>
      </c>
      <c r="I39" s="84" t="str">
        <f>IF(PERCENTRANK(Table5[Total Weekday Ridership], H39) &lt; 1/5, "1", IF(PERCENTRANK(Table5[Total Weekday Ridership], H39) &lt; 2/5, "2", IF(PERCENTRANK(Table5[Total Weekday Ridership], H39) &lt; 3/5, "3", IF(PERCENTRANK(Table5[Total Weekday Ridership], H39) &lt; 4/5, "4", "5"))))</f>
        <v>3</v>
      </c>
      <c r="J39" s="14">
        <v>60</v>
      </c>
      <c r="K39" s="14" t="str">
        <f>IF(PERCENTRANK(Table5[Total Weekday Frequency of Service], J39) &lt; 1/5, "1", IF(PERCENTRANK(Table5[Total Weekday Frequency of Service], J39) &lt; 2/5, "2", IF(PERCENTRANK(Table5[Total Weekday Frequency of Service], J39) &lt; 3/5, "3", IF(PERCENTRANK(Table5[Total Weekday Frequency of Service], J39) &lt; 4/5, "4", "5"))))</f>
        <v>3</v>
      </c>
      <c r="L39" s="14">
        <v>15</v>
      </c>
      <c r="M39" s="21" t="str">
        <f>IF(PERCENTRANK(Table5[Total Weekend Frequency of Service], L39) &lt; 1/5, "1", IF(PERCENTRANK(Table5[Total Weekend Frequency of Service], L39) &lt; 2/5, "2", IF(PERCENTRANK(Table5[Total Weekend Frequency of Service], L39) &lt; 3/5, "3", IF(PERCENTRANK(Table5[Total Weekend Frequency of Service], L39) &lt; 4/5, "4", "5"))))</f>
        <v>3</v>
      </c>
      <c r="N39" s="14">
        <f>Table5[[#This Row],[Weekend Frequency Grade]]+Table5[[#This Row],[Weekday Frequency Grade]]+Table5[[#This Row],[Weekday Ridership Grade]]+Table5[[#This Row],[Local Bus/Shuttle Grade]]+Table5[[#This Row],[Lines/Modes Grade]]</f>
        <v>14</v>
      </c>
      <c r="O39" s="21" t="str">
        <f>IF(PERCENTRANK(Table5[Transit Score], N39) &lt; 1/5, "1", IF(PERCENTRANK(Table5[Transit Score], N39) &lt; 2/5, "2", IF(PERCENTRANK(Table5[Transit Score], N39) &lt; 3/5, "3", IF(PERCENTRANK(Table5[Transit Score], N39) &lt; 4/5, "4", "5"))))</f>
        <v>3</v>
      </c>
      <c r="P39" s="21" t="str">
        <f>IF(PERCENTRANK(Table5[Transit Score], N39) &lt; 1/5, "LOW", IF(PERCENTRANK(Table5[Transit Score], N39) &lt; 2/5, "MEDIUM-LOW", IF(PERCENTRANK(Table5[Transit Score], N39) &lt; 3/5, "MEDIUM", IF(PERCENTRANK(Table5[Transit Score], N39) &lt; 4/5, "MEDIUM-HIGH", "HIGH"))))</f>
        <v>MEDIUM</v>
      </c>
    </row>
    <row r="40" spans="1:16" x14ac:dyDescent="0.25">
      <c r="A40" s="82" t="s">
        <v>117</v>
      </c>
      <c r="B40" s="83">
        <v>40</v>
      </c>
      <c r="C40" s="14">
        <v>2</v>
      </c>
      <c r="D40" s="14">
        <v>3</v>
      </c>
      <c r="E40" s="14" t="str">
        <f>IF(PERCENTRANK(Table5[Lines/ Modes Aggregate], D40) &lt; 1/5, "1", IF(PERCENTRANK(Table5[Lines/ Modes Aggregate], D40) &lt; 2/5, "2", IF(PERCENTRANK(Table5[Lines/ Modes Aggregate], D40) &lt; 3/5, "3", IF(PERCENTRANK(Table5[Lines/ Modes Aggregate], D40) &lt; 4/5, "4", "5"))))</f>
        <v>1</v>
      </c>
      <c r="F40" s="14">
        <v>1</v>
      </c>
      <c r="G40" s="14" t="str">
        <f>IF(PERCENTRANK(Table5[Local Bus/Shuttle Routes], F40) &lt; 1/5, "1", IF(PERCENTRANK(Table5[Local Bus/Shuttle Routes], F40) &lt; 2/5, "2", IF(PERCENTRANK(Table5[Local Bus/Shuttle Routes], F40) &lt; 3/5, "3", IF(PERCENTRANK(Table5[Local Bus/Shuttle Routes], F40) &lt; 4/5, "4", "5"))))</f>
        <v>1</v>
      </c>
      <c r="H40" s="84">
        <v>471.12956896551725</v>
      </c>
      <c r="I40" s="84" t="str">
        <f>IF(PERCENTRANK(Table5[Total Weekday Ridership], H40) &lt; 1/5, "1", IF(PERCENTRANK(Table5[Total Weekday Ridership], H40) &lt; 2/5, "2", IF(PERCENTRANK(Table5[Total Weekday Ridership], H40) &lt; 3/5, "3", IF(PERCENTRANK(Table5[Total Weekday Ridership], H40) &lt; 4/5, "4", "5"))))</f>
        <v>3</v>
      </c>
      <c r="J40" s="14">
        <v>60</v>
      </c>
      <c r="K40" s="14" t="str">
        <f>IF(PERCENTRANK(Table5[Total Weekday Frequency of Service], J40) &lt; 1/5, "1", IF(PERCENTRANK(Table5[Total Weekday Frequency of Service], J40) &lt; 2/5, "2", IF(PERCENTRANK(Table5[Total Weekday Frequency of Service], J40) &lt; 3/5, "3", IF(PERCENTRANK(Table5[Total Weekday Frequency of Service], J40) &lt; 4/5, "4", "5"))))</f>
        <v>3</v>
      </c>
      <c r="L40" s="14">
        <v>15</v>
      </c>
      <c r="M40" s="21" t="str">
        <f>IF(PERCENTRANK(Table5[Total Weekend Frequency of Service], L40) &lt; 1/5, "1", IF(PERCENTRANK(Table5[Total Weekend Frequency of Service], L40) &lt; 2/5, "2", IF(PERCENTRANK(Table5[Total Weekend Frequency of Service], L40) &lt; 3/5, "3", IF(PERCENTRANK(Table5[Total Weekend Frequency of Service], L40) &lt; 4/5, "4", "5"))))</f>
        <v>3</v>
      </c>
      <c r="N40" s="14">
        <f>Table5[[#This Row],[Weekend Frequency Grade]]+Table5[[#This Row],[Weekday Frequency Grade]]+Table5[[#This Row],[Weekday Ridership Grade]]+Table5[[#This Row],[Local Bus/Shuttle Grade]]+Table5[[#This Row],[Lines/Modes Grade]]</f>
        <v>11</v>
      </c>
      <c r="O40" s="21" t="str">
        <f>IF(PERCENTRANK(Table5[Transit Score], N40) &lt; 1/5, "1", IF(PERCENTRANK(Table5[Transit Score], N40) &lt; 2/5, "2", IF(PERCENTRANK(Table5[Transit Score], N40) &lt; 3/5, "3", IF(PERCENTRANK(Table5[Transit Score], N40) &lt; 4/5, "4", "5"))))</f>
        <v>2</v>
      </c>
      <c r="P40" s="21" t="str">
        <f>IF(PERCENTRANK(Table5[Transit Score], N40) &lt; 1/5, "LOW", IF(PERCENTRANK(Table5[Transit Score], N40) &lt; 2/5, "MEDIUM-LOW", IF(PERCENTRANK(Table5[Transit Score], N40) &lt; 3/5, "MEDIUM", IF(PERCENTRANK(Table5[Transit Score], N40) &lt; 4/5, "MEDIUM-HIGH", "HIGH"))))</f>
        <v>MEDIUM-LOW</v>
      </c>
    </row>
    <row r="41" spans="1:16" x14ac:dyDescent="0.25">
      <c r="A41" s="82" t="s">
        <v>119</v>
      </c>
      <c r="B41" s="83">
        <v>41</v>
      </c>
      <c r="C41" s="14">
        <v>2</v>
      </c>
      <c r="D41" s="14">
        <v>3</v>
      </c>
      <c r="E41" s="14" t="str">
        <f>IF(PERCENTRANK(Table5[Lines/ Modes Aggregate], D41) &lt; 1/5, "1", IF(PERCENTRANK(Table5[Lines/ Modes Aggregate], D41) &lt; 2/5, "2", IF(PERCENTRANK(Table5[Lines/ Modes Aggregate], D41) &lt; 3/5, "3", IF(PERCENTRANK(Table5[Lines/ Modes Aggregate], D41) &lt; 4/5, "4", "5"))))</f>
        <v>1</v>
      </c>
      <c r="F41" s="14">
        <v>2</v>
      </c>
      <c r="G41" s="14" t="str">
        <f>IF(PERCENTRANK(Table5[Local Bus/Shuttle Routes], F41) &lt; 1/5, "1", IF(PERCENTRANK(Table5[Local Bus/Shuttle Routes], F41) &lt; 2/5, "2", IF(PERCENTRANK(Table5[Local Bus/Shuttle Routes], F41) &lt; 3/5, "3", IF(PERCENTRANK(Table5[Local Bus/Shuttle Routes], F41) &lt; 4/5, "4", "5"))))</f>
        <v>2</v>
      </c>
      <c r="H41" s="84">
        <v>903.29353448275867</v>
      </c>
      <c r="I41" s="84" t="str">
        <f>IF(PERCENTRANK(Table5[Total Weekday Ridership], H41) &lt; 1/5, "1", IF(PERCENTRANK(Table5[Total Weekday Ridership], H41) &lt; 2/5, "2", IF(PERCENTRANK(Table5[Total Weekday Ridership], H41) &lt; 3/5, "3", IF(PERCENTRANK(Table5[Total Weekday Ridership], H41) &lt; 4/5, "4", "5"))))</f>
        <v>4</v>
      </c>
      <c r="J41" s="14">
        <v>60</v>
      </c>
      <c r="K41" s="14" t="str">
        <f>IF(PERCENTRANK(Table5[Total Weekday Frequency of Service], J41) &lt; 1/5, "1", IF(PERCENTRANK(Table5[Total Weekday Frequency of Service], J41) &lt; 2/5, "2", IF(PERCENTRANK(Table5[Total Weekday Frequency of Service], J41) &lt; 3/5, "3", IF(PERCENTRANK(Table5[Total Weekday Frequency of Service], J41) &lt; 4/5, "4", "5"))))</f>
        <v>3</v>
      </c>
      <c r="L41" s="14">
        <v>15</v>
      </c>
      <c r="M41" s="21" t="str">
        <f>IF(PERCENTRANK(Table5[Total Weekend Frequency of Service], L41) &lt; 1/5, "1", IF(PERCENTRANK(Table5[Total Weekend Frequency of Service], L41) &lt; 2/5, "2", IF(PERCENTRANK(Table5[Total Weekend Frequency of Service], L41) &lt; 3/5, "3", IF(PERCENTRANK(Table5[Total Weekend Frequency of Service], L41) &lt; 4/5, "4", "5"))))</f>
        <v>3</v>
      </c>
      <c r="N41" s="14">
        <f>Table5[[#This Row],[Weekend Frequency Grade]]+Table5[[#This Row],[Weekday Frequency Grade]]+Table5[[#This Row],[Weekday Ridership Grade]]+Table5[[#This Row],[Local Bus/Shuttle Grade]]+Table5[[#This Row],[Lines/Modes Grade]]</f>
        <v>13</v>
      </c>
      <c r="O41" s="21" t="str">
        <f>IF(PERCENTRANK(Table5[Transit Score], N41) &lt; 1/5, "1", IF(PERCENTRANK(Table5[Transit Score], N41) &lt; 2/5, "2", IF(PERCENTRANK(Table5[Transit Score], N41) &lt; 3/5, "3", IF(PERCENTRANK(Table5[Transit Score], N41) &lt; 4/5, "4", "5"))))</f>
        <v>3</v>
      </c>
      <c r="P41" s="21" t="str">
        <f>IF(PERCENTRANK(Table5[Transit Score], N41) &lt; 1/5, "LOW", IF(PERCENTRANK(Table5[Transit Score], N41) &lt; 2/5, "MEDIUM-LOW", IF(PERCENTRANK(Table5[Transit Score], N41) &lt; 3/5, "MEDIUM", IF(PERCENTRANK(Table5[Transit Score], N41) &lt; 4/5, "MEDIUM-HIGH", "HIGH"))))</f>
        <v>MEDIUM</v>
      </c>
    </row>
    <row r="42" spans="1:16" x14ac:dyDescent="0.25">
      <c r="A42" s="82" t="s">
        <v>121</v>
      </c>
      <c r="B42" s="83">
        <v>42</v>
      </c>
      <c r="C42" s="14">
        <v>1</v>
      </c>
      <c r="D42" s="14">
        <v>2</v>
      </c>
      <c r="E42" s="14" t="str">
        <f>IF(PERCENTRANK(Table5[Lines/ Modes Aggregate], D42) &lt; 1/5, "1", IF(PERCENTRANK(Table5[Lines/ Modes Aggregate], D42) &lt; 2/5, "2", IF(PERCENTRANK(Table5[Lines/ Modes Aggregate], D42) &lt; 3/5, "3", IF(PERCENTRANK(Table5[Lines/ Modes Aggregate], D42) &lt; 4/5, "4", "5"))))</f>
        <v>1</v>
      </c>
      <c r="F42" s="14"/>
      <c r="G42" s="14" t="str">
        <f>IF(PERCENTRANK(Table5[Local Bus/Shuttle Routes], F42) &lt; 1/5, "1", IF(PERCENTRANK(Table5[Local Bus/Shuttle Routes], F42) &lt; 2/5, "2", IF(PERCENTRANK(Table5[Local Bus/Shuttle Routes], F42) &lt; 3/5, "3", IF(PERCENTRANK(Table5[Local Bus/Shuttle Routes], F42) &lt; 4/5, "4", "5"))))</f>
        <v>1</v>
      </c>
      <c r="H42" s="84">
        <v>354.23275862068965</v>
      </c>
      <c r="I42" s="84" t="str">
        <f>IF(PERCENTRANK(Table5[Total Weekday Ridership], H42) &lt; 1/5, "1", IF(PERCENTRANK(Table5[Total Weekday Ridership], H42) &lt; 2/5, "2", IF(PERCENTRANK(Table5[Total Weekday Ridership], H42) &lt; 3/5, "3", IF(PERCENTRANK(Table5[Total Weekday Ridership], H42) &lt; 4/5, "4", "5"))))</f>
        <v>2</v>
      </c>
      <c r="J42" s="14">
        <v>60</v>
      </c>
      <c r="K42" s="14" t="str">
        <f>IF(PERCENTRANK(Table5[Total Weekday Frequency of Service], J42) &lt; 1/5, "1", IF(PERCENTRANK(Table5[Total Weekday Frequency of Service], J42) &lt; 2/5, "2", IF(PERCENTRANK(Table5[Total Weekday Frequency of Service], J42) &lt; 3/5, "3", IF(PERCENTRANK(Table5[Total Weekday Frequency of Service], J42) &lt; 4/5, "4", "5"))))</f>
        <v>3</v>
      </c>
      <c r="L42" s="14">
        <v>15</v>
      </c>
      <c r="M42" s="21" t="str">
        <f>IF(PERCENTRANK(Table5[Total Weekend Frequency of Service], L42) &lt; 1/5, "1", IF(PERCENTRANK(Table5[Total Weekend Frequency of Service], L42) &lt; 2/5, "2", IF(PERCENTRANK(Table5[Total Weekend Frequency of Service], L42) &lt; 3/5, "3", IF(PERCENTRANK(Table5[Total Weekend Frequency of Service], L42) &lt; 4/5, "4", "5"))))</f>
        <v>3</v>
      </c>
      <c r="N42" s="14">
        <f>Table5[[#This Row],[Weekend Frequency Grade]]+Table5[[#This Row],[Weekday Frequency Grade]]+Table5[[#This Row],[Weekday Ridership Grade]]+Table5[[#This Row],[Local Bus/Shuttle Grade]]+Table5[[#This Row],[Lines/Modes Grade]]</f>
        <v>10</v>
      </c>
      <c r="O42" s="21" t="str">
        <f>IF(PERCENTRANK(Table5[Transit Score], N42) &lt; 1/5, "1", IF(PERCENTRANK(Table5[Transit Score], N42) &lt; 2/5, "2", IF(PERCENTRANK(Table5[Transit Score], N42) &lt; 3/5, "3", IF(PERCENTRANK(Table5[Transit Score], N42) &lt; 4/5, "4", "5"))))</f>
        <v>2</v>
      </c>
      <c r="P42" s="21" t="str">
        <f>IF(PERCENTRANK(Table5[Transit Score], N42) &lt; 1/5, "LOW", IF(PERCENTRANK(Table5[Transit Score], N42) &lt; 2/5, "MEDIUM-LOW", IF(PERCENTRANK(Table5[Transit Score], N42) &lt; 3/5, "MEDIUM", IF(PERCENTRANK(Table5[Transit Score], N42) &lt; 4/5, "MEDIUM-HIGH", "HIGH"))))</f>
        <v>MEDIUM-LOW</v>
      </c>
    </row>
    <row r="43" spans="1:16" x14ac:dyDescent="0.25">
      <c r="A43" s="82" t="s">
        <v>123</v>
      </c>
      <c r="B43" s="83">
        <v>43</v>
      </c>
      <c r="C43" s="14">
        <v>2</v>
      </c>
      <c r="D43" s="14">
        <v>3</v>
      </c>
      <c r="E43" s="14" t="str">
        <f>IF(PERCENTRANK(Table5[Lines/ Modes Aggregate], D43) &lt; 1/5, "1", IF(PERCENTRANK(Table5[Lines/ Modes Aggregate], D43) &lt; 2/5, "2", IF(PERCENTRANK(Table5[Lines/ Modes Aggregate], D43) &lt; 3/5, "3", IF(PERCENTRANK(Table5[Lines/ Modes Aggregate], D43) &lt; 4/5, "4", "5"))))</f>
        <v>1</v>
      </c>
      <c r="F43" s="14">
        <v>1</v>
      </c>
      <c r="G43" s="14" t="str">
        <f>IF(PERCENTRANK(Table5[Local Bus/Shuttle Routes], F43) &lt; 1/5, "1", IF(PERCENTRANK(Table5[Local Bus/Shuttle Routes], F43) &lt; 2/5, "2", IF(PERCENTRANK(Table5[Local Bus/Shuttle Routes], F43) &lt; 3/5, "3", IF(PERCENTRANK(Table5[Local Bus/Shuttle Routes], F43) &lt; 4/5, "4", "5"))))</f>
        <v>1</v>
      </c>
      <c r="H43" s="84">
        <v>1098.121551724138</v>
      </c>
      <c r="I43" s="84" t="str">
        <f>IF(PERCENTRANK(Table5[Total Weekday Ridership], H43) &lt; 1/5, "1", IF(PERCENTRANK(Table5[Total Weekday Ridership], H43) &lt; 2/5, "2", IF(PERCENTRANK(Table5[Total Weekday Ridership], H43) &lt; 3/5, "3", IF(PERCENTRANK(Table5[Total Weekday Ridership], H43) &lt; 4/5, "4", "5"))))</f>
        <v>4</v>
      </c>
      <c r="J43" s="14">
        <v>60</v>
      </c>
      <c r="K43" s="14" t="str">
        <f>IF(PERCENTRANK(Table5[Total Weekday Frequency of Service], J43) &lt; 1/5, "1", IF(PERCENTRANK(Table5[Total Weekday Frequency of Service], J43) &lt; 2/5, "2", IF(PERCENTRANK(Table5[Total Weekday Frequency of Service], J43) &lt; 3/5, "3", IF(PERCENTRANK(Table5[Total Weekday Frequency of Service], J43) &lt; 4/5, "4", "5"))))</f>
        <v>3</v>
      </c>
      <c r="L43" s="14">
        <v>15</v>
      </c>
      <c r="M43" s="21" t="str">
        <f>IF(PERCENTRANK(Table5[Total Weekend Frequency of Service], L43) &lt; 1/5, "1", IF(PERCENTRANK(Table5[Total Weekend Frequency of Service], L43) &lt; 2/5, "2", IF(PERCENTRANK(Table5[Total Weekend Frequency of Service], L43) &lt; 3/5, "3", IF(PERCENTRANK(Table5[Total Weekend Frequency of Service], L43) &lt; 4/5, "4", "5"))))</f>
        <v>3</v>
      </c>
      <c r="N43" s="14">
        <f>Table5[[#This Row],[Weekend Frequency Grade]]+Table5[[#This Row],[Weekday Frequency Grade]]+Table5[[#This Row],[Weekday Ridership Grade]]+Table5[[#This Row],[Local Bus/Shuttle Grade]]+Table5[[#This Row],[Lines/Modes Grade]]</f>
        <v>12</v>
      </c>
      <c r="O43" s="21" t="str">
        <f>IF(PERCENTRANK(Table5[Transit Score], N43) &lt; 1/5, "1", IF(PERCENTRANK(Table5[Transit Score], N43) &lt; 2/5, "2", IF(PERCENTRANK(Table5[Transit Score], N43) &lt; 3/5, "3", IF(PERCENTRANK(Table5[Transit Score], N43) &lt; 4/5, "4", "5"))))</f>
        <v>3</v>
      </c>
      <c r="P43" s="21" t="str">
        <f>IF(PERCENTRANK(Table5[Transit Score], N43) &lt; 1/5, "LOW", IF(PERCENTRANK(Table5[Transit Score], N43) &lt; 2/5, "MEDIUM-LOW", IF(PERCENTRANK(Table5[Transit Score], N43) &lt; 3/5, "MEDIUM", IF(PERCENTRANK(Table5[Transit Score], N43) &lt; 4/5, "MEDIUM-HIGH", "HIGH"))))</f>
        <v>MEDIUM</v>
      </c>
    </row>
    <row r="44" spans="1:16" x14ac:dyDescent="0.25">
      <c r="A44" s="82" t="s">
        <v>124</v>
      </c>
      <c r="B44" s="83">
        <v>44</v>
      </c>
      <c r="C44" s="14">
        <v>2</v>
      </c>
      <c r="D44" s="14">
        <v>3</v>
      </c>
      <c r="E44" s="14" t="str">
        <f>IF(PERCENTRANK(Table5[Lines/ Modes Aggregate], D44) &lt; 1/5, "1", IF(PERCENTRANK(Table5[Lines/ Modes Aggregate], D44) &lt; 2/5, "2", IF(PERCENTRANK(Table5[Lines/ Modes Aggregate], D44) &lt; 3/5, "3", IF(PERCENTRANK(Table5[Lines/ Modes Aggregate], D44) &lt; 4/5, "4", "5"))))</f>
        <v>1</v>
      </c>
      <c r="F44" s="14">
        <v>1</v>
      </c>
      <c r="G44" s="14" t="str">
        <f>IF(PERCENTRANK(Table5[Local Bus/Shuttle Routes], F44) &lt; 1/5, "1", IF(PERCENTRANK(Table5[Local Bus/Shuttle Routes], F44) &lt; 2/5, "2", IF(PERCENTRANK(Table5[Local Bus/Shuttle Routes], F44) &lt; 3/5, "3", IF(PERCENTRANK(Table5[Local Bus/Shuttle Routes], F44) &lt; 4/5, "4", "5"))))</f>
        <v>1</v>
      </c>
      <c r="H44" s="84">
        <v>315.26715517241382</v>
      </c>
      <c r="I44" s="84" t="str">
        <f>IF(PERCENTRANK(Table5[Total Weekday Ridership], H44) &lt; 1/5, "1", IF(PERCENTRANK(Table5[Total Weekday Ridership], H44) &lt; 2/5, "2", IF(PERCENTRANK(Table5[Total Weekday Ridership], H44) &lt; 3/5, "3", IF(PERCENTRANK(Table5[Total Weekday Ridership], H44) &lt; 4/5, "4", "5"))))</f>
        <v>2</v>
      </c>
      <c r="J44" s="14">
        <v>90</v>
      </c>
      <c r="K44" s="14" t="str">
        <f>IF(PERCENTRANK(Table5[Total Weekday Frequency of Service], J44) &lt; 1/5, "1", IF(PERCENTRANK(Table5[Total Weekday Frequency of Service], J44) &lt; 2/5, "2", IF(PERCENTRANK(Table5[Total Weekday Frequency of Service], J44) &lt; 3/5, "3", IF(PERCENTRANK(Table5[Total Weekday Frequency of Service], J44) &lt; 4/5, "4", "5"))))</f>
        <v>4</v>
      </c>
      <c r="L44" s="14">
        <v>15</v>
      </c>
      <c r="M44" s="21" t="str">
        <f>IF(PERCENTRANK(Table5[Total Weekend Frequency of Service], L44) &lt; 1/5, "1", IF(PERCENTRANK(Table5[Total Weekend Frequency of Service], L44) &lt; 2/5, "2", IF(PERCENTRANK(Table5[Total Weekend Frequency of Service], L44) &lt; 3/5, "3", IF(PERCENTRANK(Table5[Total Weekend Frequency of Service], L44) &lt; 4/5, "4", "5"))))</f>
        <v>3</v>
      </c>
      <c r="N44" s="14">
        <f>Table5[[#This Row],[Weekend Frequency Grade]]+Table5[[#This Row],[Weekday Frequency Grade]]+Table5[[#This Row],[Weekday Ridership Grade]]+Table5[[#This Row],[Local Bus/Shuttle Grade]]+Table5[[#This Row],[Lines/Modes Grade]]</f>
        <v>11</v>
      </c>
      <c r="O44" s="21" t="str">
        <f>IF(PERCENTRANK(Table5[Transit Score], N44) &lt; 1/5, "1", IF(PERCENTRANK(Table5[Transit Score], N44) &lt; 2/5, "2", IF(PERCENTRANK(Table5[Transit Score], N44) &lt; 3/5, "3", IF(PERCENTRANK(Table5[Transit Score], N44) &lt; 4/5, "4", "5"))))</f>
        <v>2</v>
      </c>
      <c r="P44" s="21" t="str">
        <f>IF(PERCENTRANK(Table5[Transit Score], N44) &lt; 1/5, "LOW", IF(PERCENTRANK(Table5[Transit Score], N44) &lt; 2/5, "MEDIUM-LOW", IF(PERCENTRANK(Table5[Transit Score], N44) &lt; 3/5, "MEDIUM", IF(PERCENTRANK(Table5[Transit Score], N44) &lt; 4/5, "MEDIUM-HIGH", "HIGH"))))</f>
        <v>MEDIUM-LOW</v>
      </c>
    </row>
    <row r="45" spans="1:16" x14ac:dyDescent="0.25">
      <c r="A45" s="82" t="s">
        <v>125</v>
      </c>
      <c r="B45" s="83">
        <v>45</v>
      </c>
      <c r="C45" s="14">
        <v>1</v>
      </c>
      <c r="D45" s="14">
        <v>2</v>
      </c>
      <c r="E45" s="14" t="str">
        <f>IF(PERCENTRANK(Table5[Lines/ Modes Aggregate], D45) &lt; 1/5, "1", IF(PERCENTRANK(Table5[Lines/ Modes Aggregate], D45) &lt; 2/5, "2", IF(PERCENTRANK(Table5[Lines/ Modes Aggregate], D45) &lt; 3/5, "3", IF(PERCENTRANK(Table5[Lines/ Modes Aggregate], D45) &lt; 4/5, "4", "5"))))</f>
        <v>1</v>
      </c>
      <c r="F45" s="14">
        <v>0</v>
      </c>
      <c r="G45" s="14" t="str">
        <f>IF(PERCENTRANK(Table5[Local Bus/Shuttle Routes], F45) &lt; 1/5, "1", IF(PERCENTRANK(Table5[Local Bus/Shuttle Routes], F45) &lt; 2/5, "2", IF(PERCENTRANK(Table5[Local Bus/Shuttle Routes], F45) &lt; 3/5, "3", IF(PERCENTRANK(Table5[Local Bus/Shuttle Routes], F45) &lt; 4/5, "4", "5"))))</f>
        <v>1</v>
      </c>
      <c r="H45" s="84">
        <v>255.04758620689657</v>
      </c>
      <c r="I45" s="84" t="str">
        <f>IF(PERCENTRANK(Table5[Total Weekday Ridership], H45) &lt; 1/5, "1", IF(PERCENTRANK(Table5[Total Weekday Ridership], H45) &lt; 2/5, "2", IF(PERCENTRANK(Table5[Total Weekday Ridership], H45) &lt; 3/5, "3", IF(PERCENTRANK(Table5[Total Weekday Ridership], H45) &lt; 4/5, "4", "5"))))</f>
        <v>2</v>
      </c>
      <c r="J45" s="14">
        <v>90</v>
      </c>
      <c r="K45" s="14" t="str">
        <f>IF(PERCENTRANK(Table5[Total Weekday Frequency of Service], J45) &lt; 1/5, "1", IF(PERCENTRANK(Table5[Total Weekday Frequency of Service], J45) &lt; 2/5, "2", IF(PERCENTRANK(Table5[Total Weekday Frequency of Service], J45) &lt; 3/5, "3", IF(PERCENTRANK(Table5[Total Weekday Frequency of Service], J45) &lt; 4/5, "4", "5"))))</f>
        <v>4</v>
      </c>
      <c r="L45" s="14">
        <v>15</v>
      </c>
      <c r="M45" s="21" t="str">
        <f>IF(PERCENTRANK(Table5[Total Weekend Frequency of Service], L45) &lt; 1/5, "1", IF(PERCENTRANK(Table5[Total Weekend Frequency of Service], L45) &lt; 2/5, "2", IF(PERCENTRANK(Table5[Total Weekend Frequency of Service], L45) &lt; 3/5, "3", IF(PERCENTRANK(Table5[Total Weekend Frequency of Service], L45) &lt; 4/5, "4", "5"))))</f>
        <v>3</v>
      </c>
      <c r="N45" s="14">
        <f>Table5[[#This Row],[Weekend Frequency Grade]]+Table5[[#This Row],[Weekday Frequency Grade]]+Table5[[#This Row],[Weekday Ridership Grade]]+Table5[[#This Row],[Local Bus/Shuttle Grade]]+Table5[[#This Row],[Lines/Modes Grade]]</f>
        <v>11</v>
      </c>
      <c r="O45" s="21" t="str">
        <f>IF(PERCENTRANK(Table5[Transit Score], N45) &lt; 1/5, "1", IF(PERCENTRANK(Table5[Transit Score], N45) &lt; 2/5, "2", IF(PERCENTRANK(Table5[Transit Score], N45) &lt; 3/5, "3", IF(PERCENTRANK(Table5[Transit Score], N45) &lt; 4/5, "4", "5"))))</f>
        <v>2</v>
      </c>
      <c r="P45" s="21" t="str">
        <f>IF(PERCENTRANK(Table5[Transit Score], N45) &lt; 1/5, "LOW", IF(PERCENTRANK(Table5[Transit Score], N45) &lt; 2/5, "MEDIUM-LOW", IF(PERCENTRANK(Table5[Transit Score], N45) &lt; 3/5, "MEDIUM", IF(PERCENTRANK(Table5[Transit Score], N45) &lt; 4/5, "MEDIUM-HIGH", "HIGH"))))</f>
        <v>MEDIUM-LOW</v>
      </c>
    </row>
    <row r="46" spans="1:16" x14ac:dyDescent="0.25">
      <c r="A46" s="82" t="s">
        <v>126</v>
      </c>
      <c r="B46" s="83">
        <v>46</v>
      </c>
      <c r="C46" s="14">
        <v>2</v>
      </c>
      <c r="D46" s="14">
        <v>3</v>
      </c>
      <c r="E46" s="14" t="str">
        <f>IF(PERCENTRANK(Table5[Lines/ Modes Aggregate], D46) &lt; 1/5, "1", IF(PERCENTRANK(Table5[Lines/ Modes Aggregate], D46) &lt; 2/5, "2", IF(PERCENTRANK(Table5[Lines/ Modes Aggregate], D46) &lt; 3/5, "3", IF(PERCENTRANK(Table5[Lines/ Modes Aggregate], D46) &lt; 4/5, "4", "5"))))</f>
        <v>1</v>
      </c>
      <c r="F46" s="14">
        <v>1</v>
      </c>
      <c r="G46" s="14" t="str">
        <f>IF(PERCENTRANK(Table5[Local Bus/Shuttle Routes], F46) &lt; 1/5, "1", IF(PERCENTRANK(Table5[Local Bus/Shuttle Routes], F46) &lt; 2/5, "2", IF(PERCENTRANK(Table5[Local Bus/Shuttle Routes], F46) &lt; 3/5, "3", IF(PERCENTRANK(Table5[Local Bus/Shuttle Routes], F46) &lt; 4/5, "4", "5"))))</f>
        <v>1</v>
      </c>
      <c r="H46" s="84">
        <v>495.92586206896556</v>
      </c>
      <c r="I46" s="84" t="str">
        <f>IF(PERCENTRANK(Table5[Total Weekday Ridership], H46) &lt; 1/5, "1", IF(PERCENTRANK(Table5[Total Weekday Ridership], H46) &lt; 2/5, "2", IF(PERCENTRANK(Table5[Total Weekday Ridership], H46) &lt; 3/5, "3", IF(PERCENTRANK(Table5[Total Weekday Ridership], H46) &lt; 4/5, "4", "5"))))</f>
        <v>3</v>
      </c>
      <c r="J46" s="14">
        <v>90</v>
      </c>
      <c r="K46" s="14" t="str">
        <f>IF(PERCENTRANK(Table5[Total Weekday Frequency of Service], J46) &lt; 1/5, "1", IF(PERCENTRANK(Table5[Total Weekday Frequency of Service], J46) &lt; 2/5, "2", IF(PERCENTRANK(Table5[Total Weekday Frequency of Service], J46) &lt; 3/5, "3", IF(PERCENTRANK(Table5[Total Weekday Frequency of Service], J46) &lt; 4/5, "4", "5"))))</f>
        <v>4</v>
      </c>
      <c r="L46" s="14">
        <v>15</v>
      </c>
      <c r="M46" s="21" t="str">
        <f>IF(PERCENTRANK(Table5[Total Weekend Frequency of Service], L46) &lt; 1/5, "1", IF(PERCENTRANK(Table5[Total Weekend Frequency of Service], L46) &lt; 2/5, "2", IF(PERCENTRANK(Table5[Total Weekend Frequency of Service], L46) &lt; 3/5, "3", IF(PERCENTRANK(Table5[Total Weekend Frequency of Service], L46) &lt; 4/5, "4", "5"))))</f>
        <v>3</v>
      </c>
      <c r="N46" s="14">
        <f>Table5[[#This Row],[Weekend Frequency Grade]]+Table5[[#This Row],[Weekday Frequency Grade]]+Table5[[#This Row],[Weekday Ridership Grade]]+Table5[[#This Row],[Local Bus/Shuttle Grade]]+Table5[[#This Row],[Lines/Modes Grade]]</f>
        <v>12</v>
      </c>
      <c r="O46" s="21" t="str">
        <f>IF(PERCENTRANK(Table5[Transit Score], N46) &lt; 1/5, "1", IF(PERCENTRANK(Table5[Transit Score], N46) &lt; 2/5, "2", IF(PERCENTRANK(Table5[Transit Score], N46) &lt; 3/5, "3", IF(PERCENTRANK(Table5[Transit Score], N46) &lt; 4/5, "4", "5"))))</f>
        <v>3</v>
      </c>
      <c r="P46" s="21" t="str">
        <f>IF(PERCENTRANK(Table5[Transit Score], N46) &lt; 1/5, "LOW", IF(PERCENTRANK(Table5[Transit Score], N46) &lt; 2/5, "MEDIUM-LOW", IF(PERCENTRANK(Table5[Transit Score], N46) &lt; 3/5, "MEDIUM", IF(PERCENTRANK(Table5[Transit Score], N46) &lt; 4/5, "MEDIUM-HIGH", "HIGH"))))</f>
        <v>MEDIUM</v>
      </c>
    </row>
    <row r="47" spans="1:16" x14ac:dyDescent="0.25">
      <c r="A47" s="82" t="s">
        <v>127</v>
      </c>
      <c r="B47" s="83">
        <v>47</v>
      </c>
      <c r="C47" s="14">
        <v>1</v>
      </c>
      <c r="D47" s="14">
        <v>2</v>
      </c>
      <c r="E47" s="14" t="str">
        <f>IF(PERCENTRANK(Table5[Lines/ Modes Aggregate], D47) &lt; 1/5, "1", IF(PERCENTRANK(Table5[Lines/ Modes Aggregate], D47) &lt; 2/5, "2", IF(PERCENTRANK(Table5[Lines/ Modes Aggregate], D47) &lt; 3/5, "3", IF(PERCENTRANK(Table5[Lines/ Modes Aggregate], D47) &lt; 4/5, "4", "5"))))</f>
        <v>1</v>
      </c>
      <c r="F47" s="14">
        <v>0</v>
      </c>
      <c r="G47" s="14" t="str">
        <f>IF(PERCENTRANK(Table5[Local Bus/Shuttle Routes], F47) &lt; 1/5, "1", IF(PERCENTRANK(Table5[Local Bus/Shuttle Routes], F47) &lt; 2/5, "2", IF(PERCENTRANK(Table5[Local Bus/Shuttle Routes], F47) &lt; 3/5, "3", IF(PERCENTRANK(Table5[Local Bus/Shuttle Routes], F47) &lt; 4/5, "4", "5"))))</f>
        <v>1</v>
      </c>
      <c r="H47" s="84">
        <v>180.65870689655171</v>
      </c>
      <c r="I47" s="84" t="str">
        <f>IF(PERCENTRANK(Table5[Total Weekday Ridership], H47) &lt; 1/5, "1", IF(PERCENTRANK(Table5[Total Weekday Ridership], H47) &lt; 2/5, "2", IF(PERCENTRANK(Table5[Total Weekday Ridership], H47) &lt; 3/5, "3", IF(PERCENTRANK(Table5[Total Weekday Ridership], H47) &lt; 4/5, "4", "5"))))</f>
        <v>1</v>
      </c>
      <c r="J47" s="14">
        <v>90</v>
      </c>
      <c r="K47" s="14" t="str">
        <f>IF(PERCENTRANK(Table5[Total Weekday Frequency of Service], J47) &lt; 1/5, "1", IF(PERCENTRANK(Table5[Total Weekday Frequency of Service], J47) &lt; 2/5, "2", IF(PERCENTRANK(Table5[Total Weekday Frequency of Service], J47) &lt; 3/5, "3", IF(PERCENTRANK(Table5[Total Weekday Frequency of Service], J47) &lt; 4/5, "4", "5"))))</f>
        <v>4</v>
      </c>
      <c r="L47" s="14">
        <v>15</v>
      </c>
      <c r="M47" s="21" t="str">
        <f>IF(PERCENTRANK(Table5[Total Weekend Frequency of Service], L47) &lt; 1/5, "1", IF(PERCENTRANK(Table5[Total Weekend Frequency of Service], L47) &lt; 2/5, "2", IF(PERCENTRANK(Table5[Total Weekend Frequency of Service], L47) &lt; 3/5, "3", IF(PERCENTRANK(Table5[Total Weekend Frequency of Service], L47) &lt; 4/5, "4", "5"))))</f>
        <v>3</v>
      </c>
      <c r="N47" s="14">
        <f>Table5[[#This Row],[Weekend Frequency Grade]]+Table5[[#This Row],[Weekday Frequency Grade]]+Table5[[#This Row],[Weekday Ridership Grade]]+Table5[[#This Row],[Local Bus/Shuttle Grade]]+Table5[[#This Row],[Lines/Modes Grade]]</f>
        <v>10</v>
      </c>
      <c r="O47" s="21" t="str">
        <f>IF(PERCENTRANK(Table5[Transit Score], N47) &lt; 1/5, "1", IF(PERCENTRANK(Table5[Transit Score], N47) &lt; 2/5, "2", IF(PERCENTRANK(Table5[Transit Score], N47) &lt; 3/5, "3", IF(PERCENTRANK(Table5[Transit Score], N47) &lt; 4/5, "4", "5"))))</f>
        <v>2</v>
      </c>
      <c r="P47" s="21" t="str">
        <f>IF(PERCENTRANK(Table5[Transit Score], N47) &lt; 1/5, "LOW", IF(PERCENTRANK(Table5[Transit Score], N47) &lt; 2/5, "MEDIUM-LOW", IF(PERCENTRANK(Table5[Transit Score], N47) &lt; 3/5, "MEDIUM", IF(PERCENTRANK(Table5[Transit Score], N47) &lt; 4/5, "MEDIUM-HIGH", "HIGH"))))</f>
        <v>MEDIUM-LOW</v>
      </c>
    </row>
    <row r="48" spans="1:16" x14ac:dyDescent="0.25">
      <c r="A48" s="82" t="s">
        <v>128</v>
      </c>
      <c r="B48" s="83">
        <v>48</v>
      </c>
      <c r="C48" s="14">
        <v>2</v>
      </c>
      <c r="D48" s="14">
        <v>3</v>
      </c>
      <c r="E48" s="14" t="str">
        <f>IF(PERCENTRANK(Table5[Lines/ Modes Aggregate], D48) &lt; 1/5, "1", IF(PERCENTRANK(Table5[Lines/ Modes Aggregate], D48) &lt; 2/5, "2", IF(PERCENTRANK(Table5[Lines/ Modes Aggregate], D48) &lt; 3/5, "3", IF(PERCENTRANK(Table5[Lines/ Modes Aggregate], D48) &lt; 4/5, "4", "5"))))</f>
        <v>1</v>
      </c>
      <c r="F48" s="14">
        <v>1</v>
      </c>
      <c r="G48" s="14" t="str">
        <f>IF(PERCENTRANK(Table5[Local Bus/Shuttle Routes], F48) &lt; 1/5, "1", IF(PERCENTRANK(Table5[Local Bus/Shuttle Routes], F48) &lt; 2/5, "2", IF(PERCENTRANK(Table5[Local Bus/Shuttle Routes], F48) &lt; 3/5, "3", IF(PERCENTRANK(Table5[Local Bus/Shuttle Routes], F48) &lt; 4/5, "4", "5"))))</f>
        <v>1</v>
      </c>
      <c r="H48" s="84">
        <v>832.44698275862072</v>
      </c>
      <c r="I48" s="84" t="str">
        <f>IF(PERCENTRANK(Table5[Total Weekday Ridership], H48) &lt; 1/5, "1", IF(PERCENTRANK(Table5[Total Weekday Ridership], H48) &lt; 2/5, "2", IF(PERCENTRANK(Table5[Total Weekday Ridership], H48) &lt; 3/5, "3", IF(PERCENTRANK(Table5[Total Weekday Ridership], H48) &lt; 4/5, "4", "5"))))</f>
        <v>4</v>
      </c>
      <c r="J48" s="14">
        <v>90</v>
      </c>
      <c r="K48" s="14" t="str">
        <f>IF(PERCENTRANK(Table5[Total Weekday Frequency of Service], J48) &lt; 1/5, "1", IF(PERCENTRANK(Table5[Total Weekday Frequency of Service], J48) &lt; 2/5, "2", IF(PERCENTRANK(Table5[Total Weekday Frequency of Service], J48) &lt; 3/5, "3", IF(PERCENTRANK(Table5[Total Weekday Frequency of Service], J48) &lt; 4/5, "4", "5"))))</f>
        <v>4</v>
      </c>
      <c r="L48" s="14">
        <v>15</v>
      </c>
      <c r="M48" s="21" t="str">
        <f>IF(PERCENTRANK(Table5[Total Weekend Frequency of Service], L48) &lt; 1/5, "1", IF(PERCENTRANK(Table5[Total Weekend Frequency of Service], L48) &lt; 2/5, "2", IF(PERCENTRANK(Table5[Total Weekend Frequency of Service], L48) &lt; 3/5, "3", IF(PERCENTRANK(Table5[Total Weekend Frequency of Service], L48) &lt; 4/5, "4", "5"))))</f>
        <v>3</v>
      </c>
      <c r="N48" s="14">
        <f>Table5[[#This Row],[Weekend Frequency Grade]]+Table5[[#This Row],[Weekday Frequency Grade]]+Table5[[#This Row],[Weekday Ridership Grade]]+Table5[[#This Row],[Local Bus/Shuttle Grade]]+Table5[[#This Row],[Lines/Modes Grade]]</f>
        <v>13</v>
      </c>
      <c r="O48" s="21" t="str">
        <f>IF(PERCENTRANK(Table5[Transit Score], N48) &lt; 1/5, "1", IF(PERCENTRANK(Table5[Transit Score], N48) &lt; 2/5, "2", IF(PERCENTRANK(Table5[Transit Score], N48) &lt; 3/5, "3", IF(PERCENTRANK(Table5[Transit Score], N48) &lt; 4/5, "4", "5"))))</f>
        <v>3</v>
      </c>
      <c r="P48" s="21" t="str">
        <f>IF(PERCENTRANK(Table5[Transit Score], N48) &lt; 1/5, "LOW", IF(PERCENTRANK(Table5[Transit Score], N48) &lt; 2/5, "MEDIUM-LOW", IF(PERCENTRANK(Table5[Transit Score], N48) &lt; 3/5, "MEDIUM", IF(PERCENTRANK(Table5[Transit Score], N48) &lt; 4/5, "MEDIUM-HIGH", "HIGH"))))</f>
        <v>MEDIUM</v>
      </c>
    </row>
    <row r="49" spans="1:16" x14ac:dyDescent="0.25">
      <c r="A49" s="82" t="s">
        <v>130</v>
      </c>
      <c r="B49" s="83">
        <v>49</v>
      </c>
      <c r="C49" s="14">
        <v>1</v>
      </c>
      <c r="D49" s="14">
        <v>2</v>
      </c>
      <c r="E49" s="14" t="str">
        <f>IF(PERCENTRANK(Table5[Lines/ Modes Aggregate], D49) &lt; 1/5, "1", IF(PERCENTRANK(Table5[Lines/ Modes Aggregate], D49) &lt; 2/5, "2", IF(PERCENTRANK(Table5[Lines/ Modes Aggregate], D49) &lt; 3/5, "3", IF(PERCENTRANK(Table5[Lines/ Modes Aggregate], D49) &lt; 4/5, "4", "5"))))</f>
        <v>1</v>
      </c>
      <c r="F49" s="14">
        <v>0</v>
      </c>
      <c r="G49" s="14" t="str">
        <f>IF(PERCENTRANK(Table5[Local Bus/Shuttle Routes], F49) &lt; 1/5, "1", IF(PERCENTRANK(Table5[Local Bus/Shuttle Routes], F49) &lt; 2/5, "2", IF(PERCENTRANK(Table5[Local Bus/Shuttle Routes], F49) &lt; 3/5, "3", IF(PERCENTRANK(Table5[Local Bus/Shuttle Routes], F49) &lt; 4/5, "4", "5"))))</f>
        <v>1</v>
      </c>
      <c r="H49" s="84">
        <v>155.5</v>
      </c>
      <c r="I49" s="84" t="str">
        <f>IF(PERCENTRANK(Table5[Total Weekday Ridership], H49) &lt; 1/5, "1", IF(PERCENTRANK(Table5[Total Weekday Ridership], H49) &lt; 2/5, "2", IF(PERCENTRANK(Table5[Total Weekday Ridership], H49) &lt; 3/5, "3", IF(PERCENTRANK(Table5[Total Weekday Ridership], H49) &lt; 4/5, "4", "5"))))</f>
        <v>1</v>
      </c>
      <c r="J49" s="21">
        <v>14</v>
      </c>
      <c r="K49" s="21" t="str">
        <f>IF(PERCENTRANK(Table5[Total Weekday Frequency of Service], J49) &lt; 1/5, "1", IF(PERCENTRANK(Table5[Total Weekday Frequency of Service], J49) &lt; 2/5, "2", IF(PERCENTRANK(Table5[Total Weekday Frequency of Service], J49) &lt; 3/5, "3", IF(PERCENTRANK(Table5[Total Weekday Frequency of Service], J49) &lt; 4/5, "4", "5"))))</f>
        <v>1</v>
      </c>
      <c r="L49" s="14">
        <v>0</v>
      </c>
      <c r="M49" s="21" t="str">
        <f>IF(PERCENTRANK(Table5[Total Weekend Frequency of Service], L49) &lt; 1/5, "1", IF(PERCENTRANK(Table5[Total Weekend Frequency of Service], L49) &lt; 2/5, "2", IF(PERCENTRANK(Table5[Total Weekend Frequency of Service], L49) &lt; 3/5, "3", IF(PERCENTRANK(Table5[Total Weekend Frequency of Service], L49) &lt; 4/5, "4", "5"))))</f>
        <v>1</v>
      </c>
      <c r="N49" s="14">
        <f>Table5[[#This Row],[Weekend Frequency Grade]]+Table5[[#This Row],[Weekday Frequency Grade]]+Table5[[#This Row],[Weekday Ridership Grade]]+Table5[[#This Row],[Local Bus/Shuttle Grade]]+Table5[[#This Row],[Lines/Modes Grade]]</f>
        <v>5</v>
      </c>
      <c r="O49" s="21" t="str">
        <f>IF(PERCENTRANK(Table5[Transit Score], N49) &lt; 1/5, "1", IF(PERCENTRANK(Table5[Transit Score], N49) &lt; 2/5, "2", IF(PERCENTRANK(Table5[Transit Score], N49) &lt; 3/5, "3", IF(PERCENTRANK(Table5[Transit Score], N49) &lt; 4/5, "4", "5"))))</f>
        <v>1</v>
      </c>
      <c r="P49" s="21" t="str">
        <f>IF(PERCENTRANK(Table5[Transit Score], N49) &lt; 1/5, "LOW", IF(PERCENTRANK(Table5[Transit Score], N49) &lt; 2/5, "MEDIUM-LOW", IF(PERCENTRANK(Table5[Transit Score], N49) &lt; 3/5, "MEDIUM", IF(PERCENTRANK(Table5[Transit Score], N49) &lt; 4/5, "MEDIUM-HIGH", "HIGH"))))</f>
        <v>LOW</v>
      </c>
    </row>
    <row r="50" spans="1:16" x14ac:dyDescent="0.25">
      <c r="A50" s="82" t="s">
        <v>135</v>
      </c>
      <c r="B50" s="83">
        <v>50</v>
      </c>
      <c r="C50" s="14">
        <v>3</v>
      </c>
      <c r="D50" s="14">
        <v>4</v>
      </c>
      <c r="E50" s="14" t="str">
        <f>IF(PERCENTRANK(Table5[Lines/ Modes Aggregate], D50) &lt; 1/5, "1", IF(PERCENTRANK(Table5[Lines/ Modes Aggregate], D50) &lt; 2/5, "2", IF(PERCENTRANK(Table5[Lines/ Modes Aggregate], D50) &lt; 3/5, "3", IF(PERCENTRANK(Table5[Lines/ Modes Aggregate], D50) &lt; 4/5, "4", "5"))))</f>
        <v>4</v>
      </c>
      <c r="F50" s="14">
        <v>6</v>
      </c>
      <c r="G50" s="14" t="str">
        <f>IF(PERCENTRANK(Table5[Local Bus/Shuttle Routes], F50) &lt; 1/5, "1", IF(PERCENTRANK(Table5[Local Bus/Shuttle Routes], F50) &lt; 2/5, "2", IF(PERCENTRANK(Table5[Local Bus/Shuttle Routes], F50) &lt; 3/5, "3", IF(PERCENTRANK(Table5[Local Bus/Shuttle Routes], F50) &lt; 4/5, "4", "5"))))</f>
        <v>4</v>
      </c>
      <c r="H50" s="84">
        <v>187.33333333333334</v>
      </c>
      <c r="I50" s="84" t="str">
        <f>IF(PERCENTRANK(Table5[Total Weekday Ridership], H50) &lt; 1/5, "1", IF(PERCENTRANK(Table5[Total Weekday Ridership], H50) &lt; 2/5, "2", IF(PERCENTRANK(Table5[Total Weekday Ridership], H50) &lt; 3/5, "3", IF(PERCENTRANK(Table5[Total Weekday Ridership], H50) &lt; 4/5, "4", "5"))))</f>
        <v>1</v>
      </c>
      <c r="J50" s="21">
        <v>14</v>
      </c>
      <c r="K50" s="21" t="str">
        <f>IF(PERCENTRANK(Table5[Total Weekday Frequency of Service], J50) &lt; 1/5, "1", IF(PERCENTRANK(Table5[Total Weekday Frequency of Service], J50) &lt; 2/5, "2", IF(PERCENTRANK(Table5[Total Weekday Frequency of Service], J50) &lt; 3/5, "3", IF(PERCENTRANK(Table5[Total Weekday Frequency of Service], J50) &lt; 4/5, "4", "5"))))</f>
        <v>1</v>
      </c>
      <c r="L50" s="14">
        <v>0</v>
      </c>
      <c r="M50" s="21" t="str">
        <f>IF(PERCENTRANK(Table5[Total Weekend Frequency of Service], L50) &lt; 1/5, "1", IF(PERCENTRANK(Table5[Total Weekend Frequency of Service], L50) &lt; 2/5, "2", IF(PERCENTRANK(Table5[Total Weekend Frequency of Service], L50) &lt; 3/5, "3", IF(PERCENTRANK(Table5[Total Weekend Frequency of Service], L50) &lt; 4/5, "4", "5"))))</f>
        <v>1</v>
      </c>
      <c r="N50" s="14">
        <f>Table5[[#This Row],[Weekend Frequency Grade]]+Table5[[#This Row],[Weekday Frequency Grade]]+Table5[[#This Row],[Weekday Ridership Grade]]+Table5[[#This Row],[Local Bus/Shuttle Grade]]+Table5[[#This Row],[Lines/Modes Grade]]</f>
        <v>11</v>
      </c>
      <c r="O50" s="21" t="str">
        <f>IF(PERCENTRANK(Table5[Transit Score], N50) &lt; 1/5, "1", IF(PERCENTRANK(Table5[Transit Score], N50) &lt; 2/5, "2", IF(PERCENTRANK(Table5[Transit Score], N50) &lt; 3/5, "3", IF(PERCENTRANK(Table5[Transit Score], N50) &lt; 4/5, "4", "5"))))</f>
        <v>2</v>
      </c>
      <c r="P50" s="21" t="str">
        <f>IF(PERCENTRANK(Table5[Transit Score], N50) &lt; 1/5, "LOW", IF(PERCENTRANK(Table5[Transit Score], N50) &lt; 2/5, "MEDIUM-LOW", IF(PERCENTRANK(Table5[Transit Score], N50) &lt; 3/5, "MEDIUM", IF(PERCENTRANK(Table5[Transit Score], N50) &lt; 4/5, "MEDIUM-HIGH", "HIGH"))))</f>
        <v>MEDIUM-LOW</v>
      </c>
    </row>
    <row r="51" spans="1:16" x14ac:dyDescent="0.25">
      <c r="A51" s="82" t="s">
        <v>140</v>
      </c>
      <c r="B51" s="83">
        <v>51</v>
      </c>
      <c r="C51" s="14">
        <v>2</v>
      </c>
      <c r="D51" s="14">
        <v>3</v>
      </c>
      <c r="E51" s="14" t="str">
        <f>IF(PERCENTRANK(Table5[Lines/ Modes Aggregate], D51) &lt; 1/5, "1", IF(PERCENTRANK(Table5[Lines/ Modes Aggregate], D51) &lt; 2/5, "2", IF(PERCENTRANK(Table5[Lines/ Modes Aggregate], D51) &lt; 3/5, "3", IF(PERCENTRANK(Table5[Lines/ Modes Aggregate], D51) &lt; 4/5, "4", "5"))))</f>
        <v>1</v>
      </c>
      <c r="F51" s="14">
        <v>2</v>
      </c>
      <c r="G51" s="14" t="str">
        <f>IF(PERCENTRANK(Table5[Local Bus/Shuttle Routes], F51) &lt; 1/5, "1", IF(PERCENTRANK(Table5[Local Bus/Shuttle Routes], F51) &lt; 2/5, "2", IF(PERCENTRANK(Table5[Local Bus/Shuttle Routes], F51) &lt; 3/5, "3", IF(PERCENTRANK(Table5[Local Bus/Shuttle Routes], F51) &lt; 4/5, "4", "5"))))</f>
        <v>2</v>
      </c>
      <c r="H51" s="84">
        <v>238.75</v>
      </c>
      <c r="I51" s="84" t="str">
        <f>IF(PERCENTRANK(Table5[Total Weekday Ridership], H51) &lt; 1/5, "1", IF(PERCENTRANK(Table5[Total Weekday Ridership], H51) &lt; 2/5, "2", IF(PERCENTRANK(Table5[Total Weekday Ridership], H51) &lt; 3/5, "3", IF(PERCENTRANK(Table5[Total Weekday Ridership], H51) &lt; 4/5, "4", "5"))))</f>
        <v>2</v>
      </c>
      <c r="J51" s="21">
        <v>14</v>
      </c>
      <c r="K51" s="21" t="str">
        <f>IF(PERCENTRANK(Table5[Total Weekday Frequency of Service], J51) &lt; 1/5, "1", IF(PERCENTRANK(Table5[Total Weekday Frequency of Service], J51) &lt; 2/5, "2", IF(PERCENTRANK(Table5[Total Weekday Frequency of Service], J51) &lt; 3/5, "3", IF(PERCENTRANK(Table5[Total Weekday Frequency of Service], J51) &lt; 4/5, "4", "5"))))</f>
        <v>1</v>
      </c>
      <c r="L51" s="14">
        <v>0</v>
      </c>
      <c r="M51" s="21" t="str">
        <f>IF(PERCENTRANK(Table5[Total Weekend Frequency of Service], L51) &lt; 1/5, "1", IF(PERCENTRANK(Table5[Total Weekend Frequency of Service], L51) &lt; 2/5, "2", IF(PERCENTRANK(Table5[Total Weekend Frequency of Service], L51) &lt; 3/5, "3", IF(PERCENTRANK(Table5[Total Weekend Frequency of Service], L51) &lt; 4/5, "4", "5"))))</f>
        <v>1</v>
      </c>
      <c r="N51" s="14">
        <f>Table5[[#This Row],[Weekend Frequency Grade]]+Table5[[#This Row],[Weekday Frequency Grade]]+Table5[[#This Row],[Weekday Ridership Grade]]+Table5[[#This Row],[Local Bus/Shuttle Grade]]+Table5[[#This Row],[Lines/Modes Grade]]</f>
        <v>7</v>
      </c>
      <c r="O51" s="21" t="str">
        <f>IF(PERCENTRANK(Table5[Transit Score], N51) &lt; 1/5, "1", IF(PERCENTRANK(Table5[Transit Score], N51) &lt; 2/5, "2", IF(PERCENTRANK(Table5[Transit Score], N51) &lt; 3/5, "3", IF(PERCENTRANK(Table5[Transit Score], N51) &lt; 4/5, "4", "5"))))</f>
        <v>1</v>
      </c>
      <c r="P51" s="21" t="str">
        <f>IF(PERCENTRANK(Table5[Transit Score], N51) &lt; 1/5, "LOW", IF(PERCENTRANK(Table5[Transit Score], N51) &lt; 2/5, "MEDIUM-LOW", IF(PERCENTRANK(Table5[Transit Score], N51) &lt; 3/5, "MEDIUM", IF(PERCENTRANK(Table5[Transit Score], N51) &lt; 4/5, "MEDIUM-HIGH", "HIGH"))))</f>
        <v>LOW</v>
      </c>
    </row>
    <row r="52" spans="1:16" x14ac:dyDescent="0.25">
      <c r="A52" s="82" t="s">
        <v>143</v>
      </c>
      <c r="B52" s="83">
        <v>52</v>
      </c>
      <c r="C52" s="14">
        <v>3</v>
      </c>
      <c r="D52" s="14">
        <v>4</v>
      </c>
      <c r="E52" s="14" t="str">
        <f>IF(PERCENTRANK(Table5[Lines/ Modes Aggregate], D52) &lt; 1/5, "1", IF(PERCENTRANK(Table5[Lines/ Modes Aggregate], D52) &lt; 2/5, "2", IF(PERCENTRANK(Table5[Lines/ Modes Aggregate], D52) &lt; 3/5, "3", IF(PERCENTRANK(Table5[Lines/ Modes Aggregate], D52) &lt; 4/5, "4", "5"))))</f>
        <v>4</v>
      </c>
      <c r="F52" s="14">
        <v>2</v>
      </c>
      <c r="G52" s="14" t="str">
        <f>IF(PERCENTRANK(Table5[Local Bus/Shuttle Routes], F52) &lt; 1/5, "1", IF(PERCENTRANK(Table5[Local Bus/Shuttle Routes], F52) &lt; 2/5, "2", IF(PERCENTRANK(Table5[Local Bus/Shuttle Routes], F52) &lt; 3/5, "3", IF(PERCENTRANK(Table5[Local Bus/Shuttle Routes], F52) &lt; 4/5, "4", "5"))))</f>
        <v>2</v>
      </c>
      <c r="H52" s="84">
        <v>343.83333333333331</v>
      </c>
      <c r="I52" s="84" t="str">
        <f>IF(PERCENTRANK(Table5[Total Weekday Ridership], H52) &lt; 1/5, "1", IF(PERCENTRANK(Table5[Total Weekday Ridership], H52) &lt; 2/5, "2", IF(PERCENTRANK(Table5[Total Weekday Ridership], H52) &lt; 3/5, "3", IF(PERCENTRANK(Table5[Total Weekday Ridership], H52) &lt; 4/5, "4", "5"))))</f>
        <v>2</v>
      </c>
      <c r="J52" s="21">
        <v>18</v>
      </c>
      <c r="K52" s="21" t="str">
        <f>IF(PERCENTRANK(Table5[Total Weekday Frequency of Service], J52) &lt; 1/5, "1", IF(PERCENTRANK(Table5[Total Weekday Frequency of Service], J52) &lt; 2/5, "2", IF(PERCENTRANK(Table5[Total Weekday Frequency of Service], J52) &lt; 3/5, "3", IF(PERCENTRANK(Table5[Total Weekday Frequency of Service], J52) &lt; 4/5, "4", "5"))))</f>
        <v>2</v>
      </c>
      <c r="L52" s="14">
        <v>6</v>
      </c>
      <c r="M52" s="21" t="str">
        <f>IF(PERCENTRANK(Table5[Total Weekend Frequency of Service], L52) &lt; 1/5, "1", IF(PERCENTRANK(Table5[Total Weekend Frequency of Service], L52) &lt; 2/5, "2", IF(PERCENTRANK(Table5[Total Weekend Frequency of Service], L52) &lt; 3/5, "3", IF(PERCENTRANK(Table5[Total Weekend Frequency of Service], L52) &lt; 4/5, "4", "5"))))</f>
        <v>2</v>
      </c>
      <c r="N52" s="14">
        <f>Table5[[#This Row],[Weekend Frequency Grade]]+Table5[[#This Row],[Weekday Frequency Grade]]+Table5[[#This Row],[Weekday Ridership Grade]]+Table5[[#This Row],[Local Bus/Shuttle Grade]]+Table5[[#This Row],[Lines/Modes Grade]]</f>
        <v>12</v>
      </c>
      <c r="O52" s="21" t="str">
        <f>IF(PERCENTRANK(Table5[Transit Score], N52) &lt; 1/5, "1", IF(PERCENTRANK(Table5[Transit Score], N52) &lt; 2/5, "2", IF(PERCENTRANK(Table5[Transit Score], N52) &lt; 3/5, "3", IF(PERCENTRANK(Table5[Transit Score], N52) &lt; 4/5, "4", "5"))))</f>
        <v>3</v>
      </c>
      <c r="P52" s="21" t="str">
        <f>IF(PERCENTRANK(Table5[Transit Score], N52) &lt; 1/5, "LOW", IF(PERCENTRANK(Table5[Transit Score], N52) &lt; 2/5, "MEDIUM-LOW", IF(PERCENTRANK(Table5[Transit Score], N52) &lt; 3/5, "MEDIUM", IF(PERCENTRANK(Table5[Transit Score], N52) &lt; 4/5, "MEDIUM-HIGH", "HIGH"))))</f>
        <v>MEDIUM</v>
      </c>
    </row>
    <row r="53" spans="1:16" x14ac:dyDescent="0.25">
      <c r="A53" s="82" t="s">
        <v>147</v>
      </c>
      <c r="B53" s="83">
        <v>53</v>
      </c>
      <c r="C53" s="14">
        <v>4</v>
      </c>
      <c r="D53" s="14">
        <v>5</v>
      </c>
      <c r="E53" s="14" t="str">
        <f>IF(PERCENTRANK(Table5[Lines/ Modes Aggregate], D53) &lt; 1/5, "1", IF(PERCENTRANK(Table5[Lines/ Modes Aggregate], D53) &lt; 2/5, "2", IF(PERCENTRANK(Table5[Lines/ Modes Aggregate], D53) &lt; 3/5, "3", IF(PERCENTRANK(Table5[Lines/ Modes Aggregate], D53) &lt; 4/5, "4", "5"))))</f>
        <v>5</v>
      </c>
      <c r="F53" s="14">
        <v>7</v>
      </c>
      <c r="G53" s="14" t="str">
        <f>IF(PERCENTRANK(Table5[Local Bus/Shuttle Routes], F53) &lt; 1/5, "1", IF(PERCENTRANK(Table5[Local Bus/Shuttle Routes], F53) &lt; 2/5, "2", IF(PERCENTRANK(Table5[Local Bus/Shuttle Routes], F53) &lt; 3/5, "3", IF(PERCENTRANK(Table5[Local Bus/Shuttle Routes], F53) &lt; 4/5, "4", "5"))))</f>
        <v>5</v>
      </c>
      <c r="H53" s="84">
        <v>723.08333333333337</v>
      </c>
      <c r="I53" s="84" t="str">
        <f>IF(PERCENTRANK(Table5[Total Weekday Ridership], H53) &lt; 1/5, "1", IF(PERCENTRANK(Table5[Total Weekday Ridership], H53) &lt; 2/5, "2", IF(PERCENTRANK(Table5[Total Weekday Ridership], H53) &lt; 3/5, "3", IF(PERCENTRANK(Table5[Total Weekday Ridership], H53) &lt; 4/5, "4", "5"))))</f>
        <v>3</v>
      </c>
      <c r="J53" s="21">
        <v>42</v>
      </c>
      <c r="K53" s="21" t="str">
        <f>IF(PERCENTRANK(Table5[Total Weekday Frequency of Service], J53) &lt; 1/5, "1", IF(PERCENTRANK(Table5[Total Weekday Frequency of Service], J53) &lt; 2/5, "2", IF(PERCENTRANK(Table5[Total Weekday Frequency of Service], J53) &lt; 3/5, "3", IF(PERCENTRANK(Table5[Total Weekday Frequency of Service], J53) &lt; 4/5, "4", "5"))))</f>
        <v>2</v>
      </c>
      <c r="L53" s="14">
        <v>18</v>
      </c>
      <c r="M53" s="21" t="str">
        <f>IF(PERCENTRANK(Table5[Total Weekend Frequency of Service], L53) &lt; 1/5, "1", IF(PERCENTRANK(Table5[Total Weekend Frequency of Service], L53) &lt; 2/5, "2", IF(PERCENTRANK(Table5[Total Weekend Frequency of Service], L53) &lt; 3/5, "3", IF(PERCENTRANK(Table5[Total Weekend Frequency of Service], L53) &lt; 4/5, "4", "5"))))</f>
        <v>4</v>
      </c>
      <c r="N53" s="14">
        <f>Table5[[#This Row],[Weekend Frequency Grade]]+Table5[[#This Row],[Weekday Frequency Grade]]+Table5[[#This Row],[Weekday Ridership Grade]]+Table5[[#This Row],[Local Bus/Shuttle Grade]]+Table5[[#This Row],[Lines/Modes Grade]]</f>
        <v>19</v>
      </c>
      <c r="O53" s="21" t="str">
        <f>IF(PERCENTRANK(Table5[Transit Score], N53) &lt; 1/5, "1", IF(PERCENTRANK(Table5[Transit Score], N53) &lt; 2/5, "2", IF(PERCENTRANK(Table5[Transit Score], N53) &lt; 3/5, "3", IF(PERCENTRANK(Table5[Transit Score], N53) &lt; 4/5, "4", "5"))))</f>
        <v>4</v>
      </c>
      <c r="P53" s="21" t="str">
        <f>IF(PERCENTRANK(Table5[Transit Score], N53) &lt; 1/5, "LOW", IF(PERCENTRANK(Table5[Transit Score], N53) &lt; 2/5, "MEDIUM-LOW", IF(PERCENTRANK(Table5[Transit Score], N53) &lt; 3/5, "MEDIUM", IF(PERCENTRANK(Table5[Transit Score], N53) &lt; 4/5, "MEDIUM-HIGH", "HIGH"))))</f>
        <v>MEDIUM-HIGH</v>
      </c>
    </row>
    <row r="54" spans="1:16" x14ac:dyDescent="0.25">
      <c r="A54" s="82" t="s">
        <v>149</v>
      </c>
      <c r="B54" s="83">
        <v>54</v>
      </c>
      <c r="C54" s="14">
        <v>2</v>
      </c>
      <c r="D54" s="14">
        <v>3</v>
      </c>
      <c r="E54" s="14" t="str">
        <f>IF(PERCENTRANK(Table5[Lines/ Modes Aggregate], D54) &lt; 1/5, "1", IF(PERCENTRANK(Table5[Lines/ Modes Aggregate], D54) &lt; 2/5, "2", IF(PERCENTRANK(Table5[Lines/ Modes Aggregate], D54) &lt; 3/5, "3", IF(PERCENTRANK(Table5[Lines/ Modes Aggregate], D54) &lt; 4/5, "4", "5"))))</f>
        <v>1</v>
      </c>
      <c r="F54" s="14">
        <v>3</v>
      </c>
      <c r="G54" s="14" t="str">
        <f>IF(PERCENTRANK(Table5[Local Bus/Shuttle Routes], F54) &lt; 1/5, "1", IF(PERCENTRANK(Table5[Local Bus/Shuttle Routes], F54) &lt; 2/5, "2", IF(PERCENTRANK(Table5[Local Bus/Shuttle Routes], F54) &lt; 3/5, "3", IF(PERCENTRANK(Table5[Local Bus/Shuttle Routes], F54) &lt; 4/5, "4", "5"))))</f>
        <v>3</v>
      </c>
      <c r="H54" s="84">
        <v>1283.0833333333333</v>
      </c>
      <c r="I54" s="84" t="str">
        <f>IF(PERCENTRANK(Table5[Total Weekday Ridership], H54) &lt; 1/5, "1", IF(PERCENTRANK(Table5[Total Weekday Ridership], H54) &lt; 2/5, "2", IF(PERCENTRANK(Table5[Total Weekday Ridership], H54) &lt; 3/5, "3", IF(PERCENTRANK(Table5[Total Weekday Ridership], H54) &lt; 4/5, "4", "5"))))</f>
        <v>4</v>
      </c>
      <c r="J54" s="21">
        <v>44</v>
      </c>
      <c r="K54" s="21" t="str">
        <f>IF(PERCENTRANK(Table5[Total Weekday Frequency of Service], J54) &lt; 1/5, "1", IF(PERCENTRANK(Table5[Total Weekday Frequency of Service], J54) &lt; 2/5, "2", IF(PERCENTRANK(Table5[Total Weekday Frequency of Service], J54) &lt; 3/5, "3", IF(PERCENTRANK(Table5[Total Weekday Frequency of Service], J54) &lt; 4/5, "4", "5"))))</f>
        <v>2</v>
      </c>
      <c r="L54" s="14">
        <v>18</v>
      </c>
      <c r="M54" s="21" t="str">
        <f>IF(PERCENTRANK(Table5[Total Weekend Frequency of Service], L54) &lt; 1/5, "1", IF(PERCENTRANK(Table5[Total Weekend Frequency of Service], L54) &lt; 2/5, "2", IF(PERCENTRANK(Table5[Total Weekend Frequency of Service], L54) &lt; 3/5, "3", IF(PERCENTRANK(Table5[Total Weekend Frequency of Service], L54) &lt; 4/5, "4", "5"))))</f>
        <v>4</v>
      </c>
      <c r="N54" s="14">
        <f>Table5[[#This Row],[Weekend Frequency Grade]]+Table5[[#This Row],[Weekday Frequency Grade]]+Table5[[#This Row],[Weekday Ridership Grade]]+Table5[[#This Row],[Local Bus/Shuttle Grade]]+Table5[[#This Row],[Lines/Modes Grade]]</f>
        <v>14</v>
      </c>
      <c r="O54" s="21" t="str">
        <f>IF(PERCENTRANK(Table5[Transit Score], N54) &lt; 1/5, "1", IF(PERCENTRANK(Table5[Transit Score], N54) &lt; 2/5, "2", IF(PERCENTRANK(Table5[Transit Score], N54) &lt; 3/5, "3", IF(PERCENTRANK(Table5[Transit Score], N54) &lt; 4/5, "4", "5"))))</f>
        <v>3</v>
      </c>
      <c r="P54" s="21" t="str">
        <f>IF(PERCENTRANK(Table5[Transit Score], N54) &lt; 1/5, "LOW", IF(PERCENTRANK(Table5[Transit Score], N54) &lt; 2/5, "MEDIUM-LOW", IF(PERCENTRANK(Table5[Transit Score], N54) &lt; 3/5, "MEDIUM", IF(PERCENTRANK(Table5[Transit Score], N54) &lt; 4/5, "MEDIUM-HIGH", "HIGH"))))</f>
        <v>MEDIUM</v>
      </c>
    </row>
    <row r="55" spans="1:16" x14ac:dyDescent="0.25">
      <c r="A55" s="82" t="s">
        <v>248</v>
      </c>
      <c r="B55" s="83">
        <v>55</v>
      </c>
      <c r="C55" s="14">
        <v>4</v>
      </c>
      <c r="D55" s="14">
        <v>5</v>
      </c>
      <c r="E55" s="14" t="str">
        <f>IF(PERCENTRANK(Table5[Lines/ Modes Aggregate], D55) &lt; 1/5, "1", IF(PERCENTRANK(Table5[Lines/ Modes Aggregate], D55) &lt; 2/5, "2", IF(PERCENTRANK(Table5[Lines/ Modes Aggregate], D55) &lt; 3/5, "3", IF(PERCENTRANK(Table5[Lines/ Modes Aggregate], D55) &lt; 4/5, "4", "5"))))</f>
        <v>5</v>
      </c>
      <c r="F55" s="14">
        <v>6</v>
      </c>
      <c r="G55" s="14" t="str">
        <f>IF(PERCENTRANK(Table5[Local Bus/Shuttle Routes], F55) &lt; 1/5, "1", IF(PERCENTRANK(Table5[Local Bus/Shuttle Routes], F55) &lt; 2/5, "2", IF(PERCENTRANK(Table5[Local Bus/Shuttle Routes], F55) &lt; 3/5, "3", IF(PERCENTRANK(Table5[Local Bus/Shuttle Routes], F55) &lt; 4/5, "4", "5"))))</f>
        <v>4</v>
      </c>
      <c r="H55" s="84">
        <v>2135.3333333333335</v>
      </c>
      <c r="I55" s="84" t="str">
        <f>IF(PERCENTRANK(Table5[Total Weekday Ridership], H55) &lt; 1/5, "1", IF(PERCENTRANK(Table5[Total Weekday Ridership], H55) &lt; 2/5, "2", IF(PERCENTRANK(Table5[Total Weekday Ridership], H55) &lt; 3/5, "3", IF(PERCENTRANK(Table5[Total Weekday Ridership], H55) &lt; 4/5, "4", "5"))))</f>
        <v>5</v>
      </c>
      <c r="J55" s="21">
        <v>52</v>
      </c>
      <c r="K55" s="21" t="str">
        <f>IF(PERCENTRANK(Table5[Total Weekday Frequency of Service], J55) &lt; 1/5, "1", IF(PERCENTRANK(Table5[Total Weekday Frequency of Service], J55) &lt; 2/5, "2", IF(PERCENTRANK(Table5[Total Weekday Frequency of Service], J55) &lt; 3/5, "3", IF(PERCENTRANK(Table5[Total Weekday Frequency of Service], J55) &lt; 4/5, "4", "5"))))</f>
        <v>3</v>
      </c>
      <c r="L55" s="14">
        <v>18</v>
      </c>
      <c r="M55" s="21" t="str">
        <f>IF(PERCENTRANK(Table5[Total Weekend Frequency of Service], L55) &lt; 1/5, "1", IF(PERCENTRANK(Table5[Total Weekend Frequency of Service], L55) &lt; 2/5, "2", IF(PERCENTRANK(Table5[Total Weekend Frequency of Service], L55) &lt; 3/5, "3", IF(PERCENTRANK(Table5[Total Weekend Frequency of Service], L55) &lt; 4/5, "4", "5"))))</f>
        <v>4</v>
      </c>
      <c r="N55" s="14">
        <f>Table5[[#This Row],[Weekend Frequency Grade]]+Table5[[#This Row],[Weekday Frequency Grade]]+Table5[[#This Row],[Weekday Ridership Grade]]+Table5[[#This Row],[Local Bus/Shuttle Grade]]+Table5[[#This Row],[Lines/Modes Grade]]</f>
        <v>21</v>
      </c>
      <c r="O55" s="21" t="str">
        <f>IF(PERCENTRANK(Table5[Transit Score], N55) &lt; 1/5, "1", IF(PERCENTRANK(Table5[Transit Score], N55) &lt; 2/5, "2", IF(PERCENTRANK(Table5[Transit Score], N55) &lt; 3/5, "3", IF(PERCENTRANK(Table5[Transit Score], N55) &lt; 4/5, "4", "5"))))</f>
        <v>5</v>
      </c>
      <c r="P55" s="21" t="str">
        <f>IF(PERCENTRANK(Table5[Transit Score], N55) &lt; 1/5, "LOW", IF(PERCENTRANK(Table5[Transit Score], N55) &lt; 2/5, "MEDIUM-LOW", IF(PERCENTRANK(Table5[Transit Score], N55) &lt; 3/5, "MEDIUM", IF(PERCENTRANK(Table5[Transit Score], N55) &lt; 4/5, "MEDIUM-HIGH", "HIGH"))))</f>
        <v>HIGH</v>
      </c>
    </row>
    <row r="56" spans="1:16" x14ac:dyDescent="0.25">
      <c r="A56" s="82" t="s">
        <v>153</v>
      </c>
      <c r="B56" s="83">
        <v>57</v>
      </c>
      <c r="C56" s="14">
        <v>2</v>
      </c>
      <c r="D56" s="14">
        <v>3</v>
      </c>
      <c r="E56" s="14" t="str">
        <f>IF(PERCENTRANK(Table5[Lines/ Modes Aggregate], D56) &lt; 1/5, "1", IF(PERCENTRANK(Table5[Lines/ Modes Aggregate], D56) &lt; 2/5, "2", IF(PERCENTRANK(Table5[Lines/ Modes Aggregate], D56) &lt; 3/5, "3", IF(PERCENTRANK(Table5[Lines/ Modes Aggregate], D56) &lt; 4/5, "4", "5"))))</f>
        <v>1</v>
      </c>
      <c r="F56" s="14">
        <v>2</v>
      </c>
      <c r="G56" s="14" t="str">
        <f>IF(PERCENTRANK(Table5[Local Bus/Shuttle Routes], F56) &lt; 1/5, "1", IF(PERCENTRANK(Table5[Local Bus/Shuttle Routes], F56) &lt; 2/5, "2", IF(PERCENTRANK(Table5[Local Bus/Shuttle Routes], F56) &lt; 3/5, "3", IF(PERCENTRANK(Table5[Local Bus/Shuttle Routes], F56) &lt; 4/5, "4", "5"))))</f>
        <v>2</v>
      </c>
      <c r="H56" s="84">
        <v>2384.75</v>
      </c>
      <c r="I56" s="84" t="str">
        <f>IF(PERCENTRANK(Table5[Total Weekday Ridership], H56) &lt; 1/5, "1", IF(PERCENTRANK(Table5[Total Weekday Ridership], H56) &lt; 2/5, "2", IF(PERCENTRANK(Table5[Total Weekday Ridership], H56) &lt; 3/5, "3", IF(PERCENTRANK(Table5[Total Weekday Ridership], H56) &lt; 4/5, "4", "5"))))</f>
        <v>5</v>
      </c>
      <c r="J56" s="21">
        <v>51</v>
      </c>
      <c r="K56" s="21" t="str">
        <f>IF(PERCENTRANK(Table5[Total Weekday Frequency of Service], J56) &lt; 1/5, "1", IF(PERCENTRANK(Table5[Total Weekday Frequency of Service], J56) &lt; 2/5, "2", IF(PERCENTRANK(Table5[Total Weekday Frequency of Service], J56) &lt; 3/5, "3", IF(PERCENTRANK(Table5[Total Weekday Frequency of Service], J56) &lt; 4/5, "4", "5"))))</f>
        <v>3</v>
      </c>
      <c r="L56" s="14">
        <v>18</v>
      </c>
      <c r="M56" s="21" t="str">
        <f>IF(PERCENTRANK(Table5[Total Weekend Frequency of Service], L56) &lt; 1/5, "1", IF(PERCENTRANK(Table5[Total Weekend Frequency of Service], L56) &lt; 2/5, "2", IF(PERCENTRANK(Table5[Total Weekend Frequency of Service], L56) &lt; 3/5, "3", IF(PERCENTRANK(Table5[Total Weekend Frequency of Service], L56) &lt; 4/5, "4", "5"))))</f>
        <v>4</v>
      </c>
      <c r="N56" s="14">
        <f>Table5[[#This Row],[Weekend Frequency Grade]]+Table5[[#This Row],[Weekday Frequency Grade]]+Table5[[#This Row],[Weekday Ridership Grade]]+Table5[[#This Row],[Local Bus/Shuttle Grade]]+Table5[[#This Row],[Lines/Modes Grade]]</f>
        <v>15</v>
      </c>
      <c r="O56" s="21" t="str">
        <f>IF(PERCENTRANK(Table5[Transit Score], N56) &lt; 1/5, "1", IF(PERCENTRANK(Table5[Transit Score], N56) &lt; 2/5, "2", IF(PERCENTRANK(Table5[Transit Score], N56) &lt; 3/5, "3", IF(PERCENTRANK(Table5[Transit Score], N56) &lt; 4/5, "4", "5"))))</f>
        <v>4</v>
      </c>
      <c r="P56" s="21" t="str">
        <f>IF(PERCENTRANK(Table5[Transit Score], N56) &lt; 1/5, "LOW", IF(PERCENTRANK(Table5[Transit Score], N56) &lt; 2/5, "MEDIUM-LOW", IF(PERCENTRANK(Table5[Transit Score], N56) &lt; 3/5, "MEDIUM", IF(PERCENTRANK(Table5[Transit Score], N56) &lt; 4/5, "MEDIUM-HIGH", "HIGH"))))</f>
        <v>MEDIUM-HIGH</v>
      </c>
    </row>
    <row r="57" spans="1:16" x14ac:dyDescent="0.25">
      <c r="A57" s="82" t="s">
        <v>156</v>
      </c>
      <c r="B57" s="83">
        <v>58</v>
      </c>
      <c r="C57" s="14">
        <v>2</v>
      </c>
      <c r="D57" s="14">
        <v>3</v>
      </c>
      <c r="E57" s="14" t="str">
        <f>IF(PERCENTRANK(Table5[Lines/ Modes Aggregate], D57) &lt; 1/5, "1", IF(PERCENTRANK(Table5[Lines/ Modes Aggregate], D57) &lt; 2/5, "2", IF(PERCENTRANK(Table5[Lines/ Modes Aggregate], D57) &lt; 3/5, "3", IF(PERCENTRANK(Table5[Lines/ Modes Aggregate], D57) &lt; 4/5, "4", "5"))))</f>
        <v>1</v>
      </c>
      <c r="F57" s="14">
        <v>5</v>
      </c>
      <c r="G57" s="14" t="str">
        <f>IF(PERCENTRANK(Table5[Local Bus/Shuttle Routes], F57) &lt; 1/5, "1", IF(PERCENTRANK(Table5[Local Bus/Shuttle Routes], F57) &lt; 2/5, "2", IF(PERCENTRANK(Table5[Local Bus/Shuttle Routes], F57) &lt; 3/5, "3", IF(PERCENTRANK(Table5[Local Bus/Shuttle Routes], F57) &lt; 4/5, "4", "5"))))</f>
        <v>4</v>
      </c>
      <c r="H57" s="84">
        <v>622.5</v>
      </c>
      <c r="I57" s="84" t="str">
        <f>IF(PERCENTRANK(Table5[Total Weekday Ridership], H57) &lt; 1/5, "1", IF(PERCENTRANK(Table5[Total Weekday Ridership], H57) &lt; 2/5, "2", IF(PERCENTRANK(Table5[Total Weekday Ridership], H57) &lt; 3/5, "3", IF(PERCENTRANK(Table5[Total Weekday Ridership], H57) &lt; 4/5, "4", "5"))))</f>
        <v>3</v>
      </c>
      <c r="J57" s="21">
        <v>48</v>
      </c>
      <c r="K57" s="21" t="str">
        <f>IF(PERCENTRANK(Table5[Total Weekday Frequency of Service], J57) &lt; 1/5, "1", IF(PERCENTRANK(Table5[Total Weekday Frequency of Service], J57) &lt; 2/5, "2", IF(PERCENTRANK(Table5[Total Weekday Frequency of Service], J57) &lt; 3/5, "3", IF(PERCENTRANK(Table5[Total Weekday Frequency of Service], J57) &lt; 4/5, "4", "5"))))</f>
        <v>3</v>
      </c>
      <c r="L57" s="14">
        <v>18</v>
      </c>
      <c r="M57" s="21" t="str">
        <f>IF(PERCENTRANK(Table5[Total Weekend Frequency of Service], L57) &lt; 1/5, "1", IF(PERCENTRANK(Table5[Total Weekend Frequency of Service], L57) &lt; 2/5, "2", IF(PERCENTRANK(Table5[Total Weekend Frequency of Service], L57) &lt; 3/5, "3", IF(PERCENTRANK(Table5[Total Weekend Frequency of Service], L57) &lt; 4/5, "4", "5"))))</f>
        <v>4</v>
      </c>
      <c r="N57" s="14">
        <f>Table5[[#This Row],[Weekend Frequency Grade]]+Table5[[#This Row],[Weekday Frequency Grade]]+Table5[[#This Row],[Weekday Ridership Grade]]+Table5[[#This Row],[Local Bus/Shuttle Grade]]+Table5[[#This Row],[Lines/Modes Grade]]</f>
        <v>15</v>
      </c>
      <c r="O57" s="21" t="str">
        <f>IF(PERCENTRANK(Table5[Transit Score], N57) &lt; 1/5, "1", IF(PERCENTRANK(Table5[Transit Score], N57) &lt; 2/5, "2", IF(PERCENTRANK(Table5[Transit Score], N57) &lt; 3/5, "3", IF(PERCENTRANK(Table5[Transit Score], N57) &lt; 4/5, "4", "5"))))</f>
        <v>4</v>
      </c>
      <c r="P57" s="21" t="str">
        <f>IF(PERCENTRANK(Table5[Transit Score], N57) &lt; 1/5, "LOW", IF(PERCENTRANK(Table5[Transit Score], N57) &lt; 2/5, "MEDIUM-LOW", IF(PERCENTRANK(Table5[Transit Score], N57) &lt; 3/5, "MEDIUM", IF(PERCENTRANK(Table5[Transit Score], N57) &lt; 4/5, "MEDIUM-HIGH", "HIGH"))))</f>
        <v>MEDIUM-HIGH</v>
      </c>
    </row>
    <row r="58" spans="1:16" x14ac:dyDescent="0.25">
      <c r="A58" s="82" t="s">
        <v>160</v>
      </c>
      <c r="B58" s="83">
        <v>59</v>
      </c>
      <c r="C58" s="14">
        <v>2</v>
      </c>
      <c r="D58" s="14">
        <v>3</v>
      </c>
      <c r="E58" s="14" t="str">
        <f>IF(PERCENTRANK(Table5[Lines/ Modes Aggregate], D58) &lt; 1/5, "1", IF(PERCENTRANK(Table5[Lines/ Modes Aggregate], D58) &lt; 2/5, "2", IF(PERCENTRANK(Table5[Lines/ Modes Aggregate], D58) &lt; 3/5, "3", IF(PERCENTRANK(Table5[Lines/ Modes Aggregate], D58) &lt; 4/5, "4", "5"))))</f>
        <v>1</v>
      </c>
      <c r="F58" s="14">
        <v>1</v>
      </c>
      <c r="G58" s="14" t="str">
        <f>IF(PERCENTRANK(Table5[Local Bus/Shuttle Routes], F58) &lt; 1/5, "1", IF(PERCENTRANK(Table5[Local Bus/Shuttle Routes], F58) &lt; 2/5, "2", IF(PERCENTRANK(Table5[Local Bus/Shuttle Routes], F58) &lt; 3/5, "3", IF(PERCENTRANK(Table5[Local Bus/Shuttle Routes], F58) &lt; 4/5, "4", "5"))))</f>
        <v>1</v>
      </c>
      <c r="H58" s="84">
        <v>409.16666666666669</v>
      </c>
      <c r="I58" s="84" t="str">
        <f>IF(PERCENTRANK(Table5[Total Weekday Ridership], H58) &lt; 1/5, "1", IF(PERCENTRANK(Table5[Total Weekday Ridership], H58) &lt; 2/5, "2", IF(PERCENTRANK(Table5[Total Weekday Ridership], H58) &lt; 3/5, "3", IF(PERCENTRANK(Table5[Total Weekday Ridership], H58) &lt; 4/5, "4", "5"))))</f>
        <v>2</v>
      </c>
      <c r="J58" s="21">
        <v>45</v>
      </c>
      <c r="K58" s="21" t="str">
        <f>IF(PERCENTRANK(Table5[Total Weekday Frequency of Service], J58) &lt; 1/5, "1", IF(PERCENTRANK(Table5[Total Weekday Frequency of Service], J58) &lt; 2/5, "2", IF(PERCENTRANK(Table5[Total Weekday Frequency of Service], J58) &lt; 3/5, "3", IF(PERCENTRANK(Table5[Total Weekday Frequency of Service], J58) &lt; 4/5, "4", "5"))))</f>
        <v>2</v>
      </c>
      <c r="L58" s="14">
        <v>0</v>
      </c>
      <c r="M58" s="21" t="str">
        <f>IF(PERCENTRANK(Table5[Total Weekend Frequency of Service], L58) &lt; 1/5, "1", IF(PERCENTRANK(Table5[Total Weekend Frequency of Service], L58) &lt; 2/5, "2", IF(PERCENTRANK(Table5[Total Weekend Frequency of Service], L58) &lt; 3/5, "3", IF(PERCENTRANK(Table5[Total Weekend Frequency of Service], L58) &lt; 4/5, "4", "5"))))</f>
        <v>1</v>
      </c>
      <c r="N58" s="14">
        <f>Table5[[#This Row],[Weekend Frequency Grade]]+Table5[[#This Row],[Weekday Frequency Grade]]+Table5[[#This Row],[Weekday Ridership Grade]]+Table5[[#This Row],[Local Bus/Shuttle Grade]]+Table5[[#This Row],[Lines/Modes Grade]]</f>
        <v>7</v>
      </c>
      <c r="O58" s="21" t="str">
        <f>IF(PERCENTRANK(Table5[Transit Score], N58) &lt; 1/5, "1", IF(PERCENTRANK(Table5[Transit Score], N58) &lt; 2/5, "2", IF(PERCENTRANK(Table5[Transit Score], N58) &lt; 3/5, "3", IF(PERCENTRANK(Table5[Transit Score], N58) &lt; 4/5, "4", "5"))))</f>
        <v>1</v>
      </c>
      <c r="P58" s="21" t="str">
        <f>IF(PERCENTRANK(Table5[Transit Score], N58) &lt; 1/5, "LOW", IF(PERCENTRANK(Table5[Transit Score], N58) &lt; 2/5, "MEDIUM-LOW", IF(PERCENTRANK(Table5[Transit Score], N58) &lt; 3/5, "MEDIUM", IF(PERCENTRANK(Table5[Transit Score], N58) &lt; 4/5, "MEDIUM-HIGH", "HIGH"))))</f>
        <v>LOW</v>
      </c>
    </row>
    <row r="59" spans="1:16" x14ac:dyDescent="0.25">
      <c r="A59" s="82" t="s">
        <v>162</v>
      </c>
      <c r="B59" s="83">
        <v>60</v>
      </c>
      <c r="C59" s="14">
        <v>4</v>
      </c>
      <c r="D59" s="14">
        <v>5</v>
      </c>
      <c r="E59" s="14" t="str">
        <f>IF(PERCENTRANK(Table5[Lines/ Modes Aggregate], D59) &lt; 1/5, "1", IF(PERCENTRANK(Table5[Lines/ Modes Aggregate], D59) &lt; 2/5, "2", IF(PERCENTRANK(Table5[Lines/ Modes Aggregate], D59) &lt; 3/5, "3", IF(PERCENTRANK(Table5[Lines/ Modes Aggregate], D59) &lt; 4/5, "4", "5"))))</f>
        <v>5</v>
      </c>
      <c r="F59" s="14">
        <v>25</v>
      </c>
      <c r="G59" s="14" t="str">
        <f>IF(PERCENTRANK(Table5[Local Bus/Shuttle Routes], F59) &lt; 1/5, "1", IF(PERCENTRANK(Table5[Local Bus/Shuttle Routes], F59) &lt; 2/5, "2", IF(PERCENTRANK(Table5[Local Bus/Shuttle Routes], F59) &lt; 3/5, "3", IF(PERCENTRANK(Table5[Local Bus/Shuttle Routes], F59) &lt; 4/5, "4", "5"))))</f>
        <v>5</v>
      </c>
      <c r="H59" s="84">
        <v>1815.0833333333333</v>
      </c>
      <c r="I59" s="84" t="str">
        <f>IF(PERCENTRANK(Table5[Total Weekday Ridership], H59) &lt; 1/5, "1", IF(PERCENTRANK(Table5[Total Weekday Ridership], H59) &lt; 2/5, "2", IF(PERCENTRANK(Table5[Total Weekday Ridership], H59) &lt; 3/5, "3", IF(PERCENTRANK(Table5[Total Weekday Ridership], H59) &lt; 4/5, "4", "5"))))</f>
        <v>4</v>
      </c>
      <c r="J59" s="21">
        <v>53</v>
      </c>
      <c r="K59" s="21" t="str">
        <f>IF(PERCENTRANK(Table5[Total Weekday Frequency of Service], J59) &lt; 1/5, "1", IF(PERCENTRANK(Table5[Total Weekday Frequency of Service], J59) &lt; 2/5, "2", IF(PERCENTRANK(Table5[Total Weekday Frequency of Service], J59) &lt; 3/5, "3", IF(PERCENTRANK(Table5[Total Weekday Frequency of Service], J59) &lt; 4/5, "4", "5"))))</f>
        <v>3</v>
      </c>
      <c r="L59" s="14">
        <v>18</v>
      </c>
      <c r="M59" s="21" t="str">
        <f>IF(PERCENTRANK(Table5[Total Weekend Frequency of Service], L59) &lt; 1/5, "1", IF(PERCENTRANK(Table5[Total Weekend Frequency of Service], L59) &lt; 2/5, "2", IF(PERCENTRANK(Table5[Total Weekend Frequency of Service], L59) &lt; 3/5, "3", IF(PERCENTRANK(Table5[Total Weekend Frequency of Service], L59) &lt; 4/5, "4", "5"))))</f>
        <v>4</v>
      </c>
      <c r="N59" s="14">
        <f>Table5[[#This Row],[Weekend Frequency Grade]]+Table5[[#This Row],[Weekday Frequency Grade]]+Table5[[#This Row],[Weekday Ridership Grade]]+Table5[[#This Row],[Local Bus/Shuttle Grade]]+Table5[[#This Row],[Lines/Modes Grade]]</f>
        <v>21</v>
      </c>
      <c r="O59" s="21" t="str">
        <f>IF(PERCENTRANK(Table5[Transit Score], N59) &lt; 1/5, "1", IF(PERCENTRANK(Table5[Transit Score], N59) &lt; 2/5, "2", IF(PERCENTRANK(Table5[Transit Score], N59) &lt; 3/5, "3", IF(PERCENTRANK(Table5[Transit Score], N59) &lt; 4/5, "4", "5"))))</f>
        <v>5</v>
      </c>
      <c r="P59" s="21" t="str">
        <f>IF(PERCENTRANK(Table5[Transit Score], N59) &lt; 1/5, "LOW", IF(PERCENTRANK(Table5[Transit Score], N59) &lt; 2/5, "MEDIUM-LOW", IF(PERCENTRANK(Table5[Transit Score], N59) &lt; 3/5, "MEDIUM", IF(PERCENTRANK(Table5[Transit Score], N59) &lt; 4/5, "MEDIUM-HIGH", "HIGH"))))</f>
        <v>HIGH</v>
      </c>
    </row>
    <row r="60" spans="1:16" x14ac:dyDescent="0.25">
      <c r="A60" s="82" t="s">
        <v>169</v>
      </c>
      <c r="B60" s="83">
        <v>63</v>
      </c>
      <c r="C60" s="14">
        <v>1</v>
      </c>
      <c r="D60" s="14">
        <v>2</v>
      </c>
      <c r="E60" s="14" t="str">
        <f>IF(PERCENTRANK(Table5[Lines/ Modes Aggregate], D60) &lt; 1/5, "1", IF(PERCENTRANK(Table5[Lines/ Modes Aggregate], D60) &lt; 2/5, "2", IF(PERCENTRANK(Table5[Lines/ Modes Aggregate], D60) &lt; 3/5, "3", IF(PERCENTRANK(Table5[Lines/ Modes Aggregate], D60) &lt; 4/5, "4", "5"))))</f>
        <v>1</v>
      </c>
      <c r="F60" s="14">
        <v>0</v>
      </c>
      <c r="G60" s="14" t="str">
        <f>IF(PERCENTRANK(Table5[Local Bus/Shuttle Routes], F60) &lt; 1/5, "1", IF(PERCENTRANK(Table5[Local Bus/Shuttle Routes], F60) &lt; 2/5, "2", IF(PERCENTRANK(Table5[Local Bus/Shuttle Routes], F60) &lt; 3/5, "3", IF(PERCENTRANK(Table5[Local Bus/Shuttle Routes], F60) &lt; 4/5, "4", "5"))))</f>
        <v>1</v>
      </c>
      <c r="H60" s="84">
        <v>9.0833333333333339</v>
      </c>
      <c r="I60" s="84" t="str">
        <f>IF(PERCENTRANK(Table5[Total Weekday Ridership], H60) &lt; 1/5, "1", IF(PERCENTRANK(Table5[Total Weekday Ridership], H60) &lt; 2/5, "2", IF(PERCENTRANK(Table5[Total Weekday Ridership], H60) &lt; 3/5, "3", IF(PERCENTRANK(Table5[Total Weekday Ridership], H60) &lt; 4/5, "4", "5"))))</f>
        <v>1</v>
      </c>
      <c r="J60" s="21">
        <v>6</v>
      </c>
      <c r="K60" s="21" t="str">
        <f>IF(PERCENTRANK(Table5[Total Weekday Frequency of Service], J60) &lt; 1/5, "1", IF(PERCENTRANK(Table5[Total Weekday Frequency of Service], J60) &lt; 2/5, "2", IF(PERCENTRANK(Table5[Total Weekday Frequency of Service], J60) &lt; 3/5, "3", IF(PERCENTRANK(Table5[Total Weekday Frequency of Service], J60) &lt; 4/5, "4", "5"))))</f>
        <v>1</v>
      </c>
      <c r="L60" s="14">
        <v>0</v>
      </c>
      <c r="M60" s="21" t="str">
        <f>IF(PERCENTRANK(Table5[Total Weekend Frequency of Service], L60) &lt; 1/5, "1", IF(PERCENTRANK(Table5[Total Weekend Frequency of Service], L60) &lt; 2/5, "2", IF(PERCENTRANK(Table5[Total Weekend Frequency of Service], L60) &lt; 3/5, "3", IF(PERCENTRANK(Table5[Total Weekend Frequency of Service], L60) &lt; 4/5, "4", "5"))))</f>
        <v>1</v>
      </c>
      <c r="N60" s="14">
        <f>Table5[[#This Row],[Weekend Frequency Grade]]+Table5[[#This Row],[Weekday Frequency Grade]]+Table5[[#This Row],[Weekday Ridership Grade]]+Table5[[#This Row],[Local Bus/Shuttle Grade]]+Table5[[#This Row],[Lines/Modes Grade]]</f>
        <v>5</v>
      </c>
      <c r="O60" s="21" t="str">
        <f>IF(PERCENTRANK(Table5[Transit Score], N60) &lt; 1/5, "1", IF(PERCENTRANK(Table5[Transit Score], N60) &lt; 2/5, "2", IF(PERCENTRANK(Table5[Transit Score], N60) &lt; 3/5, "3", IF(PERCENTRANK(Table5[Transit Score], N60) &lt; 4/5, "4", "5"))))</f>
        <v>1</v>
      </c>
      <c r="P60" s="21" t="str">
        <f>IF(PERCENTRANK(Table5[Transit Score], N60) &lt; 1/5, "LOW", IF(PERCENTRANK(Table5[Transit Score], N60) &lt; 2/5, "MEDIUM-LOW", IF(PERCENTRANK(Table5[Transit Score], N60) &lt; 3/5, "MEDIUM", IF(PERCENTRANK(Table5[Transit Score], N60) &lt; 4/5, "MEDIUM-HIGH", "HIGH"))))</f>
        <v>LOW</v>
      </c>
    </row>
    <row r="61" spans="1:16" x14ac:dyDescent="0.25">
      <c r="A61" s="82" t="s">
        <v>171</v>
      </c>
      <c r="B61" s="83">
        <v>64</v>
      </c>
      <c r="C61" s="14">
        <v>3</v>
      </c>
      <c r="D61" s="14">
        <v>4</v>
      </c>
      <c r="E61" s="14" t="str">
        <f>IF(PERCENTRANK(Table5[Lines/ Modes Aggregate], D61) &lt; 1/5, "1", IF(PERCENTRANK(Table5[Lines/ Modes Aggregate], D61) &lt; 2/5, "2", IF(PERCENTRANK(Table5[Lines/ Modes Aggregate], D61) &lt; 3/5, "3", IF(PERCENTRANK(Table5[Lines/ Modes Aggregate], D61) &lt; 4/5, "4", "5"))))</f>
        <v>4</v>
      </c>
      <c r="F61" s="14">
        <v>3</v>
      </c>
      <c r="G61" s="14" t="str">
        <f>IF(PERCENTRANK(Table5[Local Bus/Shuttle Routes], F61) &lt; 1/5, "1", IF(PERCENTRANK(Table5[Local Bus/Shuttle Routes], F61) &lt; 2/5, "2", IF(PERCENTRANK(Table5[Local Bus/Shuttle Routes], F61) &lt; 3/5, "3", IF(PERCENTRANK(Table5[Local Bus/Shuttle Routes], F61) &lt; 4/5, "4", "5"))))</f>
        <v>3</v>
      </c>
      <c r="H61" s="84">
        <v>467.25</v>
      </c>
      <c r="I61" s="84" t="str">
        <f>IF(PERCENTRANK(Table5[Total Weekday Ridership], H61) &lt; 1/5, "1", IF(PERCENTRANK(Table5[Total Weekday Ridership], H61) &lt; 2/5, "2", IF(PERCENTRANK(Table5[Total Weekday Ridership], H61) &lt; 3/5, "3", IF(PERCENTRANK(Table5[Total Weekday Ridership], H61) &lt; 4/5, "4", "5"))))</f>
        <v>2</v>
      </c>
      <c r="J61" s="21">
        <v>18</v>
      </c>
      <c r="K61" s="21" t="str">
        <f>IF(PERCENTRANK(Table5[Total Weekday Frequency of Service], J61) &lt; 1/5, "1", IF(PERCENTRANK(Table5[Total Weekday Frequency of Service], J61) &lt; 2/5, "2", IF(PERCENTRANK(Table5[Total Weekday Frequency of Service], J61) &lt; 3/5, "3", IF(PERCENTRANK(Table5[Total Weekday Frequency of Service], J61) &lt; 4/5, "4", "5"))))</f>
        <v>2</v>
      </c>
      <c r="L61" s="14">
        <v>0</v>
      </c>
      <c r="M61" s="21" t="str">
        <f>IF(PERCENTRANK(Table5[Total Weekend Frequency of Service], L61) &lt; 1/5, "1", IF(PERCENTRANK(Table5[Total Weekend Frequency of Service], L61) &lt; 2/5, "2", IF(PERCENTRANK(Table5[Total Weekend Frequency of Service], L61) &lt; 3/5, "3", IF(PERCENTRANK(Table5[Total Weekend Frequency of Service], L61) &lt; 4/5, "4", "5"))))</f>
        <v>1</v>
      </c>
      <c r="N61" s="14">
        <f>Table5[[#This Row],[Weekend Frequency Grade]]+Table5[[#This Row],[Weekday Frequency Grade]]+Table5[[#This Row],[Weekday Ridership Grade]]+Table5[[#This Row],[Local Bus/Shuttle Grade]]+Table5[[#This Row],[Lines/Modes Grade]]</f>
        <v>12</v>
      </c>
      <c r="O61" s="21" t="str">
        <f>IF(PERCENTRANK(Table5[Transit Score], N61) &lt; 1/5, "1", IF(PERCENTRANK(Table5[Transit Score], N61) &lt; 2/5, "2", IF(PERCENTRANK(Table5[Transit Score], N61) &lt; 3/5, "3", IF(PERCENTRANK(Table5[Transit Score], N61) &lt; 4/5, "4", "5"))))</f>
        <v>3</v>
      </c>
      <c r="P61" s="21" t="str">
        <f>IF(PERCENTRANK(Table5[Transit Score], N61) &lt; 1/5, "LOW", IF(PERCENTRANK(Table5[Transit Score], N61) &lt; 2/5, "MEDIUM-LOW", IF(PERCENTRANK(Table5[Transit Score], N61) &lt; 3/5, "MEDIUM", IF(PERCENTRANK(Table5[Transit Score], N61) &lt; 4/5, "MEDIUM-HIGH", "HIGH"))))</f>
        <v>MEDIUM</v>
      </c>
    </row>
    <row r="62" spans="1:16" x14ac:dyDescent="0.25">
      <c r="A62" s="82" t="s">
        <v>175</v>
      </c>
      <c r="B62" s="83">
        <v>65</v>
      </c>
      <c r="C62" s="14">
        <v>1</v>
      </c>
      <c r="D62" s="14">
        <v>2</v>
      </c>
      <c r="E62" s="14" t="str">
        <f>IF(PERCENTRANK(Table5[Lines/ Modes Aggregate], D62) &lt; 1/5, "1", IF(PERCENTRANK(Table5[Lines/ Modes Aggregate], D62) &lt; 2/5, "2", IF(PERCENTRANK(Table5[Lines/ Modes Aggregate], D62) &lt; 3/5, "3", IF(PERCENTRANK(Table5[Lines/ Modes Aggregate], D62) &lt; 4/5, "4", "5"))))</f>
        <v>1</v>
      </c>
      <c r="F62" s="14">
        <v>0</v>
      </c>
      <c r="G62" s="14" t="str">
        <f>IF(PERCENTRANK(Table5[Local Bus/Shuttle Routes], F62) &lt; 1/5, "1", IF(PERCENTRANK(Table5[Local Bus/Shuttle Routes], F62) &lt; 2/5, "2", IF(PERCENTRANK(Table5[Local Bus/Shuttle Routes], F62) &lt; 3/5, "3", IF(PERCENTRANK(Table5[Local Bus/Shuttle Routes], F62) &lt; 4/5, "4", "5"))))</f>
        <v>1</v>
      </c>
      <c r="H62" s="84">
        <v>0.66666666666666663</v>
      </c>
      <c r="I62" s="84" t="str">
        <f>IF(PERCENTRANK(Table5[Total Weekday Ridership], H62) &lt; 1/5, "1", IF(PERCENTRANK(Table5[Total Weekday Ridership], H62) &lt; 2/5, "2", IF(PERCENTRANK(Table5[Total Weekday Ridership], H62) &lt; 3/5, "3", IF(PERCENTRANK(Table5[Total Weekday Ridership], H62) &lt; 4/5, "4", "5"))))</f>
        <v>1</v>
      </c>
      <c r="J62" s="21">
        <v>2</v>
      </c>
      <c r="K62" s="21" t="str">
        <f>IF(PERCENTRANK(Table5[Total Weekday Frequency of Service], J62) &lt; 1/5, "1", IF(PERCENTRANK(Table5[Total Weekday Frequency of Service], J62) &lt; 2/5, "2", IF(PERCENTRANK(Table5[Total Weekday Frequency of Service], J62) &lt; 3/5, "3", IF(PERCENTRANK(Table5[Total Weekday Frequency of Service], J62) &lt; 4/5, "4", "5"))))</f>
        <v>1</v>
      </c>
      <c r="L62" s="14">
        <v>0</v>
      </c>
      <c r="M62" s="21" t="str">
        <f>IF(PERCENTRANK(Table5[Total Weekend Frequency of Service], L62) &lt; 1/5, "1", IF(PERCENTRANK(Table5[Total Weekend Frequency of Service], L62) &lt; 2/5, "2", IF(PERCENTRANK(Table5[Total Weekend Frequency of Service], L62) &lt; 3/5, "3", IF(PERCENTRANK(Table5[Total Weekend Frequency of Service], L62) &lt; 4/5, "4", "5"))))</f>
        <v>1</v>
      </c>
      <c r="N62" s="14">
        <f>Table5[[#This Row],[Weekend Frequency Grade]]+Table5[[#This Row],[Weekday Frequency Grade]]+Table5[[#This Row],[Weekday Ridership Grade]]+Table5[[#This Row],[Local Bus/Shuttle Grade]]+Table5[[#This Row],[Lines/Modes Grade]]</f>
        <v>5</v>
      </c>
      <c r="O62" s="21" t="str">
        <f>IF(PERCENTRANK(Table5[Transit Score], N62) &lt; 1/5, "1", IF(PERCENTRANK(Table5[Transit Score], N62) &lt; 2/5, "2", IF(PERCENTRANK(Table5[Transit Score], N62) &lt; 3/5, "3", IF(PERCENTRANK(Table5[Transit Score], N62) &lt; 4/5, "4", "5"))))</f>
        <v>1</v>
      </c>
      <c r="P62" s="21" t="str">
        <f>IF(PERCENTRANK(Table5[Transit Score], N62) &lt; 1/5, "LOW", IF(PERCENTRANK(Table5[Transit Score], N62) &lt; 2/5, "MEDIUM-LOW", IF(PERCENTRANK(Table5[Transit Score], N62) &lt; 3/5, "MEDIUM", IF(PERCENTRANK(Table5[Transit Score], N62) &lt; 4/5, "MEDIUM-HIGH", "HIGH"))))</f>
        <v>LOW</v>
      </c>
    </row>
    <row r="63" spans="1:16" x14ac:dyDescent="0.25">
      <c r="A63" s="82" t="s">
        <v>177</v>
      </c>
      <c r="B63" s="83">
        <v>66</v>
      </c>
      <c r="C63" s="14">
        <v>3</v>
      </c>
      <c r="D63" s="14">
        <v>4</v>
      </c>
      <c r="E63" s="14" t="str">
        <f>IF(PERCENTRANK(Table5[Lines/ Modes Aggregate], D63) &lt; 1/5, "1", IF(PERCENTRANK(Table5[Lines/ Modes Aggregate], D63) &lt; 2/5, "2", IF(PERCENTRANK(Table5[Lines/ Modes Aggregate], D63) &lt; 3/5, "3", IF(PERCENTRANK(Table5[Lines/ Modes Aggregate], D63) &lt; 4/5, "4", "5"))))</f>
        <v>4</v>
      </c>
      <c r="F63" s="14">
        <v>2</v>
      </c>
      <c r="G63" s="14" t="str">
        <f>IF(PERCENTRANK(Table5[Local Bus/Shuttle Routes], F63) &lt; 1/5, "1", IF(PERCENTRANK(Table5[Local Bus/Shuttle Routes], F63) &lt; 2/5, "2", IF(PERCENTRANK(Table5[Local Bus/Shuttle Routes], F63) &lt; 3/5, "3", IF(PERCENTRANK(Table5[Local Bus/Shuttle Routes], F63) &lt; 4/5, "4", "5"))))</f>
        <v>2</v>
      </c>
      <c r="H63" s="84">
        <v>372</v>
      </c>
      <c r="I63" s="84" t="str">
        <f>IF(PERCENTRANK(Table5[Total Weekday Ridership], H63) &lt; 1/5, "1", IF(PERCENTRANK(Table5[Total Weekday Ridership], H63) &lt; 2/5, "2", IF(PERCENTRANK(Table5[Total Weekday Ridership], H63) &lt; 3/5, "3", IF(PERCENTRANK(Table5[Total Weekday Ridership], H63) &lt; 4/5, "4", "5"))))</f>
        <v>2</v>
      </c>
      <c r="J63" s="21">
        <v>18</v>
      </c>
      <c r="K63" s="21" t="str">
        <f>IF(PERCENTRANK(Table5[Total Weekday Frequency of Service], J63) &lt; 1/5, "1", IF(PERCENTRANK(Table5[Total Weekday Frequency of Service], J63) &lt; 2/5, "2", IF(PERCENTRANK(Table5[Total Weekday Frequency of Service], J63) &lt; 3/5, "3", IF(PERCENTRANK(Table5[Total Weekday Frequency of Service], J63) &lt; 4/5, "4", "5"))))</f>
        <v>2</v>
      </c>
      <c r="L63" s="14">
        <v>0</v>
      </c>
      <c r="M63" s="21" t="str">
        <f>IF(PERCENTRANK(Table5[Total Weekend Frequency of Service], L63) &lt; 1/5, "1", IF(PERCENTRANK(Table5[Total Weekend Frequency of Service], L63) &lt; 2/5, "2", IF(PERCENTRANK(Table5[Total Weekend Frequency of Service], L63) &lt; 3/5, "3", IF(PERCENTRANK(Table5[Total Weekend Frequency of Service], L63) &lt; 4/5, "4", "5"))))</f>
        <v>1</v>
      </c>
      <c r="N63" s="14">
        <f>Table5[[#This Row],[Weekend Frequency Grade]]+Table5[[#This Row],[Weekday Frequency Grade]]+Table5[[#This Row],[Weekday Ridership Grade]]+Table5[[#This Row],[Local Bus/Shuttle Grade]]+Table5[[#This Row],[Lines/Modes Grade]]</f>
        <v>11</v>
      </c>
      <c r="O63" s="21" t="str">
        <f>IF(PERCENTRANK(Table5[Transit Score], N63) &lt; 1/5, "1", IF(PERCENTRANK(Table5[Transit Score], N63) &lt; 2/5, "2", IF(PERCENTRANK(Table5[Transit Score], N63) &lt; 3/5, "3", IF(PERCENTRANK(Table5[Transit Score], N63) &lt; 4/5, "4", "5"))))</f>
        <v>2</v>
      </c>
      <c r="P63" s="21" t="str">
        <f>IF(PERCENTRANK(Table5[Transit Score], N63) &lt; 1/5, "LOW", IF(PERCENTRANK(Table5[Transit Score], N63) &lt; 2/5, "MEDIUM-LOW", IF(PERCENTRANK(Table5[Transit Score], N63) &lt; 3/5, "MEDIUM", IF(PERCENTRANK(Table5[Transit Score], N63) &lt; 4/5, "MEDIUM-HIGH", "HIGH"))))</f>
        <v>MEDIUM-LOW</v>
      </c>
    </row>
    <row r="64" spans="1:16" x14ac:dyDescent="0.25">
      <c r="A64" s="82" t="s">
        <v>181</v>
      </c>
      <c r="B64" s="83">
        <v>68</v>
      </c>
      <c r="C64" s="14">
        <v>2</v>
      </c>
      <c r="D64" s="14">
        <v>3</v>
      </c>
      <c r="E64" s="14" t="str">
        <f>IF(PERCENTRANK(Table5[Lines/ Modes Aggregate], D64) &lt; 1/5, "1", IF(PERCENTRANK(Table5[Lines/ Modes Aggregate], D64) &lt; 2/5, "2", IF(PERCENTRANK(Table5[Lines/ Modes Aggregate], D64) &lt; 3/5, "3", IF(PERCENTRANK(Table5[Lines/ Modes Aggregate], D64) &lt; 4/5, "4", "5"))))</f>
        <v>1</v>
      </c>
      <c r="F64" s="14">
        <v>1</v>
      </c>
      <c r="G64" s="14" t="str">
        <f>IF(PERCENTRANK(Table5[Local Bus/Shuttle Routes], F64) &lt; 1/5, "1", IF(PERCENTRANK(Table5[Local Bus/Shuttle Routes], F64) &lt; 2/5, "2", IF(PERCENTRANK(Table5[Local Bus/Shuttle Routes], F64) &lt; 3/5, "3", IF(PERCENTRANK(Table5[Local Bus/Shuttle Routes], F64) &lt; 4/5, "4", "5"))))</f>
        <v>1</v>
      </c>
      <c r="H64" s="84">
        <v>557.41666666666663</v>
      </c>
      <c r="I64" s="84" t="str">
        <f>IF(PERCENTRANK(Table5[Total Weekday Ridership], H64) &lt; 1/5, "1", IF(PERCENTRANK(Table5[Total Weekday Ridership], H64) &lt; 2/5, "2", IF(PERCENTRANK(Table5[Total Weekday Ridership], H64) &lt; 3/5, "3", IF(PERCENTRANK(Table5[Total Weekday Ridership], H64) &lt; 4/5, "4", "5"))))</f>
        <v>3</v>
      </c>
      <c r="J64" s="21">
        <v>18</v>
      </c>
      <c r="K64" s="21" t="str">
        <f>IF(PERCENTRANK(Table5[Total Weekday Frequency of Service], J64) &lt; 1/5, "1", IF(PERCENTRANK(Table5[Total Weekday Frequency of Service], J64) &lt; 2/5, "2", IF(PERCENTRANK(Table5[Total Weekday Frequency of Service], J64) &lt; 3/5, "3", IF(PERCENTRANK(Table5[Total Weekday Frequency of Service], J64) &lt; 4/5, "4", "5"))))</f>
        <v>2</v>
      </c>
      <c r="L64" s="14">
        <v>0</v>
      </c>
      <c r="M64" s="21" t="str">
        <f>IF(PERCENTRANK(Table5[Total Weekend Frequency of Service], L64) &lt; 1/5, "1", IF(PERCENTRANK(Table5[Total Weekend Frequency of Service], L64) &lt; 2/5, "2", IF(PERCENTRANK(Table5[Total Weekend Frequency of Service], L64) &lt; 3/5, "3", IF(PERCENTRANK(Table5[Total Weekend Frequency of Service], L64) &lt; 4/5, "4", "5"))))</f>
        <v>1</v>
      </c>
      <c r="N64" s="14">
        <f>Table5[[#This Row],[Weekend Frequency Grade]]+Table5[[#This Row],[Weekday Frequency Grade]]+Table5[[#This Row],[Weekday Ridership Grade]]+Table5[[#This Row],[Local Bus/Shuttle Grade]]+Table5[[#This Row],[Lines/Modes Grade]]</f>
        <v>8</v>
      </c>
      <c r="O64" s="21" t="str">
        <f>IF(PERCENTRANK(Table5[Transit Score], N64) &lt; 1/5, "1", IF(PERCENTRANK(Table5[Transit Score], N64) &lt; 2/5, "2", IF(PERCENTRANK(Table5[Transit Score], N64) &lt; 3/5, "3", IF(PERCENTRANK(Table5[Transit Score], N64) &lt; 4/5, "4", "5"))))</f>
        <v>1</v>
      </c>
      <c r="P64" s="21" t="str">
        <f>IF(PERCENTRANK(Table5[Transit Score], N64) &lt; 1/5, "LOW", IF(PERCENTRANK(Table5[Transit Score], N64) &lt; 2/5, "MEDIUM-LOW", IF(PERCENTRANK(Table5[Transit Score], N64) &lt; 3/5, "MEDIUM", IF(PERCENTRANK(Table5[Transit Score], N64) &lt; 4/5, "MEDIUM-HIGH", "HIGH"))))</f>
        <v>LOW</v>
      </c>
    </row>
    <row r="65" spans="1:16" x14ac:dyDescent="0.25">
      <c r="A65" s="14" t="s">
        <v>184</v>
      </c>
      <c r="B65" s="83">
        <v>69</v>
      </c>
      <c r="C65" s="14">
        <v>2</v>
      </c>
      <c r="D65" s="14">
        <v>3</v>
      </c>
      <c r="E65" s="14" t="str">
        <f>IF(PERCENTRANK(Table5[Lines/ Modes Aggregate], D65) &lt; 1/5, "1", IF(PERCENTRANK(Table5[Lines/ Modes Aggregate], D65) &lt; 2/5, "2", IF(PERCENTRANK(Table5[Lines/ Modes Aggregate], D65) &lt; 3/5, "3", IF(PERCENTRANK(Table5[Lines/ Modes Aggregate], D65) &lt; 4/5, "4", "5"))))</f>
        <v>1</v>
      </c>
      <c r="F65" s="14">
        <v>2</v>
      </c>
      <c r="G65" s="14" t="str">
        <f>IF(PERCENTRANK(Table5[Local Bus/Shuttle Routes], F65) &lt; 1/5, "1", IF(PERCENTRANK(Table5[Local Bus/Shuttle Routes], F65) &lt; 2/5, "2", IF(PERCENTRANK(Table5[Local Bus/Shuttle Routes], F65) &lt; 3/5, "3", IF(PERCENTRANK(Table5[Local Bus/Shuttle Routes], F65) &lt; 4/5, "4", "5"))))</f>
        <v>2</v>
      </c>
      <c r="H65" s="84">
        <v>324.33333333333331</v>
      </c>
      <c r="I65" s="84" t="str">
        <f>IF(PERCENTRANK(Table5[Total Weekday Ridership], H65) &lt; 1/5, "1", IF(PERCENTRANK(Table5[Total Weekday Ridership], H65) &lt; 2/5, "2", IF(PERCENTRANK(Table5[Total Weekday Ridership], H65) &lt; 3/5, "3", IF(PERCENTRANK(Table5[Total Weekday Ridership], H65) &lt; 4/5, "4", "5"))))</f>
        <v>2</v>
      </c>
      <c r="J65" s="21">
        <v>18</v>
      </c>
      <c r="K65" s="21" t="str">
        <f>IF(PERCENTRANK(Table5[Total Weekday Frequency of Service], J65) &lt; 1/5, "1", IF(PERCENTRANK(Table5[Total Weekday Frequency of Service], J65) &lt; 2/5, "2", IF(PERCENTRANK(Table5[Total Weekday Frequency of Service], J65) &lt; 3/5, "3", IF(PERCENTRANK(Table5[Total Weekday Frequency of Service], J65) &lt; 4/5, "4", "5"))))</f>
        <v>2</v>
      </c>
      <c r="L65" s="14">
        <v>0</v>
      </c>
      <c r="M65" s="21" t="str">
        <f>IF(PERCENTRANK(Table5[Total Weekend Frequency of Service], L65) &lt; 1/5, "1", IF(PERCENTRANK(Table5[Total Weekend Frequency of Service], L65) &lt; 2/5, "2", IF(PERCENTRANK(Table5[Total Weekend Frequency of Service], L65) &lt; 3/5, "3", IF(PERCENTRANK(Table5[Total Weekend Frequency of Service], L65) &lt; 4/5, "4", "5"))))</f>
        <v>1</v>
      </c>
      <c r="N65" s="14">
        <f>Table5[[#This Row],[Weekend Frequency Grade]]+Table5[[#This Row],[Weekday Frequency Grade]]+Table5[[#This Row],[Weekday Ridership Grade]]+Table5[[#This Row],[Local Bus/Shuttle Grade]]+Table5[[#This Row],[Lines/Modes Grade]]</f>
        <v>8</v>
      </c>
      <c r="O65" s="21" t="str">
        <f>IF(PERCENTRANK(Table5[Transit Score], N65) &lt; 1/5, "1", IF(PERCENTRANK(Table5[Transit Score], N65) &lt; 2/5, "2", IF(PERCENTRANK(Table5[Transit Score], N65) &lt; 3/5, "3", IF(PERCENTRANK(Table5[Transit Score], N65) &lt; 4/5, "4", "5"))))</f>
        <v>1</v>
      </c>
      <c r="P65" s="21" t="str">
        <f>IF(PERCENTRANK(Table5[Transit Score], N65) &lt; 1/5, "LOW", IF(PERCENTRANK(Table5[Transit Score], N65) &lt; 2/5, "MEDIUM-LOW", IF(PERCENTRANK(Table5[Transit Score], N65) &lt; 3/5, "MEDIUM", IF(PERCENTRANK(Table5[Transit Score], N65) &lt; 4/5, "MEDIUM-HIGH", "HIGH"))))</f>
        <v>LOW</v>
      </c>
    </row>
    <row r="66" spans="1:16" x14ac:dyDescent="0.25">
      <c r="A66" s="14" t="s">
        <v>186</v>
      </c>
      <c r="B66" s="83">
        <v>70</v>
      </c>
      <c r="C66" s="14">
        <v>3</v>
      </c>
      <c r="D66" s="14">
        <v>4</v>
      </c>
      <c r="E66" s="14" t="str">
        <f>IF(PERCENTRANK(Table5[Lines/ Modes Aggregate], D66) &lt; 1/5, "1", IF(PERCENTRANK(Table5[Lines/ Modes Aggregate], D66) &lt; 2/5, "2", IF(PERCENTRANK(Table5[Lines/ Modes Aggregate], D66) &lt; 3/5, "3", IF(PERCENTRANK(Table5[Lines/ Modes Aggregate], D66) &lt; 4/5, "4", "5"))))</f>
        <v>4</v>
      </c>
      <c r="F66" s="14">
        <v>16</v>
      </c>
      <c r="G66" s="14" t="str">
        <f>IF(PERCENTRANK(Table5[Local Bus/Shuttle Routes], F66) &lt; 1/5, "1", IF(PERCENTRANK(Table5[Local Bus/Shuttle Routes], F66) &lt; 2/5, "2", IF(PERCENTRANK(Table5[Local Bus/Shuttle Routes], F66) &lt; 3/5, "3", IF(PERCENTRANK(Table5[Local Bus/Shuttle Routes], F66) &lt; 4/5, "4", "5"))))</f>
        <v>5</v>
      </c>
      <c r="H66" s="84">
        <v>63.25</v>
      </c>
      <c r="I66" s="84" t="str">
        <f>IF(PERCENTRANK(Table5[Total Weekday Ridership], H66) &lt; 1/5, "1", IF(PERCENTRANK(Table5[Total Weekday Ridership], H66) &lt; 2/5, "2", IF(PERCENTRANK(Table5[Total Weekday Ridership], H66) &lt; 3/5, "3", IF(PERCENTRANK(Table5[Total Weekday Ridership], H66) &lt; 4/5, "4", "5"))))</f>
        <v>1</v>
      </c>
      <c r="J66" s="21">
        <v>14</v>
      </c>
      <c r="K66" s="21" t="str">
        <f>IF(PERCENTRANK(Table5[Total Weekday Frequency of Service], J66) &lt; 1/5, "1", IF(PERCENTRANK(Table5[Total Weekday Frequency of Service], J66) &lt; 2/5, "2", IF(PERCENTRANK(Table5[Total Weekday Frequency of Service], J66) &lt; 3/5, "3", IF(PERCENTRANK(Table5[Total Weekday Frequency of Service], J66) &lt; 4/5, "4", "5"))))</f>
        <v>1</v>
      </c>
      <c r="L66" s="14">
        <v>0</v>
      </c>
      <c r="M66" s="21" t="str">
        <f>IF(PERCENTRANK(Table5[Total Weekend Frequency of Service], L66) &lt; 1/5, "1", IF(PERCENTRANK(Table5[Total Weekend Frequency of Service], L66) &lt; 2/5, "2", IF(PERCENTRANK(Table5[Total Weekend Frequency of Service], L66) &lt; 3/5, "3", IF(PERCENTRANK(Table5[Total Weekend Frequency of Service], L66) &lt; 4/5, "4", "5"))))</f>
        <v>1</v>
      </c>
      <c r="N66" s="14">
        <f>Table5[[#This Row],[Weekend Frequency Grade]]+Table5[[#This Row],[Weekday Frequency Grade]]+Table5[[#This Row],[Weekday Ridership Grade]]+Table5[[#This Row],[Local Bus/Shuttle Grade]]+Table5[[#This Row],[Lines/Modes Grade]]</f>
        <v>12</v>
      </c>
      <c r="O66" s="21" t="str">
        <f>IF(PERCENTRANK(Table5[Transit Score], N66) &lt; 1/5, "1", IF(PERCENTRANK(Table5[Transit Score], N66) &lt; 2/5, "2", IF(PERCENTRANK(Table5[Transit Score], N66) &lt; 3/5, "3", IF(PERCENTRANK(Table5[Transit Score], N66) &lt; 4/5, "4", "5"))))</f>
        <v>3</v>
      </c>
      <c r="P66" s="21" t="str">
        <f>IF(PERCENTRANK(Table5[Transit Score], N66) &lt; 1/5, "LOW", IF(PERCENTRANK(Table5[Transit Score], N66) &lt; 2/5, "MEDIUM-LOW", IF(PERCENTRANK(Table5[Transit Score], N66) &lt; 3/5, "MEDIUM", IF(PERCENTRANK(Table5[Transit Score], N66) &lt; 4/5, "MEDIUM-HIGH", "HIGH"))))</f>
        <v>MEDIUM</v>
      </c>
    </row>
    <row r="67" spans="1:16" x14ac:dyDescent="0.25">
      <c r="A67" s="14" t="s">
        <v>188</v>
      </c>
      <c r="B67" s="83">
        <v>71</v>
      </c>
      <c r="C67" s="14">
        <v>4</v>
      </c>
      <c r="D67" s="14">
        <v>5</v>
      </c>
      <c r="E67" s="14" t="str">
        <f>IF(PERCENTRANK(Table5[Lines/ Modes Aggregate], D67) &lt; 1/5, "1", IF(PERCENTRANK(Table5[Lines/ Modes Aggregate], D67) &lt; 2/5, "2", IF(PERCENTRANK(Table5[Lines/ Modes Aggregate], D67) &lt; 3/5, "3", IF(PERCENTRANK(Table5[Lines/ Modes Aggregate], D67) &lt; 4/5, "4", "5"))))</f>
        <v>5</v>
      </c>
      <c r="F67" s="14">
        <v>13</v>
      </c>
      <c r="G67" s="14" t="str">
        <f>IF(PERCENTRANK(Table5[Local Bus/Shuttle Routes], F67) &lt; 1/5, "1", IF(PERCENTRANK(Table5[Local Bus/Shuttle Routes], F67) &lt; 2/5, "2", IF(PERCENTRANK(Table5[Local Bus/Shuttle Routes], F67) &lt; 3/5, "3", IF(PERCENTRANK(Table5[Local Bus/Shuttle Routes], F67) &lt; 4/5, "4", "5"))))</f>
        <v>5</v>
      </c>
      <c r="H67" s="84">
        <v>146</v>
      </c>
      <c r="I67" s="84" t="str">
        <f>IF(PERCENTRANK(Table5[Total Weekday Ridership], H67) &lt; 1/5, "1", IF(PERCENTRANK(Table5[Total Weekday Ridership], H67) &lt; 2/5, "2", IF(PERCENTRANK(Table5[Total Weekday Ridership], H67) &lt; 3/5, "3", IF(PERCENTRANK(Table5[Total Weekday Ridership], H67) &lt; 4/5, "4", "5"))))</f>
        <v>1</v>
      </c>
      <c r="J67" s="21">
        <v>15</v>
      </c>
      <c r="K67" s="21" t="str">
        <f>IF(PERCENTRANK(Table5[Total Weekday Frequency of Service], J67) &lt; 1/5, "1", IF(PERCENTRANK(Table5[Total Weekday Frequency of Service], J67) &lt; 2/5, "2", IF(PERCENTRANK(Table5[Total Weekday Frequency of Service], J67) &lt; 3/5, "3", IF(PERCENTRANK(Table5[Total Weekday Frequency of Service], J67) &lt; 4/5, "4", "5"))))</f>
        <v>2</v>
      </c>
      <c r="L67" s="14">
        <v>0</v>
      </c>
      <c r="M67" s="21" t="str">
        <f>IF(PERCENTRANK(Table5[Total Weekend Frequency of Service], L67) &lt; 1/5, "1", IF(PERCENTRANK(Table5[Total Weekend Frequency of Service], L67) &lt; 2/5, "2", IF(PERCENTRANK(Table5[Total Weekend Frequency of Service], L67) &lt; 3/5, "3", IF(PERCENTRANK(Table5[Total Weekend Frequency of Service], L67) &lt; 4/5, "4", "5"))))</f>
        <v>1</v>
      </c>
      <c r="N67" s="14">
        <f>Table5[[#This Row],[Weekend Frequency Grade]]+Table5[[#This Row],[Weekday Frequency Grade]]+Table5[[#This Row],[Weekday Ridership Grade]]+Table5[[#This Row],[Local Bus/Shuttle Grade]]+Table5[[#This Row],[Lines/Modes Grade]]</f>
        <v>14</v>
      </c>
      <c r="O67" s="21" t="str">
        <f>IF(PERCENTRANK(Table5[Transit Score], N67) &lt; 1/5, "1", IF(PERCENTRANK(Table5[Transit Score], N67) &lt; 2/5, "2", IF(PERCENTRANK(Table5[Transit Score], N67) &lt; 3/5, "3", IF(PERCENTRANK(Table5[Transit Score], N67) &lt; 4/5, "4", "5"))))</f>
        <v>3</v>
      </c>
      <c r="P67" s="21" t="str">
        <f>IF(PERCENTRANK(Table5[Transit Score], N67) &lt; 1/5, "LOW", IF(PERCENTRANK(Table5[Transit Score], N67) &lt; 2/5, "MEDIUM-LOW", IF(PERCENTRANK(Table5[Transit Score], N67) &lt; 3/5, "MEDIUM", IF(PERCENTRANK(Table5[Transit Score], N67) &lt; 4/5, "MEDIUM-HIGH", "HIGH"))))</f>
        <v>MEDIUM</v>
      </c>
    </row>
    <row r="68" spans="1:16" x14ac:dyDescent="0.25">
      <c r="A68" s="14" t="s">
        <v>192</v>
      </c>
      <c r="B68" s="83">
        <v>72</v>
      </c>
      <c r="C68" s="14">
        <v>2</v>
      </c>
      <c r="D68" s="14">
        <v>3</v>
      </c>
      <c r="E68" s="14" t="str">
        <f>IF(PERCENTRANK(Table5[Lines/ Modes Aggregate], D68) &lt; 1/5, "1", IF(PERCENTRANK(Table5[Lines/ Modes Aggregate], D68) &lt; 2/5, "2", IF(PERCENTRANK(Table5[Lines/ Modes Aggregate], D68) &lt; 3/5, "3", IF(PERCENTRANK(Table5[Lines/ Modes Aggregate], D68) &lt; 4/5, "4", "5"))))</f>
        <v>1</v>
      </c>
      <c r="F68" s="14">
        <v>2</v>
      </c>
      <c r="G68" s="14" t="str">
        <f>IF(PERCENTRANK(Table5[Local Bus/Shuttle Routes], F68) &lt; 1/5, "1", IF(PERCENTRANK(Table5[Local Bus/Shuttle Routes], F68) &lt; 2/5, "2", IF(PERCENTRANK(Table5[Local Bus/Shuttle Routes], F68) &lt; 3/5, "3", IF(PERCENTRANK(Table5[Local Bus/Shuttle Routes], F68) &lt; 4/5, "4", "5"))))</f>
        <v>2</v>
      </c>
      <c r="H68" s="84">
        <v>52.166666666666664</v>
      </c>
      <c r="I68" s="84" t="str">
        <f>IF(PERCENTRANK(Table5[Total Weekday Ridership], H68) &lt; 1/5, "1", IF(PERCENTRANK(Table5[Total Weekday Ridership], H68) &lt; 2/5, "2", IF(PERCENTRANK(Table5[Total Weekday Ridership], H68) &lt; 3/5, "3", IF(PERCENTRANK(Table5[Total Weekday Ridership], H68) &lt; 4/5, "4", "5"))))</f>
        <v>1</v>
      </c>
      <c r="J68" s="21">
        <v>12</v>
      </c>
      <c r="K68" s="21" t="str">
        <f>IF(PERCENTRANK(Table5[Total Weekday Frequency of Service], J68) &lt; 1/5, "1", IF(PERCENTRANK(Table5[Total Weekday Frequency of Service], J68) &lt; 2/5, "2", IF(PERCENTRANK(Table5[Total Weekday Frequency of Service], J68) &lt; 3/5, "3", IF(PERCENTRANK(Table5[Total Weekday Frequency of Service], J68) &lt; 4/5, "4", "5"))))</f>
        <v>1</v>
      </c>
      <c r="L68" s="14">
        <v>0</v>
      </c>
      <c r="M68" s="21" t="str">
        <f>IF(PERCENTRANK(Table5[Total Weekend Frequency of Service], L68) &lt; 1/5, "1", IF(PERCENTRANK(Table5[Total Weekend Frequency of Service], L68) &lt; 2/5, "2", IF(PERCENTRANK(Table5[Total Weekend Frequency of Service], L68) &lt; 3/5, "3", IF(PERCENTRANK(Table5[Total Weekend Frequency of Service], L68) &lt; 4/5, "4", "5"))))</f>
        <v>1</v>
      </c>
      <c r="N68" s="14">
        <f>Table5[[#This Row],[Weekend Frequency Grade]]+Table5[[#This Row],[Weekday Frequency Grade]]+Table5[[#This Row],[Weekday Ridership Grade]]+Table5[[#This Row],[Local Bus/Shuttle Grade]]+Table5[[#This Row],[Lines/Modes Grade]]</f>
        <v>6</v>
      </c>
      <c r="O68" s="21" t="str">
        <f>IF(PERCENTRANK(Table5[Transit Score], N68) &lt; 1/5, "1", IF(PERCENTRANK(Table5[Transit Score], N68) &lt; 2/5, "2", IF(PERCENTRANK(Table5[Transit Score], N68) &lt; 3/5, "3", IF(PERCENTRANK(Table5[Transit Score], N68) &lt; 4/5, "4", "5"))))</f>
        <v>1</v>
      </c>
      <c r="P68" s="21" t="str">
        <f>IF(PERCENTRANK(Table5[Transit Score], N68) &lt; 1/5, "LOW", IF(PERCENTRANK(Table5[Transit Score], N68) &lt; 2/5, "MEDIUM-LOW", IF(PERCENTRANK(Table5[Transit Score], N68) &lt; 3/5, "MEDIUM", IF(PERCENTRANK(Table5[Transit Score], N68) &lt; 4/5, "MEDIUM-HIGH", "HIGH"))))</f>
        <v>LOW</v>
      </c>
    </row>
    <row r="69" spans="1:16" x14ac:dyDescent="0.25">
      <c r="A69" s="82" t="s">
        <v>198</v>
      </c>
      <c r="B69" s="83">
        <v>75</v>
      </c>
      <c r="C69" s="14">
        <v>3</v>
      </c>
      <c r="D69" s="14">
        <v>3</v>
      </c>
      <c r="E69" s="14" t="str">
        <f>IF(PERCENTRANK(Table5[Lines/ Modes Aggregate], D69) &lt; 1/5, "1", IF(PERCENTRANK(Table5[Lines/ Modes Aggregate], D69) &lt; 2/5, "2", IF(PERCENTRANK(Table5[Lines/ Modes Aggregate], D69) &lt; 3/5, "3", IF(PERCENTRANK(Table5[Lines/ Modes Aggregate], D69) &lt; 4/5, "4", "5"))))</f>
        <v>1</v>
      </c>
      <c r="F69" s="14">
        <v>1</v>
      </c>
      <c r="G69" s="14" t="str">
        <f>IF(PERCENTRANK(Table5[Local Bus/Shuttle Routes], F69) &lt; 1/5, "1", IF(PERCENTRANK(Table5[Local Bus/Shuttle Routes], F69) &lt; 2/5, "2", IF(PERCENTRANK(Table5[Local Bus/Shuttle Routes], F69) &lt; 3/5, "3", IF(PERCENTRANK(Table5[Local Bus/Shuttle Routes], F69) &lt; 4/5, "4", "5"))))</f>
        <v>1</v>
      </c>
      <c r="H69" s="84">
        <v>83.083333333333329</v>
      </c>
      <c r="I69" s="84" t="str">
        <f>IF(PERCENTRANK(Table5[Total Weekday Ridership], H69) &lt; 1/5, "1", IF(PERCENTRANK(Table5[Total Weekday Ridership], H69) &lt; 2/5, "2", IF(PERCENTRANK(Table5[Total Weekday Ridership], H69) &lt; 3/5, "3", IF(PERCENTRANK(Table5[Total Weekday Ridership], H69) &lt; 4/5, "4", "5"))))</f>
        <v>1</v>
      </c>
      <c r="J69" s="21">
        <v>8</v>
      </c>
      <c r="K69" s="21" t="str">
        <f>IF(PERCENTRANK(Table5[Total Weekday Frequency of Service], J69) &lt; 1/5, "1", IF(PERCENTRANK(Table5[Total Weekday Frequency of Service], J69) &lt; 2/5, "2", IF(PERCENTRANK(Table5[Total Weekday Frequency of Service], J69) &lt; 3/5, "3", IF(PERCENTRANK(Table5[Total Weekday Frequency of Service], J69) &lt; 4/5, "4", "5"))))</f>
        <v>1</v>
      </c>
      <c r="L69" s="14">
        <v>0</v>
      </c>
      <c r="M69" s="21" t="str">
        <f>IF(PERCENTRANK(Table5[Total Weekend Frequency of Service], L69) &lt; 1/5, "1", IF(PERCENTRANK(Table5[Total Weekend Frequency of Service], L69) &lt; 2/5, "2", IF(PERCENTRANK(Table5[Total Weekend Frequency of Service], L69) &lt; 3/5, "3", IF(PERCENTRANK(Table5[Total Weekend Frequency of Service], L69) &lt; 4/5, "4", "5"))))</f>
        <v>1</v>
      </c>
      <c r="N69" s="14">
        <f>Table5[[#This Row],[Weekend Frequency Grade]]+Table5[[#This Row],[Weekday Frequency Grade]]+Table5[[#This Row],[Weekday Ridership Grade]]+Table5[[#This Row],[Local Bus/Shuttle Grade]]+Table5[[#This Row],[Lines/Modes Grade]]</f>
        <v>5</v>
      </c>
      <c r="O69" s="21" t="str">
        <f>IF(PERCENTRANK(Table5[Transit Score], N69) &lt; 1/5, "1", IF(PERCENTRANK(Table5[Transit Score], N69) &lt; 2/5, "2", IF(PERCENTRANK(Table5[Transit Score], N69) &lt; 3/5, "3", IF(PERCENTRANK(Table5[Transit Score], N69) &lt; 4/5, "4", "5"))))</f>
        <v>1</v>
      </c>
      <c r="P69" s="21" t="str">
        <f>IF(PERCENTRANK(Table5[Transit Score], N69) &lt; 1/5, "LOW", IF(PERCENTRANK(Table5[Transit Score], N69) &lt; 2/5, "MEDIUM-LOW", IF(PERCENTRANK(Table5[Transit Score], N69) &lt; 3/5, "MEDIUM", IF(PERCENTRANK(Table5[Transit Score], N69) &lt; 4/5, "MEDIUM-HIGH", "HIGH"))))</f>
        <v>LOW</v>
      </c>
    </row>
    <row r="70" spans="1:16" x14ac:dyDescent="0.25">
      <c r="A70" s="82" t="s">
        <v>200</v>
      </c>
      <c r="B70" s="83">
        <v>76</v>
      </c>
      <c r="C70" s="14">
        <v>2</v>
      </c>
      <c r="D70" s="14">
        <v>3</v>
      </c>
      <c r="E70" s="14" t="str">
        <f>IF(PERCENTRANK(Table5[Lines/ Modes Aggregate], D70) &lt; 1/5, "1", IF(PERCENTRANK(Table5[Lines/ Modes Aggregate], D70) &lt; 2/5, "2", IF(PERCENTRANK(Table5[Lines/ Modes Aggregate], D70) &lt; 3/5, "3", IF(PERCENTRANK(Table5[Lines/ Modes Aggregate], D70) &lt; 4/5, "4", "5"))))</f>
        <v>1</v>
      </c>
      <c r="F70" s="14">
        <v>1</v>
      </c>
      <c r="G70" s="14" t="str">
        <f>IF(PERCENTRANK(Table5[Local Bus/Shuttle Routes], F70) &lt; 1/5, "1", IF(PERCENTRANK(Table5[Local Bus/Shuttle Routes], F70) &lt; 2/5, "2", IF(PERCENTRANK(Table5[Local Bus/Shuttle Routes], F70) &lt; 3/5, "3", IF(PERCENTRANK(Table5[Local Bus/Shuttle Routes], F70) &lt; 4/5, "4", "5"))))</f>
        <v>1</v>
      </c>
      <c r="H70" s="84">
        <v>548.58333333333337</v>
      </c>
      <c r="I70" s="84" t="str">
        <f>IF(PERCENTRANK(Table5[Total Weekday Ridership], H70) &lt; 1/5, "1", IF(PERCENTRANK(Table5[Total Weekday Ridership], H70) &lt; 2/5, "2", IF(PERCENTRANK(Table5[Total Weekday Ridership], H70) &lt; 3/5, "3", IF(PERCENTRANK(Table5[Total Weekday Ridership], H70) &lt; 4/5, "4", "5"))))</f>
        <v>3</v>
      </c>
      <c r="J70" s="21">
        <v>12</v>
      </c>
      <c r="K70" s="21" t="str">
        <f>IF(PERCENTRANK(Table5[Total Weekday Frequency of Service], J70) &lt; 1/5, "1", IF(PERCENTRANK(Table5[Total Weekday Frequency of Service], J70) &lt; 2/5, "2", IF(PERCENTRANK(Table5[Total Weekday Frequency of Service], J70) &lt; 3/5, "3", IF(PERCENTRANK(Table5[Total Weekday Frequency of Service], J70) &lt; 4/5, "4", "5"))))</f>
        <v>1</v>
      </c>
      <c r="L70" s="14">
        <v>0</v>
      </c>
      <c r="M70" s="21" t="str">
        <f>IF(PERCENTRANK(Table5[Total Weekend Frequency of Service], L70) &lt; 1/5, "1", IF(PERCENTRANK(Table5[Total Weekend Frequency of Service], L70) &lt; 2/5, "2", IF(PERCENTRANK(Table5[Total Weekend Frequency of Service], L70) &lt; 3/5, "3", IF(PERCENTRANK(Table5[Total Weekend Frequency of Service], L70) &lt; 4/5, "4", "5"))))</f>
        <v>1</v>
      </c>
      <c r="N70" s="14">
        <f>Table5[[#This Row],[Weekend Frequency Grade]]+Table5[[#This Row],[Weekday Frequency Grade]]+Table5[[#This Row],[Weekday Ridership Grade]]+Table5[[#This Row],[Local Bus/Shuttle Grade]]+Table5[[#This Row],[Lines/Modes Grade]]</f>
        <v>7</v>
      </c>
      <c r="O70" s="21" t="str">
        <f>IF(PERCENTRANK(Table5[Transit Score], N70) &lt; 1/5, "1", IF(PERCENTRANK(Table5[Transit Score], N70) &lt; 2/5, "2", IF(PERCENTRANK(Table5[Transit Score], N70) &lt; 3/5, "3", IF(PERCENTRANK(Table5[Transit Score], N70) &lt; 4/5, "4", "5"))))</f>
        <v>1</v>
      </c>
      <c r="P70" s="21" t="str">
        <f>IF(PERCENTRANK(Table5[Transit Score], N70) &lt; 1/5, "LOW", IF(PERCENTRANK(Table5[Transit Score], N70) &lt; 2/5, "MEDIUM-LOW", IF(PERCENTRANK(Table5[Transit Score], N70) &lt; 3/5, "MEDIUM", IF(PERCENTRANK(Table5[Transit Score], N70) &lt; 4/5, "MEDIUM-HIGH", "HIGH"))))</f>
        <v>LOW</v>
      </c>
    </row>
    <row r="71" spans="1:16" x14ac:dyDescent="0.25">
      <c r="A71" s="82" t="s">
        <v>204</v>
      </c>
      <c r="B71" s="83">
        <v>77</v>
      </c>
      <c r="C71" s="14">
        <v>2</v>
      </c>
      <c r="D71" s="14">
        <v>3</v>
      </c>
      <c r="E71" s="14" t="str">
        <f>IF(PERCENTRANK(Table5[Lines/ Modes Aggregate], D71) &lt; 1/5, "1", IF(PERCENTRANK(Table5[Lines/ Modes Aggregate], D71) &lt; 2/5, "2", IF(PERCENTRANK(Table5[Lines/ Modes Aggregate], D71) &lt; 3/5, "3", IF(PERCENTRANK(Table5[Lines/ Modes Aggregate], D71) &lt; 4/5, "4", "5"))))</f>
        <v>1</v>
      </c>
      <c r="F71" s="14">
        <v>1</v>
      </c>
      <c r="G71" s="14" t="str">
        <f>IF(PERCENTRANK(Table5[Local Bus/Shuttle Routes], F71) &lt; 1/5, "1", IF(PERCENTRANK(Table5[Local Bus/Shuttle Routes], F71) &lt; 2/5, "2", IF(PERCENTRANK(Table5[Local Bus/Shuttle Routes], F71) &lt; 3/5, "3", IF(PERCENTRANK(Table5[Local Bus/Shuttle Routes], F71) &lt; 4/5, "4", "5"))))</f>
        <v>1</v>
      </c>
      <c r="H71" s="84">
        <v>384.58333333333331</v>
      </c>
      <c r="I71" s="84" t="str">
        <f>IF(PERCENTRANK(Table5[Total Weekday Ridership], H71) &lt; 1/5, "1", IF(PERCENTRANK(Table5[Total Weekday Ridership], H71) &lt; 2/5, "2", IF(PERCENTRANK(Table5[Total Weekday Ridership], H71) &lt; 3/5, "3", IF(PERCENTRANK(Table5[Total Weekday Ridership], H71) &lt; 4/5, "4", "5"))))</f>
        <v>2</v>
      </c>
      <c r="J71" s="21">
        <v>12</v>
      </c>
      <c r="K71" s="21" t="str">
        <f>IF(PERCENTRANK(Table5[Total Weekday Frequency of Service], J71) &lt; 1/5, "1", IF(PERCENTRANK(Table5[Total Weekday Frequency of Service], J71) &lt; 2/5, "2", IF(PERCENTRANK(Table5[Total Weekday Frequency of Service], J71) &lt; 3/5, "3", IF(PERCENTRANK(Table5[Total Weekday Frequency of Service], J71) &lt; 4/5, "4", "5"))))</f>
        <v>1</v>
      </c>
      <c r="L71" s="14">
        <v>0</v>
      </c>
      <c r="M71" s="21" t="str">
        <f>IF(PERCENTRANK(Table5[Total Weekend Frequency of Service], L71) &lt; 1/5, "1", IF(PERCENTRANK(Table5[Total Weekend Frequency of Service], L71) &lt; 2/5, "2", IF(PERCENTRANK(Table5[Total Weekend Frequency of Service], L71) &lt; 3/5, "3", IF(PERCENTRANK(Table5[Total Weekend Frequency of Service], L71) &lt; 4/5, "4", "5"))))</f>
        <v>1</v>
      </c>
      <c r="N71" s="14">
        <f>Table5[[#This Row],[Weekend Frequency Grade]]+Table5[[#This Row],[Weekday Frequency Grade]]+Table5[[#This Row],[Weekday Ridership Grade]]+Table5[[#This Row],[Local Bus/Shuttle Grade]]+Table5[[#This Row],[Lines/Modes Grade]]</f>
        <v>6</v>
      </c>
      <c r="O71" s="21" t="str">
        <f>IF(PERCENTRANK(Table5[Transit Score], N71) &lt; 1/5, "1", IF(PERCENTRANK(Table5[Transit Score], N71) &lt; 2/5, "2", IF(PERCENTRANK(Table5[Transit Score], N71) &lt; 3/5, "3", IF(PERCENTRANK(Table5[Transit Score], N71) &lt; 4/5, "4", "5"))))</f>
        <v>1</v>
      </c>
      <c r="P71" s="21" t="str">
        <f>IF(PERCENTRANK(Table5[Transit Score], N71) &lt; 1/5, "LOW", IF(PERCENTRANK(Table5[Transit Score], N71) &lt; 2/5, "MEDIUM-LOW", IF(PERCENTRANK(Table5[Transit Score], N71) &lt; 3/5, "MEDIUM", IF(PERCENTRANK(Table5[Transit Score], N71) &lt; 4/5, "MEDIUM-HIGH", "HIGH"))))</f>
        <v>LOW</v>
      </c>
    </row>
    <row r="72" spans="1:16" x14ac:dyDescent="0.25">
      <c r="A72" s="82" t="s">
        <v>208</v>
      </c>
      <c r="B72" s="83">
        <v>78</v>
      </c>
      <c r="C72" s="14">
        <v>2</v>
      </c>
      <c r="D72" s="14">
        <v>3</v>
      </c>
      <c r="E72" s="14" t="str">
        <f>IF(PERCENTRANK(Table5[Lines/ Modes Aggregate], D72) &lt; 1/5, "1", IF(PERCENTRANK(Table5[Lines/ Modes Aggregate], D72) &lt; 2/5, "2", IF(PERCENTRANK(Table5[Lines/ Modes Aggregate], D72) &lt; 3/5, "3", IF(PERCENTRANK(Table5[Lines/ Modes Aggregate], D72) &lt; 4/5, "4", "5"))))</f>
        <v>1</v>
      </c>
      <c r="F72" s="14">
        <v>9</v>
      </c>
      <c r="G72" s="14" t="str">
        <f>IF(PERCENTRANK(Table5[Local Bus/Shuttle Routes], F72) &lt; 1/5, "1", IF(PERCENTRANK(Table5[Local Bus/Shuttle Routes], F72) &lt; 2/5, "2", IF(PERCENTRANK(Table5[Local Bus/Shuttle Routes], F72) &lt; 3/5, "3", IF(PERCENTRANK(Table5[Local Bus/Shuttle Routes], F72) &lt; 4/5, "4", "5"))))</f>
        <v>5</v>
      </c>
      <c r="H72" s="84">
        <v>103.75</v>
      </c>
      <c r="I72" s="84" t="str">
        <f>IF(PERCENTRANK(Table5[Total Weekday Ridership], H72) &lt; 1/5, "1", IF(PERCENTRANK(Table5[Total Weekday Ridership], H72) &lt; 2/5, "2", IF(PERCENTRANK(Table5[Total Weekday Ridership], H72) &lt; 3/5, "3", IF(PERCENTRANK(Table5[Total Weekday Ridership], H72) &lt; 4/5, "4", "5"))))</f>
        <v>1</v>
      </c>
      <c r="J72" s="21">
        <v>6</v>
      </c>
      <c r="K72" s="21" t="str">
        <f>IF(PERCENTRANK(Table5[Total Weekday Frequency of Service], J72) &lt; 1/5, "1", IF(PERCENTRANK(Table5[Total Weekday Frequency of Service], J72) &lt; 2/5, "2", IF(PERCENTRANK(Table5[Total Weekday Frequency of Service], J72) &lt; 3/5, "3", IF(PERCENTRANK(Table5[Total Weekday Frequency of Service], J72) &lt; 4/5, "4", "5"))))</f>
        <v>1</v>
      </c>
      <c r="L72" s="14">
        <v>0</v>
      </c>
      <c r="M72" s="21" t="str">
        <f>IF(PERCENTRANK(Table5[Total Weekend Frequency of Service], L72) &lt; 1/5, "1", IF(PERCENTRANK(Table5[Total Weekend Frequency of Service], L72) &lt; 2/5, "2", IF(PERCENTRANK(Table5[Total Weekend Frequency of Service], L72) &lt; 3/5, "3", IF(PERCENTRANK(Table5[Total Weekend Frequency of Service], L72) &lt; 4/5, "4", "5"))))</f>
        <v>1</v>
      </c>
      <c r="N72" s="14">
        <f>Table5[[#This Row],[Weekend Frequency Grade]]+Table5[[#This Row],[Weekday Frequency Grade]]+Table5[[#This Row],[Weekday Ridership Grade]]+Table5[[#This Row],[Local Bus/Shuttle Grade]]+Table5[[#This Row],[Lines/Modes Grade]]</f>
        <v>9</v>
      </c>
      <c r="O72" s="21" t="str">
        <f>IF(PERCENTRANK(Table5[Transit Score], N72) &lt; 1/5, "1", IF(PERCENTRANK(Table5[Transit Score], N72) &lt; 2/5, "2", IF(PERCENTRANK(Table5[Transit Score], N72) &lt; 3/5, "3", IF(PERCENTRANK(Table5[Transit Score], N72) &lt; 4/5, "4", "5"))))</f>
        <v>2</v>
      </c>
      <c r="P72" s="21" t="str">
        <f>IF(PERCENTRANK(Table5[Transit Score], N72) &lt; 1/5, "LOW", IF(PERCENTRANK(Table5[Transit Score], N72) &lt; 2/5, "MEDIUM-LOW", IF(PERCENTRANK(Table5[Transit Score], N72) &lt; 3/5, "MEDIUM", IF(PERCENTRANK(Table5[Transit Score], N72) &lt; 4/5, "MEDIUM-HIGH", "HIGH"))))</f>
        <v>MEDIUM-LOW</v>
      </c>
    </row>
    <row r="73" spans="1:16" x14ac:dyDescent="0.25">
      <c r="A73" s="82" t="s">
        <v>212</v>
      </c>
      <c r="B73" s="83">
        <v>79</v>
      </c>
      <c r="C73" s="14">
        <v>3</v>
      </c>
      <c r="D73" s="14">
        <v>4</v>
      </c>
      <c r="E73" s="14" t="str">
        <f>IF(PERCENTRANK(Table5[Lines/ Modes Aggregate], D73) &lt; 1/5, "1", IF(PERCENTRANK(Table5[Lines/ Modes Aggregate], D73) &lt; 2/5, "2", IF(PERCENTRANK(Table5[Lines/ Modes Aggregate], D73) &lt; 3/5, "3", IF(PERCENTRANK(Table5[Lines/ Modes Aggregate], D73) &lt; 4/5, "4", "5"))))</f>
        <v>4</v>
      </c>
      <c r="F73" s="14">
        <v>5</v>
      </c>
      <c r="G73" s="14" t="str">
        <f>IF(PERCENTRANK(Table5[Local Bus/Shuttle Routes], F73) &lt; 1/5, "1", IF(PERCENTRANK(Table5[Local Bus/Shuttle Routes], F73) &lt; 2/5, "2", IF(PERCENTRANK(Table5[Local Bus/Shuttle Routes], F73) &lt; 3/5, "3", IF(PERCENTRANK(Table5[Local Bus/Shuttle Routes], F73) &lt; 4/5, "4", "5"))))</f>
        <v>4</v>
      </c>
      <c r="H73" s="84">
        <v>206.16666666666666</v>
      </c>
      <c r="I73" s="84" t="str">
        <f>IF(PERCENTRANK(Table5[Total Weekday Ridership], H73) &lt; 1/5, "1", IF(PERCENTRANK(Table5[Total Weekday Ridership], H73) &lt; 2/5, "2", IF(PERCENTRANK(Table5[Total Weekday Ridership], H73) &lt; 3/5, "3", IF(PERCENTRANK(Table5[Total Weekday Ridership], H73) &lt; 4/5, "4", "5"))))</f>
        <v>2</v>
      </c>
      <c r="J73" s="21">
        <v>6</v>
      </c>
      <c r="K73" s="21" t="str">
        <f>IF(PERCENTRANK(Table5[Total Weekday Frequency of Service], J73) &lt; 1/5, "1", IF(PERCENTRANK(Table5[Total Weekday Frequency of Service], J73) &lt; 2/5, "2", IF(PERCENTRANK(Table5[Total Weekday Frequency of Service], J73) &lt; 3/5, "3", IF(PERCENTRANK(Table5[Total Weekday Frequency of Service], J73) &lt; 4/5, "4", "5"))))</f>
        <v>1</v>
      </c>
      <c r="L73" s="14">
        <v>0</v>
      </c>
      <c r="M73" s="21" t="str">
        <f>IF(PERCENTRANK(Table5[Total Weekend Frequency of Service], L73) &lt; 1/5, "1", IF(PERCENTRANK(Table5[Total Weekend Frequency of Service], L73) &lt; 2/5, "2", IF(PERCENTRANK(Table5[Total Weekend Frequency of Service], L73) &lt; 3/5, "3", IF(PERCENTRANK(Table5[Total Weekend Frequency of Service], L73) &lt; 4/5, "4", "5"))))</f>
        <v>1</v>
      </c>
      <c r="N73" s="14">
        <f>Table5[[#This Row],[Weekend Frequency Grade]]+Table5[[#This Row],[Weekday Frequency Grade]]+Table5[[#This Row],[Weekday Ridership Grade]]+Table5[[#This Row],[Local Bus/Shuttle Grade]]+Table5[[#This Row],[Lines/Modes Grade]]</f>
        <v>12</v>
      </c>
      <c r="O73" s="21" t="str">
        <f>IF(PERCENTRANK(Table5[Transit Score], N73) &lt; 1/5, "1", IF(PERCENTRANK(Table5[Transit Score], N73) &lt; 2/5, "2", IF(PERCENTRANK(Table5[Transit Score], N73) &lt; 3/5, "3", IF(PERCENTRANK(Table5[Transit Score], N73) &lt; 4/5, "4", "5"))))</f>
        <v>3</v>
      </c>
      <c r="P73" s="21" t="str">
        <f>IF(PERCENTRANK(Table5[Transit Score], N73) &lt; 1/5, "LOW", IF(PERCENTRANK(Table5[Transit Score], N73) &lt; 2/5, "MEDIUM-LOW", IF(PERCENTRANK(Table5[Transit Score], N73) &lt; 3/5, "MEDIUM", IF(PERCENTRANK(Table5[Transit Score], N73) &lt; 4/5, "MEDIUM-HIGH", "HIGH"))))</f>
        <v>MEDIUM</v>
      </c>
    </row>
    <row r="74" spans="1:16" x14ac:dyDescent="0.25">
      <c r="A74" s="82" t="s">
        <v>214</v>
      </c>
      <c r="B74" s="83">
        <v>80</v>
      </c>
      <c r="C74" s="14">
        <v>1</v>
      </c>
      <c r="D74" s="14">
        <v>2</v>
      </c>
      <c r="E74" s="14" t="str">
        <f>IF(PERCENTRANK(Table5[Lines/ Modes Aggregate], D74) &lt; 1/5, "1", IF(PERCENTRANK(Table5[Lines/ Modes Aggregate], D74) &lt; 2/5, "2", IF(PERCENTRANK(Table5[Lines/ Modes Aggregate], D74) &lt; 3/5, "3", IF(PERCENTRANK(Table5[Lines/ Modes Aggregate], D74) &lt; 4/5, "4", "5"))))</f>
        <v>1</v>
      </c>
      <c r="F74" s="14">
        <v>0</v>
      </c>
      <c r="G74" s="14" t="str">
        <f>IF(PERCENTRANK(Table5[Local Bus/Shuttle Routes], F74) &lt; 1/5, "1", IF(PERCENTRANK(Table5[Local Bus/Shuttle Routes], F74) &lt; 2/5, "2", IF(PERCENTRANK(Table5[Local Bus/Shuttle Routes], F74) &lt; 3/5, "3", IF(PERCENTRANK(Table5[Local Bus/Shuttle Routes], F74) &lt; 4/5, "4", "5"))))</f>
        <v>1</v>
      </c>
      <c r="H74" s="84">
        <v>25.25</v>
      </c>
      <c r="I74" s="84" t="str">
        <f>IF(PERCENTRANK(Table5[Total Weekday Ridership], H74) &lt; 1/5, "1", IF(PERCENTRANK(Table5[Total Weekday Ridership], H74) &lt; 2/5, "2", IF(PERCENTRANK(Table5[Total Weekday Ridership], H74) &lt; 3/5, "3", IF(PERCENTRANK(Table5[Total Weekday Ridership], H74) &lt; 4/5, "4", "5"))))</f>
        <v>1</v>
      </c>
      <c r="J74" s="21">
        <v>9</v>
      </c>
      <c r="K74" s="21" t="str">
        <f>IF(PERCENTRANK(Table5[Total Weekday Frequency of Service], J74) &lt; 1/5, "1", IF(PERCENTRANK(Table5[Total Weekday Frequency of Service], J74) &lt; 2/5, "2", IF(PERCENTRANK(Table5[Total Weekday Frequency of Service], J74) &lt; 3/5, "3", IF(PERCENTRANK(Table5[Total Weekday Frequency of Service], J74) &lt; 4/5, "4", "5"))))</f>
        <v>1</v>
      </c>
      <c r="L74" s="14">
        <v>0</v>
      </c>
      <c r="M74" s="21" t="str">
        <f>IF(PERCENTRANK(Table5[Total Weekend Frequency of Service], L74) &lt; 1/5, "1", IF(PERCENTRANK(Table5[Total Weekend Frequency of Service], L74) &lt; 2/5, "2", IF(PERCENTRANK(Table5[Total Weekend Frequency of Service], L74) &lt; 3/5, "3", IF(PERCENTRANK(Table5[Total Weekend Frequency of Service], L74) &lt; 4/5, "4", "5"))))</f>
        <v>1</v>
      </c>
      <c r="N74" s="14">
        <f>Table5[[#This Row],[Weekend Frequency Grade]]+Table5[[#This Row],[Weekday Frequency Grade]]+Table5[[#This Row],[Weekday Ridership Grade]]+Table5[[#This Row],[Local Bus/Shuttle Grade]]+Table5[[#This Row],[Lines/Modes Grade]]</f>
        <v>5</v>
      </c>
      <c r="O74" s="21" t="str">
        <f>IF(PERCENTRANK(Table5[Transit Score], N74) &lt; 1/5, "1", IF(PERCENTRANK(Table5[Transit Score], N74) &lt; 2/5, "2", IF(PERCENTRANK(Table5[Transit Score], N74) &lt; 3/5, "3", IF(PERCENTRANK(Table5[Transit Score], N74) &lt; 4/5, "4", "5"))))</f>
        <v>1</v>
      </c>
      <c r="P74" s="21" t="str">
        <f>IF(PERCENTRANK(Table5[Transit Score], N74) &lt; 1/5, "LOW", IF(PERCENTRANK(Table5[Transit Score], N74) &lt; 2/5, "MEDIUM-LOW", IF(PERCENTRANK(Table5[Transit Score], N74) &lt; 3/5, "MEDIUM", IF(PERCENTRANK(Table5[Transit Score], N74) &lt; 4/5, "MEDIUM-HIGH", "HIGH"))))</f>
        <v>LOW</v>
      </c>
    </row>
    <row r="75" spans="1:16" x14ac:dyDescent="0.25">
      <c r="A75" s="82" t="s">
        <v>218</v>
      </c>
      <c r="B75" s="83">
        <v>81</v>
      </c>
      <c r="C75" s="14">
        <v>1</v>
      </c>
      <c r="D75" s="14">
        <v>2</v>
      </c>
      <c r="E75" s="14" t="str">
        <f>IF(PERCENTRANK(Table5[Lines/ Modes Aggregate], D75) &lt; 1/5, "1", IF(PERCENTRANK(Table5[Lines/ Modes Aggregate], D75) &lt; 2/5, "2", IF(PERCENTRANK(Table5[Lines/ Modes Aggregate], D75) &lt; 3/5, "3", IF(PERCENTRANK(Table5[Lines/ Modes Aggregate], D75) &lt; 4/5, "4", "5"))))</f>
        <v>1</v>
      </c>
      <c r="F75" s="14">
        <v>0</v>
      </c>
      <c r="G75" s="14" t="str">
        <f>IF(PERCENTRANK(Table5[Local Bus/Shuttle Routes], F75) &lt; 1/5, "1", IF(PERCENTRANK(Table5[Local Bus/Shuttle Routes], F75) &lt; 2/5, "2", IF(PERCENTRANK(Table5[Local Bus/Shuttle Routes], F75) &lt; 3/5, "3", IF(PERCENTRANK(Table5[Local Bus/Shuttle Routes], F75) &lt; 4/5, "4", "5"))))</f>
        <v>1</v>
      </c>
      <c r="H75" s="84">
        <v>74.833333333333329</v>
      </c>
      <c r="I75" s="84" t="str">
        <f>IF(PERCENTRANK(Table5[Total Weekday Ridership], H75) &lt; 1/5, "1", IF(PERCENTRANK(Table5[Total Weekday Ridership], H75) &lt; 2/5, "2", IF(PERCENTRANK(Table5[Total Weekday Ridership], H75) &lt; 3/5, "3", IF(PERCENTRANK(Table5[Total Weekday Ridership], H75) &lt; 4/5, "4", "5"))))</f>
        <v>1</v>
      </c>
      <c r="J75" s="21">
        <v>14</v>
      </c>
      <c r="K75" s="21" t="str">
        <f>IF(PERCENTRANK(Table5[Total Weekday Frequency of Service], J75) &lt; 1/5, "1", IF(PERCENTRANK(Table5[Total Weekday Frequency of Service], J75) &lt; 2/5, "2", IF(PERCENTRANK(Table5[Total Weekday Frequency of Service], J75) &lt; 3/5, "3", IF(PERCENTRANK(Table5[Total Weekday Frequency of Service], J75) &lt; 4/5, "4", "5"))))</f>
        <v>1</v>
      </c>
      <c r="L75" s="14">
        <v>0</v>
      </c>
      <c r="M75" s="21" t="str">
        <f>IF(PERCENTRANK(Table5[Total Weekend Frequency of Service], L75) &lt; 1/5, "1", IF(PERCENTRANK(Table5[Total Weekend Frequency of Service], L75) &lt; 2/5, "2", IF(PERCENTRANK(Table5[Total Weekend Frequency of Service], L75) &lt; 3/5, "3", IF(PERCENTRANK(Table5[Total Weekend Frequency of Service], L75) &lt; 4/5, "4", "5"))))</f>
        <v>1</v>
      </c>
      <c r="N75" s="14">
        <f>Table5[[#This Row],[Weekend Frequency Grade]]+Table5[[#This Row],[Weekday Frequency Grade]]+Table5[[#This Row],[Weekday Ridership Grade]]+Table5[[#This Row],[Local Bus/Shuttle Grade]]+Table5[[#This Row],[Lines/Modes Grade]]</f>
        <v>5</v>
      </c>
      <c r="O75" s="21" t="str">
        <f>IF(PERCENTRANK(Table5[Transit Score], N75) &lt; 1/5, "1", IF(PERCENTRANK(Table5[Transit Score], N75) &lt; 2/5, "2", IF(PERCENTRANK(Table5[Transit Score], N75) &lt; 3/5, "3", IF(PERCENTRANK(Table5[Transit Score], N75) &lt; 4/5, "4", "5"))))</f>
        <v>1</v>
      </c>
      <c r="P75" s="21" t="str">
        <f>IF(PERCENTRANK(Table5[Transit Score], N75) &lt; 1/5, "LOW", IF(PERCENTRANK(Table5[Transit Score], N75) &lt; 2/5, "MEDIUM-LOW", IF(PERCENTRANK(Table5[Transit Score], N75) &lt; 3/5, "MEDIUM", IF(PERCENTRANK(Table5[Transit Score], N75) &lt; 4/5, "MEDIUM-HIGH", "HIGH"))))</f>
        <v>LOW</v>
      </c>
    </row>
    <row r="76" spans="1:16" x14ac:dyDescent="0.25">
      <c r="A76" s="82" t="s">
        <v>220</v>
      </c>
      <c r="B76" s="83">
        <v>82</v>
      </c>
      <c r="C76" s="14">
        <v>1</v>
      </c>
      <c r="D76" s="14">
        <v>2</v>
      </c>
      <c r="E76" s="14" t="str">
        <f>IF(PERCENTRANK(Table5[Lines/ Modes Aggregate], D76) &lt; 1/5, "1", IF(PERCENTRANK(Table5[Lines/ Modes Aggregate], D76) &lt; 2/5, "2", IF(PERCENTRANK(Table5[Lines/ Modes Aggregate], D76) &lt; 3/5, "3", IF(PERCENTRANK(Table5[Lines/ Modes Aggregate], D76) &lt; 4/5, "4", "5"))))</f>
        <v>1</v>
      </c>
      <c r="F76" s="14">
        <v>0</v>
      </c>
      <c r="G76" s="14" t="str">
        <f>IF(PERCENTRANK(Table5[Local Bus/Shuttle Routes], F76) &lt; 1/5, "1", IF(PERCENTRANK(Table5[Local Bus/Shuttle Routes], F76) &lt; 2/5, "2", IF(PERCENTRANK(Table5[Local Bus/Shuttle Routes], F76) &lt; 3/5, "3", IF(PERCENTRANK(Table5[Local Bus/Shuttle Routes], F76) &lt; 4/5, "4", "5"))))</f>
        <v>1</v>
      </c>
      <c r="H76" s="84">
        <v>14.75</v>
      </c>
      <c r="I76" s="84" t="str">
        <f>IF(PERCENTRANK(Table5[Total Weekday Ridership], H76) &lt; 1/5, "1", IF(PERCENTRANK(Table5[Total Weekday Ridership], H76) &lt; 2/5, "2", IF(PERCENTRANK(Table5[Total Weekday Ridership], H76) &lt; 3/5, "3", IF(PERCENTRANK(Table5[Total Weekday Ridership], H76) &lt; 4/5, "4", "5"))))</f>
        <v>1</v>
      </c>
      <c r="J76" s="21">
        <v>9</v>
      </c>
      <c r="K76" s="21" t="str">
        <f>IF(PERCENTRANK(Table5[Total Weekday Frequency of Service], J76) &lt; 1/5, "1", IF(PERCENTRANK(Table5[Total Weekday Frequency of Service], J76) &lt; 2/5, "2", IF(PERCENTRANK(Table5[Total Weekday Frequency of Service], J76) &lt; 3/5, "3", IF(PERCENTRANK(Table5[Total Weekday Frequency of Service], J76) &lt; 4/5, "4", "5"))))</f>
        <v>1</v>
      </c>
      <c r="L76" s="14">
        <v>0</v>
      </c>
      <c r="M76" s="21" t="str">
        <f>IF(PERCENTRANK(Table5[Total Weekend Frequency of Service], L76) &lt; 1/5, "1", IF(PERCENTRANK(Table5[Total Weekend Frequency of Service], L76) &lt; 2/5, "2", IF(PERCENTRANK(Table5[Total Weekend Frequency of Service], L76) &lt; 3/5, "3", IF(PERCENTRANK(Table5[Total Weekend Frequency of Service], L76) &lt; 4/5, "4", "5"))))</f>
        <v>1</v>
      </c>
      <c r="N76" s="14">
        <f>Table5[[#This Row],[Weekend Frequency Grade]]+Table5[[#This Row],[Weekday Frequency Grade]]+Table5[[#This Row],[Weekday Ridership Grade]]+Table5[[#This Row],[Local Bus/Shuttle Grade]]+Table5[[#This Row],[Lines/Modes Grade]]</f>
        <v>5</v>
      </c>
      <c r="O76" s="21" t="str">
        <f>IF(PERCENTRANK(Table5[Transit Score], N76) &lt; 1/5, "1", IF(PERCENTRANK(Table5[Transit Score], N76) &lt; 2/5, "2", IF(PERCENTRANK(Table5[Transit Score], N76) &lt; 3/5, "3", IF(PERCENTRANK(Table5[Transit Score], N76) &lt; 4/5, "4", "5"))))</f>
        <v>1</v>
      </c>
      <c r="P76" s="21" t="str">
        <f>IF(PERCENTRANK(Table5[Transit Score], N76) &lt; 1/5, "LOW", IF(PERCENTRANK(Table5[Transit Score], N76) &lt; 2/5, "MEDIUM-LOW", IF(PERCENTRANK(Table5[Transit Score], N76) &lt; 3/5, "MEDIUM", IF(PERCENTRANK(Table5[Transit Score], N76) &lt; 4/5, "MEDIUM-HIGH", "HIGH"))))</f>
        <v>LOW</v>
      </c>
    </row>
    <row r="77" spans="1:16" x14ac:dyDescent="0.25">
      <c r="A77" s="82" t="s">
        <v>222</v>
      </c>
      <c r="B77" s="83">
        <v>83</v>
      </c>
      <c r="C77" s="14">
        <v>2</v>
      </c>
      <c r="D77" s="14">
        <v>3</v>
      </c>
      <c r="E77" s="14" t="str">
        <f>IF(PERCENTRANK(Table5[Lines/ Modes Aggregate], D77) &lt; 1/5, "1", IF(PERCENTRANK(Table5[Lines/ Modes Aggregate], D77) &lt; 2/5, "2", IF(PERCENTRANK(Table5[Lines/ Modes Aggregate], D77) &lt; 3/5, "3", IF(PERCENTRANK(Table5[Lines/ Modes Aggregate], D77) &lt; 4/5, "4", "5"))))</f>
        <v>1</v>
      </c>
      <c r="F77" s="14">
        <v>2</v>
      </c>
      <c r="G77" s="14" t="str">
        <f>IF(PERCENTRANK(Table5[Local Bus/Shuttle Routes], F77) &lt; 1/5, "1", IF(PERCENTRANK(Table5[Local Bus/Shuttle Routes], F77) &lt; 2/5, "2", IF(PERCENTRANK(Table5[Local Bus/Shuttle Routes], F77) &lt; 3/5, "3", IF(PERCENTRANK(Table5[Local Bus/Shuttle Routes], F77) &lt; 4/5, "4", "5"))))</f>
        <v>2</v>
      </c>
      <c r="H77" s="84">
        <v>756.41666666666663</v>
      </c>
      <c r="I77" s="84" t="str">
        <f>IF(PERCENTRANK(Table5[Total Weekday Ridership], H77) &lt; 1/5, "1", IF(PERCENTRANK(Table5[Total Weekday Ridership], H77) &lt; 2/5, "2", IF(PERCENTRANK(Table5[Total Weekday Ridership], H77) &lt; 3/5, "3", IF(PERCENTRANK(Table5[Total Weekday Ridership], H77) &lt; 4/5, "4", "5"))))</f>
        <v>3</v>
      </c>
      <c r="J77" s="21">
        <v>18</v>
      </c>
      <c r="K77" s="21" t="str">
        <f>IF(PERCENTRANK(Table5[Total Weekday Frequency of Service], J77) &lt; 1/5, "1", IF(PERCENTRANK(Table5[Total Weekday Frequency of Service], J77) &lt; 2/5, "2", IF(PERCENTRANK(Table5[Total Weekday Frequency of Service], J77) &lt; 3/5, "3", IF(PERCENTRANK(Table5[Total Weekday Frequency of Service], J77) &lt; 4/5, "4", "5"))))</f>
        <v>2</v>
      </c>
      <c r="L77" s="14">
        <v>0</v>
      </c>
      <c r="M77" s="21" t="str">
        <f>IF(PERCENTRANK(Table5[Total Weekend Frequency of Service], L77) &lt; 1/5, "1", IF(PERCENTRANK(Table5[Total Weekend Frequency of Service], L77) &lt; 2/5, "2", IF(PERCENTRANK(Table5[Total Weekend Frequency of Service], L77) &lt; 3/5, "3", IF(PERCENTRANK(Table5[Total Weekend Frequency of Service], L77) &lt; 4/5, "4", "5"))))</f>
        <v>1</v>
      </c>
      <c r="N77" s="14">
        <f>Table5[[#This Row],[Weekend Frequency Grade]]+Table5[[#This Row],[Weekday Frequency Grade]]+Table5[[#This Row],[Weekday Ridership Grade]]+Table5[[#This Row],[Local Bus/Shuttle Grade]]+Table5[[#This Row],[Lines/Modes Grade]]</f>
        <v>9</v>
      </c>
      <c r="O77" s="21" t="str">
        <f>IF(PERCENTRANK(Table5[Transit Score], N77) &lt; 1/5, "1", IF(PERCENTRANK(Table5[Transit Score], N77) &lt; 2/5, "2", IF(PERCENTRANK(Table5[Transit Score], N77) &lt; 3/5, "3", IF(PERCENTRANK(Table5[Transit Score], N77) &lt; 4/5, "4", "5"))))</f>
        <v>2</v>
      </c>
      <c r="P77" s="21" t="str">
        <f>IF(PERCENTRANK(Table5[Transit Score], N77) &lt; 1/5, "LOW", IF(PERCENTRANK(Table5[Transit Score], N77) &lt; 2/5, "MEDIUM-LOW", IF(PERCENTRANK(Table5[Transit Score], N77) &lt; 3/5, "MEDIUM", IF(PERCENTRANK(Table5[Transit Score], N77) &lt; 4/5, "MEDIUM-HIGH", "HIGH"))))</f>
        <v>MEDIUM-LOW</v>
      </c>
    </row>
    <row r="78" spans="1:16" x14ac:dyDescent="0.25">
      <c r="A78" s="82" t="s">
        <v>224</v>
      </c>
      <c r="B78" s="83">
        <v>84</v>
      </c>
      <c r="C78" s="14">
        <v>3</v>
      </c>
      <c r="D78" s="14">
        <v>4</v>
      </c>
      <c r="E78" s="14" t="str">
        <f>IF(PERCENTRANK(Table5[Lines/ Modes Aggregate], D78) &lt; 1/5, "1", IF(PERCENTRANK(Table5[Lines/ Modes Aggregate], D78) &lt; 2/5, "2", IF(PERCENTRANK(Table5[Lines/ Modes Aggregate], D78) &lt; 3/5, "3", IF(PERCENTRANK(Table5[Lines/ Modes Aggregate], D78) &lt; 4/5, "4", "5"))))</f>
        <v>4</v>
      </c>
      <c r="F78" s="14">
        <v>2</v>
      </c>
      <c r="G78" s="14" t="str">
        <f>IF(PERCENTRANK(Table5[Local Bus/Shuttle Routes], F78) &lt; 1/5, "1", IF(PERCENTRANK(Table5[Local Bus/Shuttle Routes], F78) &lt; 2/5, "2", IF(PERCENTRANK(Table5[Local Bus/Shuttle Routes], F78) &lt; 3/5, "3", IF(PERCENTRANK(Table5[Local Bus/Shuttle Routes], F78) &lt; 4/5, "4", "5"))))</f>
        <v>2</v>
      </c>
      <c r="H78" s="84">
        <v>317.83333333333331</v>
      </c>
      <c r="I78" s="84" t="str">
        <f>IF(PERCENTRANK(Table5[Total Weekday Ridership], H78) &lt; 1/5, "1", IF(PERCENTRANK(Table5[Total Weekday Ridership], H78) &lt; 2/5, "2", IF(PERCENTRANK(Table5[Total Weekday Ridership], H78) &lt; 3/5, "3", IF(PERCENTRANK(Table5[Total Weekday Ridership], H78) &lt; 4/5, "4", "5"))))</f>
        <v>2</v>
      </c>
      <c r="J78" s="21">
        <v>18</v>
      </c>
      <c r="K78" s="21" t="str">
        <f>IF(PERCENTRANK(Table5[Total Weekday Frequency of Service], J78) &lt; 1/5, "1", IF(PERCENTRANK(Table5[Total Weekday Frequency of Service], J78) &lt; 2/5, "2", IF(PERCENTRANK(Table5[Total Weekday Frequency of Service], J78) &lt; 3/5, "3", IF(PERCENTRANK(Table5[Total Weekday Frequency of Service], J78) &lt; 4/5, "4", "5"))))</f>
        <v>2</v>
      </c>
      <c r="L78" s="14">
        <v>0</v>
      </c>
      <c r="M78" s="21" t="str">
        <f>IF(PERCENTRANK(Table5[Total Weekend Frequency of Service], L78) &lt; 1/5, "1", IF(PERCENTRANK(Table5[Total Weekend Frequency of Service], L78) &lt; 2/5, "2", IF(PERCENTRANK(Table5[Total Weekend Frequency of Service], L78) &lt; 3/5, "3", IF(PERCENTRANK(Table5[Total Weekend Frequency of Service], L78) &lt; 4/5, "4", "5"))))</f>
        <v>1</v>
      </c>
      <c r="N78" s="14">
        <f>Table5[[#This Row],[Weekend Frequency Grade]]+Table5[[#This Row],[Weekday Frequency Grade]]+Table5[[#This Row],[Weekday Ridership Grade]]+Table5[[#This Row],[Local Bus/Shuttle Grade]]+Table5[[#This Row],[Lines/Modes Grade]]</f>
        <v>11</v>
      </c>
      <c r="O78" s="21" t="str">
        <f>IF(PERCENTRANK(Table5[Transit Score], N78) &lt; 1/5, "1", IF(PERCENTRANK(Table5[Transit Score], N78) &lt; 2/5, "2", IF(PERCENTRANK(Table5[Transit Score], N78) &lt; 3/5, "3", IF(PERCENTRANK(Table5[Transit Score], N78) &lt; 4/5, "4", "5"))))</f>
        <v>2</v>
      </c>
      <c r="P78" s="21" t="str">
        <f>IF(PERCENTRANK(Table5[Transit Score], N78) &lt; 1/5, "LOW", IF(PERCENTRANK(Table5[Transit Score], N78) &lt; 2/5, "MEDIUM-LOW", IF(PERCENTRANK(Table5[Transit Score], N78) &lt; 3/5, "MEDIUM", IF(PERCENTRANK(Table5[Transit Score], N78) &lt; 4/5, "MEDIUM-HIGH", "HIGH"))))</f>
        <v>MEDIUM-LOW</v>
      </c>
    </row>
    <row r="79" spans="1:16" x14ac:dyDescent="0.25">
      <c r="A79" s="82" t="s">
        <v>227</v>
      </c>
      <c r="B79" s="83">
        <v>85</v>
      </c>
      <c r="C79" s="14">
        <v>2</v>
      </c>
      <c r="D79" s="14">
        <v>3</v>
      </c>
      <c r="E79" s="14" t="str">
        <f>IF(PERCENTRANK(Table5[Lines/ Modes Aggregate], D79) &lt; 1/5, "1", IF(PERCENTRANK(Table5[Lines/ Modes Aggregate], D79) &lt; 2/5, "2", IF(PERCENTRANK(Table5[Lines/ Modes Aggregate], D79) &lt; 3/5, "3", IF(PERCENTRANK(Table5[Lines/ Modes Aggregate], D79) &lt; 4/5, "4", "5"))))</f>
        <v>1</v>
      </c>
      <c r="F79" s="14">
        <v>1</v>
      </c>
      <c r="G79" s="14" t="str">
        <f>IF(PERCENTRANK(Table5[Local Bus/Shuttle Routes], F79) &lt; 1/5, "1", IF(PERCENTRANK(Table5[Local Bus/Shuttle Routes], F79) &lt; 2/5, "2", IF(PERCENTRANK(Table5[Local Bus/Shuttle Routes], F79) &lt; 3/5, "3", IF(PERCENTRANK(Table5[Local Bus/Shuttle Routes], F79) &lt; 4/5, "4", "5"))))</f>
        <v>1</v>
      </c>
      <c r="H79" s="84">
        <v>524.75</v>
      </c>
      <c r="I79" s="84" t="str">
        <f>IF(PERCENTRANK(Table5[Total Weekday Ridership], H79) &lt; 1/5, "1", IF(PERCENTRANK(Table5[Total Weekday Ridership], H79) &lt; 2/5, "2", IF(PERCENTRANK(Table5[Total Weekday Ridership], H79) &lt; 3/5, "3", IF(PERCENTRANK(Table5[Total Weekday Ridership], H79) &lt; 4/5, "4", "5"))))</f>
        <v>3</v>
      </c>
      <c r="J79" s="21">
        <v>18</v>
      </c>
      <c r="K79" s="21" t="str">
        <f>IF(PERCENTRANK(Table5[Total Weekday Frequency of Service], J79) &lt; 1/5, "1", IF(PERCENTRANK(Table5[Total Weekday Frequency of Service], J79) &lt; 2/5, "2", IF(PERCENTRANK(Table5[Total Weekday Frequency of Service], J79) &lt; 3/5, "3", IF(PERCENTRANK(Table5[Total Weekday Frequency of Service], J79) &lt; 4/5, "4", "5"))))</f>
        <v>2</v>
      </c>
      <c r="L79" s="14">
        <v>0</v>
      </c>
      <c r="M79" s="21" t="str">
        <f>IF(PERCENTRANK(Table5[Total Weekend Frequency of Service], L79) &lt; 1/5, "1", IF(PERCENTRANK(Table5[Total Weekend Frequency of Service], L79) &lt; 2/5, "2", IF(PERCENTRANK(Table5[Total Weekend Frequency of Service], L79) &lt; 3/5, "3", IF(PERCENTRANK(Table5[Total Weekend Frequency of Service], L79) &lt; 4/5, "4", "5"))))</f>
        <v>1</v>
      </c>
      <c r="N79" s="14">
        <f>Table5[[#This Row],[Weekend Frequency Grade]]+Table5[[#This Row],[Weekday Frequency Grade]]+Table5[[#This Row],[Weekday Ridership Grade]]+Table5[[#This Row],[Local Bus/Shuttle Grade]]+Table5[[#This Row],[Lines/Modes Grade]]</f>
        <v>8</v>
      </c>
      <c r="O79" s="21" t="str">
        <f>IF(PERCENTRANK(Table5[Transit Score], N79) &lt; 1/5, "1", IF(PERCENTRANK(Table5[Transit Score], N79) &lt; 2/5, "2", IF(PERCENTRANK(Table5[Transit Score], N79) &lt; 3/5, "3", IF(PERCENTRANK(Table5[Transit Score], N79) &lt; 4/5, "4", "5"))))</f>
        <v>1</v>
      </c>
      <c r="P79" s="21" t="str">
        <f>IF(PERCENTRANK(Table5[Transit Score], N79) &lt; 1/5, "LOW", IF(PERCENTRANK(Table5[Transit Score], N79) &lt; 2/5, "MEDIUM-LOW", IF(PERCENTRANK(Table5[Transit Score], N79) &lt; 3/5, "MEDIUM", IF(PERCENTRANK(Table5[Transit Score], N79) &lt; 4/5, "MEDIUM-HIGH", "HIGH"))))</f>
        <v>LOW</v>
      </c>
    </row>
    <row r="80" spans="1:16" x14ac:dyDescent="0.25">
      <c r="A80" s="82" t="s">
        <v>229</v>
      </c>
      <c r="B80" s="83">
        <v>86</v>
      </c>
      <c r="C80" s="14">
        <v>2</v>
      </c>
      <c r="D80" s="14">
        <v>3</v>
      </c>
      <c r="E80" s="14" t="str">
        <f>IF(PERCENTRANK(Table5[Lines/ Modes Aggregate], D80) &lt; 1/5, "1", IF(PERCENTRANK(Table5[Lines/ Modes Aggregate], D80) &lt; 2/5, "2", IF(PERCENTRANK(Table5[Lines/ Modes Aggregate], D80) &lt; 3/5, "3", IF(PERCENTRANK(Table5[Lines/ Modes Aggregate], D80) &lt; 4/5, "4", "5"))))</f>
        <v>1</v>
      </c>
      <c r="F80" s="14">
        <v>1</v>
      </c>
      <c r="G80" s="14" t="str">
        <f>IF(PERCENTRANK(Table5[Local Bus/Shuttle Routes], F80) &lt; 1/5, "1", IF(PERCENTRANK(Table5[Local Bus/Shuttle Routes], F80) &lt; 2/5, "2", IF(PERCENTRANK(Table5[Local Bus/Shuttle Routes], F80) &lt; 3/5, "3", IF(PERCENTRANK(Table5[Local Bus/Shuttle Routes], F80) &lt; 4/5, "4", "5"))))</f>
        <v>1</v>
      </c>
      <c r="H80" s="84">
        <v>43.416666666666664</v>
      </c>
      <c r="I80" s="84" t="str">
        <f>IF(PERCENTRANK(Table5[Total Weekday Ridership], H80) &lt; 1/5, "1", IF(PERCENTRANK(Table5[Total Weekday Ridership], H80) &lt; 2/5, "2", IF(PERCENTRANK(Table5[Total Weekday Ridership], H80) &lt; 3/5, "3", IF(PERCENTRANK(Table5[Total Weekday Ridership], H80) &lt; 4/5, "4", "5"))))</f>
        <v>1</v>
      </c>
      <c r="J80" s="21">
        <v>9</v>
      </c>
      <c r="K80" s="21" t="str">
        <f>IF(PERCENTRANK(Table5[Total Weekday Frequency of Service], J80) &lt; 1/5, "1", IF(PERCENTRANK(Table5[Total Weekday Frequency of Service], J80) &lt; 2/5, "2", IF(PERCENTRANK(Table5[Total Weekday Frequency of Service], J80) &lt; 3/5, "3", IF(PERCENTRANK(Table5[Total Weekday Frequency of Service], J80) &lt; 4/5, "4", "5"))))</f>
        <v>1</v>
      </c>
      <c r="L80" s="14">
        <v>0</v>
      </c>
      <c r="M80" s="21" t="str">
        <f>IF(PERCENTRANK(Table5[Total Weekend Frequency of Service], L80) &lt; 1/5, "1", IF(PERCENTRANK(Table5[Total Weekend Frequency of Service], L80) &lt; 2/5, "2", IF(PERCENTRANK(Table5[Total Weekend Frequency of Service], L80) &lt; 3/5, "3", IF(PERCENTRANK(Table5[Total Weekend Frequency of Service], L80) &lt; 4/5, "4", "5"))))</f>
        <v>1</v>
      </c>
      <c r="N80" s="14">
        <f>Table5[[#This Row],[Weekend Frequency Grade]]+Table5[[#This Row],[Weekday Frequency Grade]]+Table5[[#This Row],[Weekday Ridership Grade]]+Table5[[#This Row],[Local Bus/Shuttle Grade]]+Table5[[#This Row],[Lines/Modes Grade]]</f>
        <v>5</v>
      </c>
      <c r="O80" s="21" t="str">
        <f>IF(PERCENTRANK(Table5[Transit Score], N80) &lt; 1/5, "1", IF(PERCENTRANK(Table5[Transit Score], N80) &lt; 2/5, "2", IF(PERCENTRANK(Table5[Transit Score], N80) &lt; 3/5, "3", IF(PERCENTRANK(Table5[Transit Score], N80) &lt; 4/5, "4", "5"))))</f>
        <v>1</v>
      </c>
      <c r="P80" s="21" t="str">
        <f>IF(PERCENTRANK(Table5[Transit Score], N80) &lt; 1/5, "LOW", IF(PERCENTRANK(Table5[Transit Score], N80) &lt; 2/5, "MEDIUM-LOW", IF(PERCENTRANK(Table5[Transit Score], N80) &lt; 3/5, "MEDIUM", IF(PERCENTRANK(Table5[Transit Score], N80) &lt; 4/5, "MEDIUM-HIGH", "HIGH"))))</f>
        <v>LOW</v>
      </c>
    </row>
    <row r="81" spans="1:16" x14ac:dyDescent="0.25">
      <c r="A81" s="82" t="s">
        <v>231</v>
      </c>
      <c r="B81" s="83">
        <v>87</v>
      </c>
      <c r="C81" s="14">
        <v>3</v>
      </c>
      <c r="D81" s="14">
        <v>4</v>
      </c>
      <c r="E81" s="14" t="str">
        <f>IF(PERCENTRANK(Table5[Lines/ Modes Aggregate], D81) &lt; 1/5, "1", IF(PERCENTRANK(Table5[Lines/ Modes Aggregate], D81) &lt; 2/5, "2", IF(PERCENTRANK(Table5[Lines/ Modes Aggregate], D81) &lt; 3/5, "3", IF(PERCENTRANK(Table5[Lines/ Modes Aggregate], D81) &lt; 4/5, "4", "5"))))</f>
        <v>4</v>
      </c>
      <c r="F81" s="14">
        <v>23</v>
      </c>
      <c r="G81" s="14" t="str">
        <f>IF(PERCENTRANK(Table5[Local Bus/Shuttle Routes], F81) &lt; 1/5, "1", IF(PERCENTRANK(Table5[Local Bus/Shuttle Routes], F81) &lt; 2/5, "2", IF(PERCENTRANK(Table5[Local Bus/Shuttle Routes], F81) &lt; 3/5, "3", IF(PERCENTRANK(Table5[Local Bus/Shuttle Routes], F81) &lt; 4/5, "4", "5"))))</f>
        <v>5</v>
      </c>
      <c r="H81" s="84">
        <v>558.08333333333337</v>
      </c>
      <c r="I81" s="84" t="str">
        <f>IF(PERCENTRANK(Table5[Total Weekday Ridership], H81) &lt; 1/5, "1", IF(PERCENTRANK(Table5[Total Weekday Ridership], H81) &lt; 2/5, "2", IF(PERCENTRANK(Table5[Total Weekday Ridership], H81) &lt; 3/5, "3", IF(PERCENTRANK(Table5[Total Weekday Ridership], H81) &lt; 4/5, "4", "5"))))</f>
        <v>3</v>
      </c>
      <c r="J81" s="21">
        <v>18</v>
      </c>
      <c r="K81" s="21" t="str">
        <f>IF(PERCENTRANK(Table5[Total Weekday Frequency of Service], J81) &lt; 1/5, "1", IF(PERCENTRANK(Table5[Total Weekday Frequency of Service], J81) &lt; 2/5, "2", IF(PERCENTRANK(Table5[Total Weekday Frequency of Service], J81) &lt; 3/5, "3", IF(PERCENTRANK(Table5[Total Weekday Frequency of Service], J81) &lt; 4/5, "4", "5"))))</f>
        <v>2</v>
      </c>
      <c r="L81" s="14">
        <v>0</v>
      </c>
      <c r="M81" s="21" t="str">
        <f>IF(PERCENTRANK(Table5[Total Weekend Frequency of Service], L81) &lt; 1/5, "1", IF(PERCENTRANK(Table5[Total Weekend Frequency of Service], L81) &lt; 2/5, "2", IF(PERCENTRANK(Table5[Total Weekend Frequency of Service], L81) &lt; 3/5, "3", IF(PERCENTRANK(Table5[Total Weekend Frequency of Service], L81) &lt; 4/5, "4", "5"))))</f>
        <v>1</v>
      </c>
      <c r="N81" s="14">
        <f>Table5[[#This Row],[Weekend Frequency Grade]]+Table5[[#This Row],[Weekday Frequency Grade]]+Table5[[#This Row],[Weekday Ridership Grade]]+Table5[[#This Row],[Local Bus/Shuttle Grade]]+Table5[[#This Row],[Lines/Modes Grade]]</f>
        <v>15</v>
      </c>
      <c r="O81" s="21" t="str">
        <f>IF(PERCENTRANK(Table5[Transit Score], N81) &lt; 1/5, "1", IF(PERCENTRANK(Table5[Transit Score], N81) &lt; 2/5, "2", IF(PERCENTRANK(Table5[Transit Score], N81) &lt; 3/5, "3", IF(PERCENTRANK(Table5[Transit Score], N81) &lt; 4/5, "4", "5"))))</f>
        <v>4</v>
      </c>
      <c r="P81" s="21" t="str">
        <f>IF(PERCENTRANK(Table5[Transit Score], N81) &lt; 1/5, "LOW", IF(PERCENTRANK(Table5[Transit Score], N81) &lt; 2/5, "MEDIUM-LOW", IF(PERCENTRANK(Table5[Transit Score], N81) &lt; 3/5, "MEDIUM", IF(PERCENTRANK(Table5[Transit Score], N81) &lt; 4/5, "MEDIUM-HIGH", "HIGH"))))</f>
        <v>MEDIUM-HIGH</v>
      </c>
    </row>
    <row r="82" spans="1:16" x14ac:dyDescent="0.25">
      <c r="A82" s="82" t="s">
        <v>234</v>
      </c>
      <c r="B82" s="83">
        <v>88</v>
      </c>
      <c r="C82" s="14">
        <v>2</v>
      </c>
      <c r="D82" s="14">
        <v>3</v>
      </c>
      <c r="E82" s="14" t="str">
        <f>IF(PERCENTRANK(Table5[Lines/ Modes Aggregate], D82) &lt; 1/5, "1", IF(PERCENTRANK(Table5[Lines/ Modes Aggregate], D82) &lt; 2/5, "2", IF(PERCENTRANK(Table5[Lines/ Modes Aggregate], D82) &lt; 3/5, "3", IF(PERCENTRANK(Table5[Lines/ Modes Aggregate], D82) &lt; 4/5, "4", "5"))))</f>
        <v>1</v>
      </c>
      <c r="F82" s="14">
        <v>1</v>
      </c>
      <c r="G82" s="14" t="str">
        <f>IF(PERCENTRANK(Table5[Local Bus/Shuttle Routes], F82) &lt; 1/5, "1", IF(PERCENTRANK(Table5[Local Bus/Shuttle Routes], F82) &lt; 2/5, "2", IF(PERCENTRANK(Table5[Local Bus/Shuttle Routes], F82) &lt; 3/5, "3", IF(PERCENTRANK(Table5[Local Bus/Shuttle Routes], F82) &lt; 4/5, "4", "5"))))</f>
        <v>1</v>
      </c>
      <c r="H82" s="84">
        <v>44.416666666666664</v>
      </c>
      <c r="I82" s="84" t="str">
        <f>IF(PERCENTRANK(Table5[Total Weekday Ridership], H82) &lt; 1/5, "1", IF(PERCENTRANK(Table5[Total Weekday Ridership], H82) &lt; 2/5, "2", IF(PERCENTRANK(Table5[Total Weekday Ridership], H82) &lt; 3/5, "3", IF(PERCENTRANK(Table5[Total Weekday Ridership], H82) &lt; 4/5, "4", "5"))))</f>
        <v>1</v>
      </c>
      <c r="J82" s="21">
        <v>11</v>
      </c>
      <c r="K82" s="21" t="str">
        <f>IF(PERCENTRANK(Table5[Total Weekday Frequency of Service], J82) &lt; 1/5, "1", IF(PERCENTRANK(Table5[Total Weekday Frequency of Service], J82) &lt; 2/5, "2", IF(PERCENTRANK(Table5[Total Weekday Frequency of Service], J82) &lt; 3/5, "3", IF(PERCENTRANK(Table5[Total Weekday Frequency of Service], J82) &lt; 4/5, "4", "5"))))</f>
        <v>1</v>
      </c>
      <c r="L82" s="14">
        <v>0</v>
      </c>
      <c r="M82" s="21" t="str">
        <f>IF(PERCENTRANK(Table5[Total Weekend Frequency of Service], L82) &lt; 1/5, "1", IF(PERCENTRANK(Table5[Total Weekend Frequency of Service], L82) &lt; 2/5, "2", IF(PERCENTRANK(Table5[Total Weekend Frequency of Service], L82) &lt; 3/5, "3", IF(PERCENTRANK(Table5[Total Weekend Frequency of Service], L82) &lt; 4/5, "4", "5"))))</f>
        <v>1</v>
      </c>
      <c r="N82" s="14">
        <f>Table5[[#This Row],[Weekend Frequency Grade]]+Table5[[#This Row],[Weekday Frequency Grade]]+Table5[[#This Row],[Weekday Ridership Grade]]+Table5[[#This Row],[Local Bus/Shuttle Grade]]+Table5[[#This Row],[Lines/Modes Grade]]</f>
        <v>5</v>
      </c>
      <c r="O82" s="21" t="str">
        <f>IF(PERCENTRANK(Table5[Transit Score], N82) &lt; 1/5, "1", IF(PERCENTRANK(Table5[Transit Score], N82) &lt; 2/5, "2", IF(PERCENTRANK(Table5[Transit Score], N82) &lt; 3/5, "3", IF(PERCENTRANK(Table5[Transit Score], N82) &lt; 4/5, "4", "5"))))</f>
        <v>1</v>
      </c>
      <c r="P82" s="21" t="str">
        <f>IF(PERCENTRANK(Table5[Transit Score], N82) &lt; 1/5, "LOW", IF(PERCENTRANK(Table5[Transit Score], N82) &lt; 2/5, "MEDIUM-LOW", IF(PERCENTRANK(Table5[Transit Score], N82) &lt; 3/5, "MEDIUM", IF(PERCENTRANK(Table5[Transit Score], N82) &lt; 4/5, "MEDIUM-HIGH", "HIGH"))))</f>
        <v>LOW</v>
      </c>
    </row>
    <row r="83" spans="1:16" x14ac:dyDescent="0.25">
      <c r="A83" s="82" t="s">
        <v>236</v>
      </c>
      <c r="B83" s="83">
        <v>89</v>
      </c>
      <c r="C83" s="14">
        <v>2</v>
      </c>
      <c r="D83" s="14">
        <v>3</v>
      </c>
      <c r="E83" s="14" t="str">
        <f>IF(PERCENTRANK(Table5[Lines/ Modes Aggregate], D83) &lt; 1/5, "1", IF(PERCENTRANK(Table5[Lines/ Modes Aggregate], D83) &lt; 2/5, "2", IF(PERCENTRANK(Table5[Lines/ Modes Aggregate], D83) &lt; 3/5, "3", IF(PERCENTRANK(Table5[Lines/ Modes Aggregate], D83) &lt; 4/5, "4", "5"))))</f>
        <v>1</v>
      </c>
      <c r="F83" s="14">
        <v>3</v>
      </c>
      <c r="G83" s="14" t="str">
        <f>IF(PERCENTRANK(Table5[Local Bus/Shuttle Routes], F83) &lt; 1/5, "1", IF(PERCENTRANK(Table5[Local Bus/Shuttle Routes], F83) &lt; 2/5, "2", IF(PERCENTRANK(Table5[Local Bus/Shuttle Routes], F83) &lt; 3/5, "3", IF(PERCENTRANK(Table5[Local Bus/Shuttle Routes], F83) &lt; 4/5, "4", "5"))))</f>
        <v>3</v>
      </c>
      <c r="H83" s="84">
        <v>163.66666666666666</v>
      </c>
      <c r="I83" s="84" t="str">
        <f>IF(PERCENTRANK(Table5[Total Weekday Ridership], H83) &lt; 1/5, "1", IF(PERCENTRANK(Table5[Total Weekday Ridership], H83) &lt; 2/5, "2", IF(PERCENTRANK(Table5[Total Weekday Ridership], H83) &lt; 3/5, "3", IF(PERCENTRANK(Table5[Total Weekday Ridership], H83) &lt; 4/5, "4", "5"))))</f>
        <v>1</v>
      </c>
      <c r="J83" s="21">
        <v>15</v>
      </c>
      <c r="K83" s="21" t="str">
        <f>IF(PERCENTRANK(Table5[Total Weekday Frequency of Service], J83) &lt; 1/5, "1", IF(PERCENTRANK(Table5[Total Weekday Frequency of Service], J83) &lt; 2/5, "2", IF(PERCENTRANK(Table5[Total Weekday Frequency of Service], J83) &lt; 3/5, "3", IF(PERCENTRANK(Table5[Total Weekday Frequency of Service], J83) &lt; 4/5, "4", "5"))))</f>
        <v>2</v>
      </c>
      <c r="L83" s="14">
        <v>0</v>
      </c>
      <c r="M83" s="21" t="str">
        <f>IF(PERCENTRANK(Table5[Total Weekend Frequency of Service], L83) &lt; 1/5, "1", IF(PERCENTRANK(Table5[Total Weekend Frequency of Service], L83) &lt; 2/5, "2", IF(PERCENTRANK(Table5[Total Weekend Frequency of Service], L83) &lt; 3/5, "3", IF(PERCENTRANK(Table5[Total Weekend Frequency of Service], L83) &lt; 4/5, "4", "5"))))</f>
        <v>1</v>
      </c>
      <c r="N83" s="14">
        <f>Table5[[#This Row],[Weekend Frequency Grade]]+Table5[[#This Row],[Weekday Frequency Grade]]+Table5[[#This Row],[Weekday Ridership Grade]]+Table5[[#This Row],[Local Bus/Shuttle Grade]]+Table5[[#This Row],[Lines/Modes Grade]]</f>
        <v>8</v>
      </c>
      <c r="O83" s="21" t="str">
        <f>IF(PERCENTRANK(Table5[Transit Score], N83) &lt; 1/5, "1", IF(PERCENTRANK(Table5[Transit Score], N83) &lt; 2/5, "2", IF(PERCENTRANK(Table5[Transit Score], N83) &lt; 3/5, "3", IF(PERCENTRANK(Table5[Transit Score], N83) &lt; 4/5, "4", "5"))))</f>
        <v>1</v>
      </c>
      <c r="P83" s="21" t="str">
        <f>IF(PERCENTRANK(Table5[Transit Score], N83) &lt; 1/5, "LOW", IF(PERCENTRANK(Table5[Transit Score], N83) &lt; 2/5, "MEDIUM-LOW", IF(PERCENTRANK(Table5[Transit Score], N83) &lt; 3/5, "MEDIUM", IF(PERCENTRANK(Table5[Transit Score], N83) &lt; 4/5, "MEDIUM-HIGH", "HIGH"))))</f>
        <v>LOW</v>
      </c>
    </row>
    <row r="84" spans="1:16" x14ac:dyDescent="0.25">
      <c r="A84" s="82" t="s">
        <v>238</v>
      </c>
      <c r="B84" s="83">
        <v>90</v>
      </c>
      <c r="C84" s="14">
        <v>4</v>
      </c>
      <c r="D84" s="14">
        <v>5</v>
      </c>
      <c r="E84" s="14" t="str">
        <f>IF(PERCENTRANK(Table5[Lines/ Modes Aggregate], D84) &lt; 1/5, "1", IF(PERCENTRANK(Table5[Lines/ Modes Aggregate], D84) &lt; 2/5, "2", IF(PERCENTRANK(Table5[Lines/ Modes Aggregate], D84) &lt; 3/5, "3", IF(PERCENTRANK(Table5[Lines/ Modes Aggregate], D84) &lt; 4/5, "4", "5"))))</f>
        <v>5</v>
      </c>
      <c r="F84" s="14">
        <v>48</v>
      </c>
      <c r="G84" s="14" t="str">
        <f>IF(PERCENTRANK(Table5[Local Bus/Shuttle Routes], F84) &lt; 1/5, "1", IF(PERCENTRANK(Table5[Local Bus/Shuttle Routes], F84) &lt; 2/5, "2", IF(PERCENTRANK(Table5[Local Bus/Shuttle Routes], F84) &lt; 3/5, "3", IF(PERCENTRANK(Table5[Local Bus/Shuttle Routes], F84) &lt; 4/5, "4", "5"))))</f>
        <v>5</v>
      </c>
      <c r="H84" s="84">
        <v>505.58333333333331</v>
      </c>
      <c r="I84" s="84" t="str">
        <f>IF(PERCENTRANK(Table5[Total Weekday Ridership], H84) &lt; 1/5, "1", IF(PERCENTRANK(Table5[Total Weekday Ridership], H84) &lt; 2/5, "2", IF(PERCENTRANK(Table5[Total Weekday Ridership], H84) &lt; 3/5, "3", IF(PERCENTRANK(Table5[Total Weekday Ridership], H84) &lt; 4/5, "4", "5"))))</f>
        <v>3</v>
      </c>
      <c r="J84" s="21">
        <v>18</v>
      </c>
      <c r="K84" s="21" t="str">
        <f>IF(PERCENTRANK(Table5[Total Weekday Frequency of Service], J84) &lt; 1/5, "1", IF(PERCENTRANK(Table5[Total Weekday Frequency of Service], J84) &lt; 2/5, "2", IF(PERCENTRANK(Table5[Total Weekday Frequency of Service], J84) &lt; 3/5, "3", IF(PERCENTRANK(Table5[Total Weekday Frequency of Service], J84) &lt; 4/5, "4", "5"))))</f>
        <v>2</v>
      </c>
      <c r="L84" s="14">
        <v>0</v>
      </c>
      <c r="M84" s="21" t="str">
        <f>IF(PERCENTRANK(Table5[Total Weekend Frequency of Service], L84) &lt; 1/5, "1", IF(PERCENTRANK(Table5[Total Weekend Frequency of Service], L84) &lt; 2/5, "2", IF(PERCENTRANK(Table5[Total Weekend Frequency of Service], L84) &lt; 3/5, "3", IF(PERCENTRANK(Table5[Total Weekend Frequency of Service], L84) &lt; 4/5, "4", "5"))))</f>
        <v>1</v>
      </c>
      <c r="N84" s="14">
        <f>Table5[[#This Row],[Weekend Frequency Grade]]+Table5[[#This Row],[Weekday Frequency Grade]]+Table5[[#This Row],[Weekday Ridership Grade]]+Table5[[#This Row],[Local Bus/Shuttle Grade]]+Table5[[#This Row],[Lines/Modes Grade]]</f>
        <v>16</v>
      </c>
      <c r="O84" s="21" t="str">
        <f>IF(PERCENTRANK(Table5[Transit Score], N84) &lt; 1/5, "1", IF(PERCENTRANK(Table5[Transit Score], N84) &lt; 2/5, "2", IF(PERCENTRANK(Table5[Transit Score], N84) &lt; 3/5, "3", IF(PERCENTRANK(Table5[Transit Score], N84) &lt; 4/5, "4", "5"))))</f>
        <v>4</v>
      </c>
      <c r="P84" s="21" t="str">
        <f>IF(PERCENTRANK(Table5[Transit Score], N84) &lt; 1/5, "LOW", IF(PERCENTRANK(Table5[Transit Score], N84) &lt; 2/5, "MEDIUM-LOW", IF(PERCENTRANK(Table5[Transit Score], N84) &lt; 3/5, "MEDIUM", IF(PERCENTRANK(Table5[Transit Score], N84) &lt; 4/5, "MEDIUM-HIGH", "HIGH"))))</f>
        <v>MEDIUM-HIGH</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A18" workbookViewId="0">
      <selection activeCell="K2" sqref="K2:K84"/>
    </sheetView>
  </sheetViews>
  <sheetFormatPr defaultRowHeight="15" x14ac:dyDescent="0.25"/>
  <cols>
    <col min="1" max="1" width="30.140625" bestFit="1" customWidth="1"/>
    <col min="2" max="2" width="11.7109375" customWidth="1"/>
    <col min="3" max="3" width="22.28515625" style="61" customWidth="1"/>
    <col min="4" max="4" width="19.42578125" style="61" customWidth="1"/>
    <col min="5" max="5" width="22.7109375" style="61" customWidth="1"/>
    <col min="6" max="6" width="9.5703125" style="61" customWidth="1"/>
    <col min="7" max="7" width="10.5703125" style="61" customWidth="1"/>
    <col min="8" max="8" width="18.42578125" style="61" customWidth="1"/>
    <col min="9" max="9" width="15.5703125" style="61" customWidth="1"/>
    <col min="10" max="10" width="23" customWidth="1"/>
    <col min="11" max="11" width="13.5703125" customWidth="1"/>
    <col min="12" max="12" width="17.7109375" customWidth="1"/>
  </cols>
  <sheetData>
    <row r="1" spans="1:12" ht="60" x14ac:dyDescent="0.25">
      <c r="A1" s="78" t="s">
        <v>9</v>
      </c>
      <c r="B1" s="78" t="s">
        <v>10</v>
      </c>
      <c r="C1" s="85" t="s">
        <v>23</v>
      </c>
      <c r="D1" s="85" t="s">
        <v>272</v>
      </c>
      <c r="E1" s="85" t="s">
        <v>273</v>
      </c>
      <c r="F1" s="85" t="s">
        <v>274</v>
      </c>
      <c r="G1" s="86" t="s">
        <v>22</v>
      </c>
      <c r="H1" s="86" t="s">
        <v>276</v>
      </c>
      <c r="I1" s="86" t="s">
        <v>275</v>
      </c>
      <c r="J1" s="79" t="s">
        <v>366</v>
      </c>
      <c r="K1" s="87" t="s">
        <v>424</v>
      </c>
      <c r="L1" s="81" t="s">
        <v>425</v>
      </c>
    </row>
    <row r="2" spans="1:12" x14ac:dyDescent="0.25">
      <c r="A2" s="82" t="s">
        <v>110</v>
      </c>
      <c r="B2" s="83">
        <v>2</v>
      </c>
      <c r="C2" s="88">
        <v>1</v>
      </c>
      <c r="D2" s="88">
        <v>1</v>
      </c>
      <c r="E2" s="88">
        <v>1</v>
      </c>
      <c r="F2" s="88">
        <v>1</v>
      </c>
      <c r="G2" s="88">
        <v>1</v>
      </c>
      <c r="H2" s="88">
        <v>1</v>
      </c>
      <c r="I2" s="89">
        <v>1</v>
      </c>
      <c r="J2" s="90">
        <f>SUM(C2:I2)</f>
        <v>7</v>
      </c>
      <c r="K2" s="21" t="str">
        <f>IF(PERCENTRANK(Table3[Station Facilities Score], J2) &lt; 1/5, "1", IF(PERCENTRANK(Table3[Station Facilities Score], J2) &lt; 2/5, "2", IF(PERCENTRANK(Table3[Station Facilities Score], J2) &lt; 3/5, "3", IF(PERCENTRANK(Table3[Station Facilities Score], J2) &lt; 4/5, "4", "5"))))</f>
        <v>5</v>
      </c>
      <c r="L2" s="21" t="str">
        <f>IF(PERCENTRANK(Table3[Station Facilities Score], J2) &lt; 1/5, "LOW", IF(PERCENTRANK(Table3[Station Facilities Score], J2) &lt; 2/5, "MEDIUM-LOW", IF(PERCENTRANK(Table3[Station Facilities Score], J2) &lt; 3/5, "MEDIUM", IF(PERCENTRANK(Table3[Station Facilities Score], J2) &lt; 4/5, "MEDIUM-HIGH", "HIGH"))))</f>
        <v>HIGH</v>
      </c>
    </row>
    <row r="3" spans="1:12" x14ac:dyDescent="0.25">
      <c r="A3" s="82" t="s">
        <v>266</v>
      </c>
      <c r="B3" s="83">
        <v>3</v>
      </c>
      <c r="C3" s="88">
        <v>0</v>
      </c>
      <c r="D3" s="88">
        <v>1</v>
      </c>
      <c r="E3" s="88">
        <v>1</v>
      </c>
      <c r="F3" s="88">
        <v>1</v>
      </c>
      <c r="G3" s="88">
        <v>1</v>
      </c>
      <c r="H3" s="88">
        <v>0</v>
      </c>
      <c r="I3" s="89">
        <v>0</v>
      </c>
      <c r="J3" s="90">
        <f t="shared" ref="J3:J65" si="0">SUM(C3:I3)</f>
        <v>4</v>
      </c>
      <c r="K3" s="21" t="str">
        <f>IF(PERCENTRANK(Table3[Station Facilities Score], J3) &lt; 1/5, "1", IF(PERCENTRANK(Table3[Station Facilities Score], J3) &lt; 2/5, "2", IF(PERCENTRANK(Table3[Station Facilities Score], J3) &lt; 3/5, "3", IF(PERCENTRANK(Table3[Station Facilities Score], J3) &lt; 4/5, "4", "5"))))</f>
        <v>1</v>
      </c>
      <c r="L3" s="21" t="str">
        <f>IF(PERCENTRANK(Table3[Station Facilities Score], J3) &lt; 1/5, "LOW", IF(PERCENTRANK(Table3[Station Facilities Score], J3) &lt; 2/5, "MEDIUM-LOW", IF(PERCENTRANK(Table3[Station Facilities Score], J3) &lt; 3/5, "MEDIUM", IF(PERCENTRANK(Table3[Station Facilities Score], J3) &lt; 4/5, "MEDIUM-HIGH", "HIGH"))))</f>
        <v>LOW</v>
      </c>
    </row>
    <row r="4" spans="1:12" x14ac:dyDescent="0.25">
      <c r="A4" s="83" t="s">
        <v>32</v>
      </c>
      <c r="B4" s="83">
        <v>4</v>
      </c>
      <c r="C4" s="88">
        <v>0</v>
      </c>
      <c r="D4" s="88">
        <v>1</v>
      </c>
      <c r="E4" s="88">
        <v>1</v>
      </c>
      <c r="F4" s="88">
        <v>1</v>
      </c>
      <c r="G4" s="88">
        <v>1</v>
      </c>
      <c r="H4" s="88">
        <v>1</v>
      </c>
      <c r="I4" s="89">
        <v>1</v>
      </c>
      <c r="J4" s="90">
        <f t="shared" si="0"/>
        <v>6</v>
      </c>
      <c r="K4" s="21" t="str">
        <f>IF(PERCENTRANK(Table3[Station Facilities Score], J4) &lt; 1/5, "1", IF(PERCENTRANK(Table3[Station Facilities Score], J4) &lt; 2/5, "2", IF(PERCENTRANK(Table3[Station Facilities Score], J4) &lt; 3/5, "3", IF(PERCENTRANK(Table3[Station Facilities Score], J4) &lt; 4/5, "4", "5"))))</f>
        <v>3</v>
      </c>
      <c r="L4" s="21" t="str">
        <f>IF(PERCENTRANK(Table3[Station Facilities Score], J4) &lt; 1/5, "LOW", IF(PERCENTRANK(Table3[Station Facilities Score], J4) &lt; 2/5, "MEDIUM-LOW", IF(PERCENTRANK(Table3[Station Facilities Score], J4) &lt; 3/5, "MEDIUM", IF(PERCENTRANK(Table3[Station Facilities Score], J4) &lt; 4/5, "MEDIUM-HIGH", "HIGH"))))</f>
        <v>MEDIUM</v>
      </c>
    </row>
    <row r="5" spans="1:12" x14ac:dyDescent="0.25">
      <c r="A5" s="83" t="s">
        <v>41</v>
      </c>
      <c r="B5" s="83">
        <v>5</v>
      </c>
      <c r="C5" s="88">
        <v>1</v>
      </c>
      <c r="D5" s="88">
        <v>1</v>
      </c>
      <c r="E5" s="88">
        <v>1</v>
      </c>
      <c r="F5" s="88">
        <v>1</v>
      </c>
      <c r="G5" s="88">
        <v>1</v>
      </c>
      <c r="H5" s="88">
        <v>0</v>
      </c>
      <c r="I5" s="89">
        <v>1</v>
      </c>
      <c r="J5" s="90">
        <f t="shared" si="0"/>
        <v>6</v>
      </c>
      <c r="K5" s="21" t="str">
        <f>IF(PERCENTRANK(Table3[Station Facilities Score], J5) &lt; 1/5, "1", IF(PERCENTRANK(Table3[Station Facilities Score], J5) &lt; 2/5, "2", IF(PERCENTRANK(Table3[Station Facilities Score], J5) &lt; 3/5, "3", IF(PERCENTRANK(Table3[Station Facilities Score], J5) &lt; 4/5, "4", "5"))))</f>
        <v>3</v>
      </c>
      <c r="L5" s="21" t="str">
        <f>IF(PERCENTRANK(Table3[Station Facilities Score], J5) &lt; 1/5, "LOW", IF(PERCENTRANK(Table3[Station Facilities Score], J5) &lt; 2/5, "MEDIUM-LOW", IF(PERCENTRANK(Table3[Station Facilities Score], J5) &lt; 3/5, "MEDIUM", IF(PERCENTRANK(Table3[Station Facilities Score], J5) &lt; 4/5, "MEDIUM-HIGH", "HIGH"))))</f>
        <v>MEDIUM</v>
      </c>
    </row>
    <row r="6" spans="1:12" x14ac:dyDescent="0.25">
      <c r="A6" s="83" t="s">
        <v>44</v>
      </c>
      <c r="B6" s="83">
        <v>6</v>
      </c>
      <c r="C6" s="88">
        <v>1</v>
      </c>
      <c r="D6" s="88">
        <v>1</v>
      </c>
      <c r="E6" s="88">
        <v>1</v>
      </c>
      <c r="F6" s="88">
        <v>1</v>
      </c>
      <c r="G6" s="88">
        <v>1</v>
      </c>
      <c r="H6" s="88">
        <v>0</v>
      </c>
      <c r="I6" s="89">
        <v>1</v>
      </c>
      <c r="J6" s="90">
        <f t="shared" si="0"/>
        <v>6</v>
      </c>
      <c r="K6" s="21" t="str">
        <f>IF(PERCENTRANK(Table3[Station Facilities Score], J6) &lt; 1/5, "1", IF(PERCENTRANK(Table3[Station Facilities Score], J6) &lt; 2/5, "2", IF(PERCENTRANK(Table3[Station Facilities Score], J6) &lt; 3/5, "3", IF(PERCENTRANK(Table3[Station Facilities Score], J6) &lt; 4/5, "4", "5"))))</f>
        <v>3</v>
      </c>
      <c r="L6" s="21" t="str">
        <f>IF(PERCENTRANK(Table3[Station Facilities Score], J6) &lt; 1/5, "LOW", IF(PERCENTRANK(Table3[Station Facilities Score], J6) &lt; 2/5, "MEDIUM-LOW", IF(PERCENTRANK(Table3[Station Facilities Score], J6) &lt; 3/5, "MEDIUM", IF(PERCENTRANK(Table3[Station Facilities Score], J6) &lt; 4/5, "MEDIUM-HIGH", "HIGH"))))</f>
        <v>MEDIUM</v>
      </c>
    </row>
    <row r="7" spans="1:12" x14ac:dyDescent="0.25">
      <c r="A7" s="83" t="s">
        <v>46</v>
      </c>
      <c r="B7" s="83">
        <v>7</v>
      </c>
      <c r="C7" s="88">
        <v>0</v>
      </c>
      <c r="D7" s="88">
        <v>1</v>
      </c>
      <c r="E7" s="88">
        <v>1</v>
      </c>
      <c r="F7" s="88">
        <v>1</v>
      </c>
      <c r="G7" s="88">
        <v>1</v>
      </c>
      <c r="H7" s="88">
        <v>0</v>
      </c>
      <c r="I7" s="89">
        <v>1</v>
      </c>
      <c r="J7" s="90">
        <f t="shared" si="0"/>
        <v>5</v>
      </c>
      <c r="K7" s="21" t="str">
        <f>IF(PERCENTRANK(Table3[Station Facilities Score], J7) &lt; 1/5, "1", IF(PERCENTRANK(Table3[Station Facilities Score], J7) &lt; 2/5, "2", IF(PERCENTRANK(Table3[Station Facilities Score], J7) &lt; 3/5, "3", IF(PERCENTRANK(Table3[Station Facilities Score], J7) &lt; 4/5, "4", "5"))))</f>
        <v>2</v>
      </c>
      <c r="L7" s="21" t="str">
        <f>IF(PERCENTRANK(Table3[Station Facilities Score], J7) &lt; 1/5, "LOW", IF(PERCENTRANK(Table3[Station Facilities Score], J7) &lt; 2/5, "MEDIUM-LOW", IF(PERCENTRANK(Table3[Station Facilities Score], J7) &lt; 3/5, "MEDIUM", IF(PERCENTRANK(Table3[Station Facilities Score], J7) &lt; 4/5, "MEDIUM-HIGH", "HIGH"))))</f>
        <v>MEDIUM-LOW</v>
      </c>
    </row>
    <row r="8" spans="1:12" x14ac:dyDescent="0.25">
      <c r="A8" s="83" t="s">
        <v>53</v>
      </c>
      <c r="B8" s="83">
        <v>8</v>
      </c>
      <c r="C8" s="88">
        <v>1</v>
      </c>
      <c r="D8" s="88">
        <v>1</v>
      </c>
      <c r="E8" s="88">
        <v>1</v>
      </c>
      <c r="F8" s="88">
        <v>1</v>
      </c>
      <c r="G8" s="88">
        <v>1</v>
      </c>
      <c r="H8" s="88">
        <v>0</v>
      </c>
      <c r="I8" s="89">
        <v>1</v>
      </c>
      <c r="J8" s="90">
        <f t="shared" si="0"/>
        <v>6</v>
      </c>
      <c r="K8" s="21" t="str">
        <f>IF(PERCENTRANK(Table3[Station Facilities Score], J8) &lt; 1/5, "1", IF(PERCENTRANK(Table3[Station Facilities Score], J8) &lt; 2/5, "2", IF(PERCENTRANK(Table3[Station Facilities Score], J8) &lt; 3/5, "3", IF(PERCENTRANK(Table3[Station Facilities Score], J8) &lt; 4/5, "4", "5"))))</f>
        <v>3</v>
      </c>
      <c r="L8" s="21" t="str">
        <f>IF(PERCENTRANK(Table3[Station Facilities Score], J8) &lt; 1/5, "LOW", IF(PERCENTRANK(Table3[Station Facilities Score], J8) &lt; 2/5, "MEDIUM-LOW", IF(PERCENTRANK(Table3[Station Facilities Score], J8) &lt; 3/5, "MEDIUM", IF(PERCENTRANK(Table3[Station Facilities Score], J8) &lt; 4/5, "MEDIUM-HIGH", "HIGH"))))</f>
        <v>MEDIUM</v>
      </c>
    </row>
    <row r="9" spans="1:12" x14ac:dyDescent="0.25">
      <c r="A9" s="83" t="s">
        <v>351</v>
      </c>
      <c r="B9" s="83">
        <v>9</v>
      </c>
      <c r="C9" s="88">
        <v>1</v>
      </c>
      <c r="D9" s="88">
        <v>1</v>
      </c>
      <c r="E9" s="88">
        <v>1</v>
      </c>
      <c r="F9" s="88">
        <v>1</v>
      </c>
      <c r="G9" s="88">
        <v>1</v>
      </c>
      <c r="H9" s="88">
        <v>0</v>
      </c>
      <c r="I9" s="89">
        <v>1</v>
      </c>
      <c r="J9" s="90">
        <f t="shared" si="0"/>
        <v>6</v>
      </c>
      <c r="K9" s="21" t="str">
        <f>IF(PERCENTRANK(Table3[Station Facilities Score], J9) &lt; 1/5, "1", IF(PERCENTRANK(Table3[Station Facilities Score], J9) &lt; 2/5, "2", IF(PERCENTRANK(Table3[Station Facilities Score], J9) &lt; 3/5, "3", IF(PERCENTRANK(Table3[Station Facilities Score], J9) &lt; 4/5, "4", "5"))))</f>
        <v>3</v>
      </c>
      <c r="L9" s="21" t="str">
        <f>IF(PERCENTRANK(Table3[Station Facilities Score], J9) &lt; 1/5, "LOW", IF(PERCENTRANK(Table3[Station Facilities Score], J9) &lt; 2/5, "MEDIUM-LOW", IF(PERCENTRANK(Table3[Station Facilities Score], J9) &lt; 3/5, "MEDIUM", IF(PERCENTRANK(Table3[Station Facilities Score], J9) &lt; 4/5, "MEDIUM-HIGH", "HIGH"))))</f>
        <v>MEDIUM</v>
      </c>
    </row>
    <row r="10" spans="1:12" x14ac:dyDescent="0.25">
      <c r="A10" s="83" t="s">
        <v>56</v>
      </c>
      <c r="B10" s="83">
        <v>10</v>
      </c>
      <c r="C10" s="88">
        <v>1</v>
      </c>
      <c r="D10" s="88">
        <v>1</v>
      </c>
      <c r="E10" s="88">
        <v>1</v>
      </c>
      <c r="F10" s="88">
        <v>1</v>
      </c>
      <c r="G10" s="88">
        <v>1</v>
      </c>
      <c r="H10" s="88">
        <v>0</v>
      </c>
      <c r="I10" s="89">
        <v>1</v>
      </c>
      <c r="J10" s="90">
        <f t="shared" si="0"/>
        <v>6</v>
      </c>
      <c r="K10" s="21" t="str">
        <f>IF(PERCENTRANK(Table3[Station Facilities Score], J10) &lt; 1/5, "1", IF(PERCENTRANK(Table3[Station Facilities Score], J10) &lt; 2/5, "2", IF(PERCENTRANK(Table3[Station Facilities Score], J10) &lt; 3/5, "3", IF(PERCENTRANK(Table3[Station Facilities Score], J10) &lt; 4/5, "4", "5"))))</f>
        <v>3</v>
      </c>
      <c r="L10" s="21" t="str">
        <f>IF(PERCENTRANK(Table3[Station Facilities Score], J10) &lt; 1/5, "LOW", IF(PERCENTRANK(Table3[Station Facilities Score], J10) &lt; 2/5, "MEDIUM-LOW", IF(PERCENTRANK(Table3[Station Facilities Score], J10) &lt; 3/5, "MEDIUM", IF(PERCENTRANK(Table3[Station Facilities Score], J10) &lt; 4/5, "MEDIUM-HIGH", "HIGH"))))</f>
        <v>MEDIUM</v>
      </c>
    </row>
    <row r="11" spans="1:12" x14ac:dyDescent="0.25">
      <c r="A11" s="83" t="s">
        <v>59</v>
      </c>
      <c r="B11" s="83">
        <v>11</v>
      </c>
      <c r="C11" s="88">
        <v>1</v>
      </c>
      <c r="D11" s="88">
        <v>1</v>
      </c>
      <c r="E11" s="88">
        <v>1</v>
      </c>
      <c r="F11" s="88">
        <v>1</v>
      </c>
      <c r="G11" s="88">
        <v>1</v>
      </c>
      <c r="H11" s="88">
        <v>0</v>
      </c>
      <c r="I11" s="89">
        <v>1</v>
      </c>
      <c r="J11" s="90">
        <f t="shared" si="0"/>
        <v>6</v>
      </c>
      <c r="K11" s="21" t="str">
        <f>IF(PERCENTRANK(Table3[Station Facilities Score], J11) &lt; 1/5, "1", IF(PERCENTRANK(Table3[Station Facilities Score], J11) &lt; 2/5, "2", IF(PERCENTRANK(Table3[Station Facilities Score], J11) &lt; 3/5, "3", IF(PERCENTRANK(Table3[Station Facilities Score], J11) &lt; 4/5, "4", "5"))))</f>
        <v>3</v>
      </c>
      <c r="L11" s="21" t="str">
        <f>IF(PERCENTRANK(Table3[Station Facilities Score], J11) &lt; 1/5, "LOW", IF(PERCENTRANK(Table3[Station Facilities Score], J11) &lt; 2/5, "MEDIUM-LOW", IF(PERCENTRANK(Table3[Station Facilities Score], J11) &lt; 3/5, "MEDIUM", IF(PERCENTRANK(Table3[Station Facilities Score], J11) &lt; 4/5, "MEDIUM-HIGH", "HIGH"))))</f>
        <v>MEDIUM</v>
      </c>
    </row>
    <row r="12" spans="1:12" x14ac:dyDescent="0.25">
      <c r="A12" s="83" t="s">
        <v>61</v>
      </c>
      <c r="B12" s="83">
        <v>12</v>
      </c>
      <c r="C12" s="88">
        <v>0</v>
      </c>
      <c r="D12" s="88">
        <v>1</v>
      </c>
      <c r="E12" s="88">
        <v>1</v>
      </c>
      <c r="F12" s="88">
        <v>0</v>
      </c>
      <c r="G12" s="88">
        <v>0</v>
      </c>
      <c r="H12" s="88">
        <v>0</v>
      </c>
      <c r="I12" s="89">
        <v>1</v>
      </c>
      <c r="J12" s="90">
        <f t="shared" si="0"/>
        <v>3</v>
      </c>
      <c r="K12" s="21" t="str">
        <f>IF(PERCENTRANK(Table3[Station Facilities Score], J12) &lt; 1/5, "1", IF(PERCENTRANK(Table3[Station Facilities Score], J12) &lt; 2/5, "2", IF(PERCENTRANK(Table3[Station Facilities Score], J12) &lt; 3/5, "3", IF(PERCENTRANK(Table3[Station Facilities Score], J12) &lt; 4/5, "4", "5"))))</f>
        <v>1</v>
      </c>
      <c r="L12" s="21" t="str">
        <f>IF(PERCENTRANK(Table3[Station Facilities Score], J12) &lt; 1/5, "LOW", IF(PERCENTRANK(Table3[Station Facilities Score], J12) &lt; 2/5, "MEDIUM-LOW", IF(PERCENTRANK(Table3[Station Facilities Score], J12) &lt; 3/5, "MEDIUM", IF(PERCENTRANK(Table3[Station Facilities Score], J12) &lt; 4/5, "MEDIUM-HIGH", "HIGH"))))</f>
        <v>LOW</v>
      </c>
    </row>
    <row r="13" spans="1:12" x14ac:dyDescent="0.25">
      <c r="A13" s="83" t="s">
        <v>63</v>
      </c>
      <c r="B13" s="83">
        <v>13</v>
      </c>
      <c r="C13" s="88">
        <v>1</v>
      </c>
      <c r="D13" s="88">
        <v>1</v>
      </c>
      <c r="E13" s="88">
        <v>1</v>
      </c>
      <c r="F13" s="88">
        <v>0</v>
      </c>
      <c r="G13" s="88">
        <v>0</v>
      </c>
      <c r="H13" s="88">
        <v>0</v>
      </c>
      <c r="I13" s="89">
        <v>1</v>
      </c>
      <c r="J13" s="90">
        <f t="shared" si="0"/>
        <v>4</v>
      </c>
      <c r="K13" s="21" t="str">
        <f>IF(PERCENTRANK(Table3[Station Facilities Score], J13) &lt; 1/5, "1", IF(PERCENTRANK(Table3[Station Facilities Score], J13) &lt; 2/5, "2", IF(PERCENTRANK(Table3[Station Facilities Score], J13) &lt; 3/5, "3", IF(PERCENTRANK(Table3[Station Facilities Score], J13) &lt; 4/5, "4", "5"))))</f>
        <v>1</v>
      </c>
      <c r="L13" s="21" t="str">
        <f>IF(PERCENTRANK(Table3[Station Facilities Score], J13) &lt; 1/5, "LOW", IF(PERCENTRANK(Table3[Station Facilities Score], J13) &lt; 2/5, "MEDIUM-LOW", IF(PERCENTRANK(Table3[Station Facilities Score], J13) &lt; 3/5, "MEDIUM", IF(PERCENTRANK(Table3[Station Facilities Score], J13) &lt; 4/5, "MEDIUM-HIGH", "HIGH"))))</f>
        <v>LOW</v>
      </c>
    </row>
    <row r="14" spans="1:12" x14ac:dyDescent="0.25">
      <c r="A14" s="83" t="s">
        <v>68</v>
      </c>
      <c r="B14" s="83">
        <v>14</v>
      </c>
      <c r="C14" s="88">
        <v>0</v>
      </c>
      <c r="D14" s="88">
        <v>1</v>
      </c>
      <c r="E14" s="88">
        <v>1</v>
      </c>
      <c r="F14" s="88">
        <v>1</v>
      </c>
      <c r="G14" s="88">
        <v>0</v>
      </c>
      <c r="H14" s="88">
        <v>0</v>
      </c>
      <c r="I14" s="89">
        <v>1</v>
      </c>
      <c r="J14" s="90">
        <f t="shared" si="0"/>
        <v>4</v>
      </c>
      <c r="K14" s="21" t="str">
        <f>IF(PERCENTRANK(Table3[Station Facilities Score], J14) &lt; 1/5, "1", IF(PERCENTRANK(Table3[Station Facilities Score], J14) &lt; 2/5, "2", IF(PERCENTRANK(Table3[Station Facilities Score], J14) &lt; 3/5, "3", IF(PERCENTRANK(Table3[Station Facilities Score], J14) &lt; 4/5, "4", "5"))))</f>
        <v>1</v>
      </c>
      <c r="L14" s="21" t="str">
        <f>IF(PERCENTRANK(Table3[Station Facilities Score], J14) &lt; 1/5, "LOW", IF(PERCENTRANK(Table3[Station Facilities Score], J14) &lt; 2/5, "MEDIUM-LOW", IF(PERCENTRANK(Table3[Station Facilities Score], J14) &lt; 3/5, "MEDIUM", IF(PERCENTRANK(Table3[Station Facilities Score], J14) &lt; 4/5, "MEDIUM-HIGH", "HIGH"))))</f>
        <v>LOW</v>
      </c>
    </row>
    <row r="15" spans="1:12" x14ac:dyDescent="0.25">
      <c r="A15" s="83" t="s">
        <v>70</v>
      </c>
      <c r="B15" s="83">
        <v>15</v>
      </c>
      <c r="C15" s="88">
        <v>1</v>
      </c>
      <c r="D15" s="88">
        <v>1</v>
      </c>
      <c r="E15" s="88">
        <v>1</v>
      </c>
      <c r="F15" s="88">
        <v>0</v>
      </c>
      <c r="G15" s="88">
        <v>0</v>
      </c>
      <c r="H15" s="88">
        <v>0</v>
      </c>
      <c r="I15" s="89">
        <v>1</v>
      </c>
      <c r="J15" s="90">
        <f t="shared" si="0"/>
        <v>4</v>
      </c>
      <c r="K15" s="21" t="str">
        <f>IF(PERCENTRANK(Table3[Station Facilities Score], J15) &lt; 1/5, "1", IF(PERCENTRANK(Table3[Station Facilities Score], J15) &lt; 2/5, "2", IF(PERCENTRANK(Table3[Station Facilities Score], J15) &lt; 3/5, "3", IF(PERCENTRANK(Table3[Station Facilities Score], J15) &lt; 4/5, "4", "5"))))</f>
        <v>1</v>
      </c>
      <c r="L15" s="21" t="str">
        <f>IF(PERCENTRANK(Table3[Station Facilities Score], J15) &lt; 1/5, "LOW", IF(PERCENTRANK(Table3[Station Facilities Score], J15) &lt; 2/5, "MEDIUM-LOW", IF(PERCENTRANK(Table3[Station Facilities Score], J15) &lt; 3/5, "MEDIUM", IF(PERCENTRANK(Table3[Station Facilities Score], J15) &lt; 4/5, "MEDIUM-HIGH", "HIGH"))))</f>
        <v>LOW</v>
      </c>
    </row>
    <row r="16" spans="1:12" x14ac:dyDescent="0.25">
      <c r="A16" s="83" t="s">
        <v>71</v>
      </c>
      <c r="B16" s="83">
        <v>16</v>
      </c>
      <c r="C16" s="88">
        <v>1</v>
      </c>
      <c r="D16" s="88">
        <v>1</v>
      </c>
      <c r="E16" s="88">
        <v>1</v>
      </c>
      <c r="F16" s="88">
        <v>1</v>
      </c>
      <c r="G16" s="88">
        <v>1</v>
      </c>
      <c r="H16" s="88">
        <v>0</v>
      </c>
      <c r="I16" s="89">
        <v>0</v>
      </c>
      <c r="J16" s="90">
        <f t="shared" si="0"/>
        <v>5</v>
      </c>
      <c r="K16" s="21" t="str">
        <f>IF(PERCENTRANK(Table3[Station Facilities Score], J16) &lt; 1/5, "1", IF(PERCENTRANK(Table3[Station Facilities Score], J16) &lt; 2/5, "2", IF(PERCENTRANK(Table3[Station Facilities Score], J16) &lt; 3/5, "3", IF(PERCENTRANK(Table3[Station Facilities Score], J16) &lt; 4/5, "4", "5"))))</f>
        <v>2</v>
      </c>
      <c r="L16" s="21" t="str">
        <f>IF(PERCENTRANK(Table3[Station Facilities Score], J16) &lt; 1/5, "LOW", IF(PERCENTRANK(Table3[Station Facilities Score], J16) &lt; 2/5, "MEDIUM-LOW", IF(PERCENTRANK(Table3[Station Facilities Score], J16) &lt; 3/5, "MEDIUM", IF(PERCENTRANK(Table3[Station Facilities Score], J16) &lt; 4/5, "MEDIUM-HIGH", "HIGH"))))</f>
        <v>MEDIUM-LOW</v>
      </c>
    </row>
    <row r="17" spans="1:12" x14ac:dyDescent="0.25">
      <c r="A17" s="83" t="s">
        <v>348</v>
      </c>
      <c r="B17" s="83">
        <v>17</v>
      </c>
      <c r="C17" s="88">
        <v>1</v>
      </c>
      <c r="D17" s="88">
        <v>1</v>
      </c>
      <c r="E17" s="88">
        <v>1</v>
      </c>
      <c r="F17" s="88">
        <v>1</v>
      </c>
      <c r="G17" s="88">
        <v>0</v>
      </c>
      <c r="H17" s="88">
        <v>0</v>
      </c>
      <c r="I17" s="89">
        <v>1</v>
      </c>
      <c r="J17" s="90">
        <f t="shared" si="0"/>
        <v>5</v>
      </c>
      <c r="K17" s="21" t="str">
        <f>IF(PERCENTRANK(Table3[Station Facilities Score], J17) &lt; 1/5, "1", IF(PERCENTRANK(Table3[Station Facilities Score], J17) &lt; 2/5, "2", IF(PERCENTRANK(Table3[Station Facilities Score], J17) &lt; 3/5, "3", IF(PERCENTRANK(Table3[Station Facilities Score], J17) &lt; 4/5, "4", "5"))))</f>
        <v>2</v>
      </c>
      <c r="L17" s="21" t="str">
        <f>IF(PERCENTRANK(Table3[Station Facilities Score], J17) &lt; 1/5, "LOW", IF(PERCENTRANK(Table3[Station Facilities Score], J17) &lt; 2/5, "MEDIUM-LOW", IF(PERCENTRANK(Table3[Station Facilities Score], J17) &lt; 3/5, "MEDIUM", IF(PERCENTRANK(Table3[Station Facilities Score], J17) &lt; 4/5, "MEDIUM-HIGH", "HIGH"))))</f>
        <v>MEDIUM-LOW</v>
      </c>
    </row>
    <row r="18" spans="1:12" x14ac:dyDescent="0.25">
      <c r="A18" s="82" t="s">
        <v>74</v>
      </c>
      <c r="B18" s="83">
        <v>18</v>
      </c>
      <c r="C18" s="88">
        <v>1</v>
      </c>
      <c r="D18" s="88">
        <v>1</v>
      </c>
      <c r="E18" s="88">
        <v>0</v>
      </c>
      <c r="F18" s="88">
        <v>1</v>
      </c>
      <c r="G18" s="88">
        <v>1</v>
      </c>
      <c r="H18" s="88">
        <v>1</v>
      </c>
      <c r="I18" s="89">
        <v>1</v>
      </c>
      <c r="J18" s="90">
        <f t="shared" si="0"/>
        <v>6</v>
      </c>
      <c r="K18" s="21" t="str">
        <f>IF(PERCENTRANK(Table3[Station Facilities Score], J18) &lt; 1/5, "1", IF(PERCENTRANK(Table3[Station Facilities Score], J18) &lt; 2/5, "2", IF(PERCENTRANK(Table3[Station Facilities Score], J18) &lt; 3/5, "3", IF(PERCENTRANK(Table3[Station Facilities Score], J18) &lt; 4/5, "4", "5"))))</f>
        <v>3</v>
      </c>
      <c r="L18" s="21" t="str">
        <f>IF(PERCENTRANK(Table3[Station Facilities Score], J18) &lt; 1/5, "LOW", IF(PERCENTRANK(Table3[Station Facilities Score], J18) &lt; 2/5, "MEDIUM-LOW", IF(PERCENTRANK(Table3[Station Facilities Score], J18) &lt; 3/5, "MEDIUM", IF(PERCENTRANK(Table3[Station Facilities Score], J18) &lt; 4/5, "MEDIUM-HIGH", "HIGH"))))</f>
        <v>MEDIUM</v>
      </c>
    </row>
    <row r="19" spans="1:12" x14ac:dyDescent="0.25">
      <c r="A19" s="82" t="s">
        <v>346</v>
      </c>
      <c r="B19" s="83">
        <v>19</v>
      </c>
      <c r="C19" s="88">
        <v>1</v>
      </c>
      <c r="D19" s="88">
        <v>1</v>
      </c>
      <c r="E19" s="88">
        <v>1</v>
      </c>
      <c r="F19" s="88">
        <v>1</v>
      </c>
      <c r="G19" s="88">
        <v>1</v>
      </c>
      <c r="H19" s="88">
        <v>0</v>
      </c>
      <c r="I19" s="89">
        <v>0</v>
      </c>
      <c r="J19" s="90">
        <f t="shared" si="0"/>
        <v>5</v>
      </c>
      <c r="K19" s="21" t="str">
        <f>IF(PERCENTRANK(Table3[Station Facilities Score], J19) &lt; 1/5, "1", IF(PERCENTRANK(Table3[Station Facilities Score], J19) &lt; 2/5, "2", IF(PERCENTRANK(Table3[Station Facilities Score], J19) &lt; 3/5, "3", IF(PERCENTRANK(Table3[Station Facilities Score], J19) &lt; 4/5, "4", "5"))))</f>
        <v>2</v>
      </c>
      <c r="L19" s="21" t="str">
        <f>IF(PERCENTRANK(Table3[Station Facilities Score], J19) &lt; 1/5, "LOW", IF(PERCENTRANK(Table3[Station Facilities Score], J19) &lt; 2/5, "MEDIUM-LOW", IF(PERCENTRANK(Table3[Station Facilities Score], J19) &lt; 3/5, "MEDIUM", IF(PERCENTRANK(Table3[Station Facilities Score], J19) &lt; 4/5, "MEDIUM-HIGH", "HIGH"))))</f>
        <v>MEDIUM-LOW</v>
      </c>
    </row>
    <row r="20" spans="1:12" x14ac:dyDescent="0.25">
      <c r="A20" s="82" t="s">
        <v>347</v>
      </c>
      <c r="B20" s="83">
        <v>20</v>
      </c>
      <c r="C20" s="88">
        <v>1</v>
      </c>
      <c r="D20" s="88">
        <v>1</v>
      </c>
      <c r="E20" s="88">
        <v>1</v>
      </c>
      <c r="F20" s="88">
        <v>1</v>
      </c>
      <c r="G20" s="88">
        <v>1</v>
      </c>
      <c r="H20" s="88">
        <v>0</v>
      </c>
      <c r="I20" s="89">
        <v>1</v>
      </c>
      <c r="J20" s="90">
        <f t="shared" si="0"/>
        <v>6</v>
      </c>
      <c r="K20" s="21" t="str">
        <f>IF(PERCENTRANK(Table3[Station Facilities Score], J20) &lt; 1/5, "1", IF(PERCENTRANK(Table3[Station Facilities Score], J20) &lt; 2/5, "2", IF(PERCENTRANK(Table3[Station Facilities Score], J20) &lt; 3/5, "3", IF(PERCENTRANK(Table3[Station Facilities Score], J20) &lt; 4/5, "4", "5"))))</f>
        <v>3</v>
      </c>
      <c r="L20" s="21" t="str">
        <f>IF(PERCENTRANK(Table3[Station Facilities Score], J20) &lt; 1/5, "LOW", IF(PERCENTRANK(Table3[Station Facilities Score], J20) &lt; 2/5, "MEDIUM-LOW", IF(PERCENTRANK(Table3[Station Facilities Score], J20) &lt; 3/5, "MEDIUM", IF(PERCENTRANK(Table3[Station Facilities Score], J20) &lt; 4/5, "MEDIUM-HIGH", "HIGH"))))</f>
        <v>MEDIUM</v>
      </c>
    </row>
    <row r="21" spans="1:12" x14ac:dyDescent="0.25">
      <c r="A21" s="82" t="s">
        <v>84</v>
      </c>
      <c r="B21" s="83">
        <v>21</v>
      </c>
      <c r="C21" s="88">
        <v>1</v>
      </c>
      <c r="D21" s="88">
        <v>1</v>
      </c>
      <c r="E21" s="88">
        <v>1</v>
      </c>
      <c r="F21" s="88">
        <v>1</v>
      </c>
      <c r="G21" s="88">
        <v>1</v>
      </c>
      <c r="H21" s="88">
        <v>0</v>
      </c>
      <c r="I21" s="89">
        <v>0</v>
      </c>
      <c r="J21" s="90">
        <f t="shared" si="0"/>
        <v>5</v>
      </c>
      <c r="K21" s="21" t="str">
        <f>IF(PERCENTRANK(Table3[Station Facilities Score], J21) &lt; 1/5, "1", IF(PERCENTRANK(Table3[Station Facilities Score], J21) &lt; 2/5, "2", IF(PERCENTRANK(Table3[Station Facilities Score], J21) &lt; 3/5, "3", IF(PERCENTRANK(Table3[Station Facilities Score], J21) &lt; 4/5, "4", "5"))))</f>
        <v>2</v>
      </c>
      <c r="L21" s="21" t="str">
        <f>IF(PERCENTRANK(Table3[Station Facilities Score], J21) &lt; 1/5, "LOW", IF(PERCENTRANK(Table3[Station Facilities Score], J21) &lt; 2/5, "MEDIUM-LOW", IF(PERCENTRANK(Table3[Station Facilities Score], J21) &lt; 3/5, "MEDIUM", IF(PERCENTRANK(Table3[Station Facilities Score], J21) &lt; 4/5, "MEDIUM-HIGH", "HIGH"))))</f>
        <v>MEDIUM-LOW</v>
      </c>
    </row>
    <row r="22" spans="1:12" x14ac:dyDescent="0.25">
      <c r="A22" s="82" t="s">
        <v>86</v>
      </c>
      <c r="B22" s="83">
        <v>22</v>
      </c>
      <c r="C22" s="88">
        <v>1</v>
      </c>
      <c r="D22" s="88">
        <v>1</v>
      </c>
      <c r="E22" s="88">
        <v>1</v>
      </c>
      <c r="F22" s="88">
        <v>1</v>
      </c>
      <c r="G22" s="88">
        <v>1</v>
      </c>
      <c r="H22" s="88">
        <v>0</v>
      </c>
      <c r="I22" s="89">
        <v>1</v>
      </c>
      <c r="J22" s="90">
        <f t="shared" si="0"/>
        <v>6</v>
      </c>
      <c r="K22" s="21" t="str">
        <f>IF(PERCENTRANK(Table3[Station Facilities Score], J22) &lt; 1/5, "1", IF(PERCENTRANK(Table3[Station Facilities Score], J22) &lt; 2/5, "2", IF(PERCENTRANK(Table3[Station Facilities Score], J22) &lt; 3/5, "3", IF(PERCENTRANK(Table3[Station Facilities Score], J22) &lt; 4/5, "4", "5"))))</f>
        <v>3</v>
      </c>
      <c r="L22" s="21" t="str">
        <f>IF(PERCENTRANK(Table3[Station Facilities Score], J22) &lt; 1/5, "LOW", IF(PERCENTRANK(Table3[Station Facilities Score], J22) &lt; 2/5, "MEDIUM-LOW", IF(PERCENTRANK(Table3[Station Facilities Score], J22) &lt; 3/5, "MEDIUM", IF(PERCENTRANK(Table3[Station Facilities Score], J22) &lt; 4/5, "MEDIUM-HIGH", "HIGH"))))</f>
        <v>MEDIUM</v>
      </c>
    </row>
    <row r="23" spans="1:12" x14ac:dyDescent="0.25">
      <c r="A23" s="82" t="s">
        <v>88</v>
      </c>
      <c r="B23" s="83">
        <v>23</v>
      </c>
      <c r="C23" s="88">
        <v>1</v>
      </c>
      <c r="D23" s="88">
        <v>1</v>
      </c>
      <c r="E23" s="88">
        <v>1</v>
      </c>
      <c r="F23" s="88">
        <v>1</v>
      </c>
      <c r="G23" s="88">
        <v>1</v>
      </c>
      <c r="H23" s="88">
        <v>0</v>
      </c>
      <c r="I23" s="89">
        <v>1</v>
      </c>
      <c r="J23" s="90">
        <f t="shared" si="0"/>
        <v>6</v>
      </c>
      <c r="K23" s="21" t="str">
        <f>IF(PERCENTRANK(Table3[Station Facilities Score], J23) &lt; 1/5, "1", IF(PERCENTRANK(Table3[Station Facilities Score], J23) &lt; 2/5, "2", IF(PERCENTRANK(Table3[Station Facilities Score], J23) &lt; 3/5, "3", IF(PERCENTRANK(Table3[Station Facilities Score], J23) &lt; 4/5, "4", "5"))))</f>
        <v>3</v>
      </c>
      <c r="L23" s="21" t="str">
        <f>IF(PERCENTRANK(Table3[Station Facilities Score], J23) &lt; 1/5, "LOW", IF(PERCENTRANK(Table3[Station Facilities Score], J23) &lt; 2/5, "MEDIUM-LOW", IF(PERCENTRANK(Table3[Station Facilities Score], J23) &lt; 3/5, "MEDIUM", IF(PERCENTRANK(Table3[Station Facilities Score], J23) &lt; 4/5, "MEDIUM-HIGH", "HIGH"))))</f>
        <v>MEDIUM</v>
      </c>
    </row>
    <row r="24" spans="1:12" x14ac:dyDescent="0.25">
      <c r="A24" s="82" t="s">
        <v>89</v>
      </c>
      <c r="B24" s="83">
        <v>24</v>
      </c>
      <c r="C24" s="88">
        <v>1</v>
      </c>
      <c r="D24" s="88">
        <v>1</v>
      </c>
      <c r="E24" s="88">
        <v>1</v>
      </c>
      <c r="F24" s="88">
        <v>1</v>
      </c>
      <c r="G24" s="88">
        <v>1</v>
      </c>
      <c r="H24" s="88">
        <v>0</v>
      </c>
      <c r="I24" s="89">
        <v>1</v>
      </c>
      <c r="J24" s="90">
        <f t="shared" si="0"/>
        <v>6</v>
      </c>
      <c r="K24" s="21" t="str">
        <f>IF(PERCENTRANK(Table3[Station Facilities Score], J24) &lt; 1/5, "1", IF(PERCENTRANK(Table3[Station Facilities Score], J24) &lt; 2/5, "2", IF(PERCENTRANK(Table3[Station Facilities Score], J24) &lt; 3/5, "3", IF(PERCENTRANK(Table3[Station Facilities Score], J24) &lt; 4/5, "4", "5"))))</f>
        <v>3</v>
      </c>
      <c r="L24" s="21" t="str">
        <f>IF(PERCENTRANK(Table3[Station Facilities Score], J24) &lt; 1/5, "LOW", IF(PERCENTRANK(Table3[Station Facilities Score], J24) &lt; 2/5, "MEDIUM-LOW", IF(PERCENTRANK(Table3[Station Facilities Score], J24) &lt; 3/5, "MEDIUM", IF(PERCENTRANK(Table3[Station Facilities Score], J24) &lt; 4/5, "MEDIUM-HIGH", "HIGH"))))</f>
        <v>MEDIUM</v>
      </c>
    </row>
    <row r="25" spans="1:12" x14ac:dyDescent="0.25">
      <c r="A25" s="82" t="s">
        <v>91</v>
      </c>
      <c r="B25" s="83">
        <v>25</v>
      </c>
      <c r="C25" s="88">
        <v>1</v>
      </c>
      <c r="D25" s="88">
        <v>1</v>
      </c>
      <c r="E25" s="88">
        <v>1</v>
      </c>
      <c r="F25" s="88">
        <v>1</v>
      </c>
      <c r="G25" s="88">
        <v>1</v>
      </c>
      <c r="H25" s="88">
        <v>0</v>
      </c>
      <c r="I25" s="89">
        <v>1</v>
      </c>
      <c r="J25" s="90">
        <f t="shared" si="0"/>
        <v>6</v>
      </c>
      <c r="K25" s="21" t="str">
        <f>IF(PERCENTRANK(Table3[Station Facilities Score], J25) &lt; 1/5, "1", IF(PERCENTRANK(Table3[Station Facilities Score], J25) &lt; 2/5, "2", IF(PERCENTRANK(Table3[Station Facilities Score], J25) &lt; 3/5, "3", IF(PERCENTRANK(Table3[Station Facilities Score], J25) &lt; 4/5, "4", "5"))))</f>
        <v>3</v>
      </c>
      <c r="L25" s="21" t="str">
        <f>IF(PERCENTRANK(Table3[Station Facilities Score], J25) &lt; 1/5, "LOW", IF(PERCENTRANK(Table3[Station Facilities Score], J25) &lt; 2/5, "MEDIUM-LOW", IF(PERCENTRANK(Table3[Station Facilities Score], J25) &lt; 3/5, "MEDIUM", IF(PERCENTRANK(Table3[Station Facilities Score], J25) &lt; 4/5, "MEDIUM-HIGH", "HIGH"))))</f>
        <v>MEDIUM</v>
      </c>
    </row>
    <row r="26" spans="1:12" x14ac:dyDescent="0.25">
      <c r="A26" s="82" t="s">
        <v>93</v>
      </c>
      <c r="B26" s="83">
        <v>26</v>
      </c>
      <c r="C26" s="88">
        <v>0</v>
      </c>
      <c r="D26" s="88">
        <v>1</v>
      </c>
      <c r="E26" s="88">
        <v>1</v>
      </c>
      <c r="F26" s="88">
        <v>1</v>
      </c>
      <c r="G26" s="88">
        <v>1</v>
      </c>
      <c r="H26" s="88">
        <v>0</v>
      </c>
      <c r="I26" s="89">
        <v>0</v>
      </c>
      <c r="J26" s="90">
        <f t="shared" si="0"/>
        <v>4</v>
      </c>
      <c r="K26" s="21" t="str">
        <f>IF(PERCENTRANK(Table3[Station Facilities Score], J26) &lt; 1/5, "1", IF(PERCENTRANK(Table3[Station Facilities Score], J26) &lt; 2/5, "2", IF(PERCENTRANK(Table3[Station Facilities Score], J26) &lt; 3/5, "3", IF(PERCENTRANK(Table3[Station Facilities Score], J26) &lt; 4/5, "4", "5"))))</f>
        <v>1</v>
      </c>
      <c r="L26" s="21" t="str">
        <f>IF(PERCENTRANK(Table3[Station Facilities Score], J26) &lt; 1/5, "LOW", IF(PERCENTRANK(Table3[Station Facilities Score], J26) &lt; 2/5, "MEDIUM-LOW", IF(PERCENTRANK(Table3[Station Facilities Score], J26) &lt; 3/5, "MEDIUM", IF(PERCENTRANK(Table3[Station Facilities Score], J26) &lt; 4/5, "MEDIUM-HIGH", "HIGH"))))</f>
        <v>LOW</v>
      </c>
    </row>
    <row r="27" spans="1:12" x14ac:dyDescent="0.25">
      <c r="A27" s="82" t="s">
        <v>94</v>
      </c>
      <c r="B27" s="83">
        <v>27</v>
      </c>
      <c r="C27" s="88">
        <v>1</v>
      </c>
      <c r="D27" s="88">
        <v>1</v>
      </c>
      <c r="E27" s="88">
        <v>1</v>
      </c>
      <c r="F27" s="88">
        <v>1</v>
      </c>
      <c r="G27" s="88">
        <v>1</v>
      </c>
      <c r="H27" s="88">
        <v>0</v>
      </c>
      <c r="I27" s="89">
        <v>1</v>
      </c>
      <c r="J27" s="90">
        <f t="shared" si="0"/>
        <v>6</v>
      </c>
      <c r="K27" s="21" t="str">
        <f>IF(PERCENTRANK(Table3[Station Facilities Score], J27) &lt; 1/5, "1", IF(PERCENTRANK(Table3[Station Facilities Score], J27) &lt; 2/5, "2", IF(PERCENTRANK(Table3[Station Facilities Score], J27) &lt; 3/5, "3", IF(PERCENTRANK(Table3[Station Facilities Score], J27) &lt; 4/5, "4", "5"))))</f>
        <v>3</v>
      </c>
      <c r="L27" s="21" t="str">
        <f>IF(PERCENTRANK(Table3[Station Facilities Score], J27) &lt; 1/5, "LOW", IF(PERCENTRANK(Table3[Station Facilities Score], J27) &lt; 2/5, "MEDIUM-LOW", IF(PERCENTRANK(Table3[Station Facilities Score], J27) &lt; 3/5, "MEDIUM", IF(PERCENTRANK(Table3[Station Facilities Score], J27) &lt; 4/5, "MEDIUM-HIGH", "HIGH"))))</f>
        <v>MEDIUM</v>
      </c>
    </row>
    <row r="28" spans="1:12" x14ac:dyDescent="0.25">
      <c r="A28" s="82" t="s">
        <v>96</v>
      </c>
      <c r="B28" s="83">
        <v>28</v>
      </c>
      <c r="C28" s="88">
        <v>1</v>
      </c>
      <c r="D28" s="88">
        <v>1</v>
      </c>
      <c r="E28" s="88">
        <v>1</v>
      </c>
      <c r="F28" s="88">
        <v>1</v>
      </c>
      <c r="G28" s="88">
        <v>1</v>
      </c>
      <c r="H28" s="88">
        <v>0</v>
      </c>
      <c r="I28" s="89">
        <v>0</v>
      </c>
      <c r="J28" s="90">
        <f t="shared" si="0"/>
        <v>5</v>
      </c>
      <c r="K28" s="21" t="str">
        <f>IF(PERCENTRANK(Table3[Station Facilities Score], J28) &lt; 1/5, "1", IF(PERCENTRANK(Table3[Station Facilities Score], J28) &lt; 2/5, "2", IF(PERCENTRANK(Table3[Station Facilities Score], J28) &lt; 3/5, "3", IF(PERCENTRANK(Table3[Station Facilities Score], J28) &lt; 4/5, "4", "5"))))</f>
        <v>2</v>
      </c>
      <c r="L28" s="21" t="str">
        <f>IF(PERCENTRANK(Table3[Station Facilities Score], J28) &lt; 1/5, "LOW", IF(PERCENTRANK(Table3[Station Facilities Score], J28) &lt; 2/5, "MEDIUM-LOW", IF(PERCENTRANK(Table3[Station Facilities Score], J28) &lt; 3/5, "MEDIUM", IF(PERCENTRANK(Table3[Station Facilities Score], J28) &lt; 4/5, "MEDIUM-HIGH", "HIGH"))))</f>
        <v>MEDIUM-LOW</v>
      </c>
    </row>
    <row r="29" spans="1:12" x14ac:dyDescent="0.25">
      <c r="A29" s="82" t="s">
        <v>98</v>
      </c>
      <c r="B29" s="83">
        <v>29</v>
      </c>
      <c r="C29" s="88">
        <v>1</v>
      </c>
      <c r="D29" s="88">
        <v>1</v>
      </c>
      <c r="E29" s="88">
        <v>1</v>
      </c>
      <c r="F29" s="88">
        <v>1</v>
      </c>
      <c r="G29" s="88">
        <v>0</v>
      </c>
      <c r="H29" s="88">
        <v>0</v>
      </c>
      <c r="I29" s="89">
        <v>0</v>
      </c>
      <c r="J29" s="90">
        <f t="shared" si="0"/>
        <v>4</v>
      </c>
      <c r="K29" s="21" t="str">
        <f>IF(PERCENTRANK(Table3[Station Facilities Score], J29) &lt; 1/5, "1", IF(PERCENTRANK(Table3[Station Facilities Score], J29) &lt; 2/5, "2", IF(PERCENTRANK(Table3[Station Facilities Score], J29) &lt; 3/5, "3", IF(PERCENTRANK(Table3[Station Facilities Score], J29) &lt; 4/5, "4", "5"))))</f>
        <v>1</v>
      </c>
      <c r="L29" s="21" t="str">
        <f>IF(PERCENTRANK(Table3[Station Facilities Score], J29) &lt; 1/5, "LOW", IF(PERCENTRANK(Table3[Station Facilities Score], J29) &lt; 2/5, "MEDIUM-LOW", IF(PERCENTRANK(Table3[Station Facilities Score], J29) &lt; 3/5, "MEDIUM", IF(PERCENTRANK(Table3[Station Facilities Score], J29) &lt; 4/5, "MEDIUM-HIGH", "HIGH"))))</f>
        <v>LOW</v>
      </c>
    </row>
    <row r="30" spans="1:12" x14ac:dyDescent="0.25">
      <c r="A30" s="82" t="s">
        <v>350</v>
      </c>
      <c r="B30" s="83">
        <v>30</v>
      </c>
      <c r="C30" s="88">
        <v>0</v>
      </c>
      <c r="D30" s="88">
        <v>1</v>
      </c>
      <c r="E30" s="88">
        <v>1</v>
      </c>
      <c r="F30" s="88">
        <v>1</v>
      </c>
      <c r="G30" s="88">
        <v>1</v>
      </c>
      <c r="H30" s="88">
        <v>0</v>
      </c>
      <c r="I30" s="89">
        <v>0</v>
      </c>
      <c r="J30" s="90">
        <f t="shared" si="0"/>
        <v>4</v>
      </c>
      <c r="K30" s="21" t="str">
        <f>IF(PERCENTRANK(Table3[Station Facilities Score], J30) &lt; 1/5, "1", IF(PERCENTRANK(Table3[Station Facilities Score], J30) &lt; 2/5, "2", IF(PERCENTRANK(Table3[Station Facilities Score], J30) &lt; 3/5, "3", IF(PERCENTRANK(Table3[Station Facilities Score], J30) &lt; 4/5, "4", "5"))))</f>
        <v>1</v>
      </c>
      <c r="L30" s="21" t="str">
        <f>IF(PERCENTRANK(Table3[Station Facilities Score], J30) &lt; 1/5, "LOW", IF(PERCENTRANK(Table3[Station Facilities Score], J30) &lt; 2/5, "MEDIUM-LOW", IF(PERCENTRANK(Table3[Station Facilities Score], J30) &lt; 3/5, "MEDIUM", IF(PERCENTRANK(Table3[Station Facilities Score], J30) &lt; 4/5, "MEDIUM-HIGH", "HIGH"))))</f>
        <v>LOW</v>
      </c>
    </row>
    <row r="31" spans="1:12" x14ac:dyDescent="0.25">
      <c r="A31" s="82" t="s">
        <v>267</v>
      </c>
      <c r="B31" s="83">
        <v>31</v>
      </c>
      <c r="C31" s="88">
        <v>1</v>
      </c>
      <c r="D31" s="88">
        <v>1</v>
      </c>
      <c r="E31" s="88">
        <v>1</v>
      </c>
      <c r="F31" s="88">
        <v>1</v>
      </c>
      <c r="G31" s="88">
        <v>0</v>
      </c>
      <c r="H31" s="88">
        <v>0</v>
      </c>
      <c r="I31" s="89">
        <v>0</v>
      </c>
      <c r="J31" s="90">
        <f t="shared" si="0"/>
        <v>4</v>
      </c>
      <c r="K31" s="21" t="str">
        <f>IF(PERCENTRANK(Table3[Station Facilities Score], J31) &lt; 1/5, "1", IF(PERCENTRANK(Table3[Station Facilities Score], J31) &lt; 2/5, "2", IF(PERCENTRANK(Table3[Station Facilities Score], J31) &lt; 3/5, "3", IF(PERCENTRANK(Table3[Station Facilities Score], J31) &lt; 4/5, "4", "5"))))</f>
        <v>1</v>
      </c>
      <c r="L31" s="21" t="str">
        <f>IF(PERCENTRANK(Table3[Station Facilities Score], J31) &lt; 1/5, "LOW", IF(PERCENTRANK(Table3[Station Facilities Score], J31) &lt; 2/5, "MEDIUM-LOW", IF(PERCENTRANK(Table3[Station Facilities Score], J31) &lt; 3/5, "MEDIUM", IF(PERCENTRANK(Table3[Station Facilities Score], J31) &lt; 4/5, "MEDIUM-HIGH", "HIGH"))))</f>
        <v>LOW</v>
      </c>
    </row>
    <row r="32" spans="1:12" x14ac:dyDescent="0.25">
      <c r="A32" s="82" t="s">
        <v>104</v>
      </c>
      <c r="B32" s="83">
        <v>32</v>
      </c>
      <c r="C32" s="88">
        <v>0</v>
      </c>
      <c r="D32" s="88">
        <v>1</v>
      </c>
      <c r="E32" s="88">
        <v>1</v>
      </c>
      <c r="F32" s="88">
        <v>1</v>
      </c>
      <c r="G32" s="88">
        <v>1</v>
      </c>
      <c r="H32" s="88">
        <v>0</v>
      </c>
      <c r="I32" s="89">
        <v>0</v>
      </c>
      <c r="J32" s="90">
        <f t="shared" si="0"/>
        <v>4</v>
      </c>
      <c r="K32" s="21" t="str">
        <f>IF(PERCENTRANK(Table3[Station Facilities Score], J32) &lt; 1/5, "1", IF(PERCENTRANK(Table3[Station Facilities Score], J32) &lt; 2/5, "2", IF(PERCENTRANK(Table3[Station Facilities Score], J32) &lt; 3/5, "3", IF(PERCENTRANK(Table3[Station Facilities Score], J32) &lt; 4/5, "4", "5"))))</f>
        <v>1</v>
      </c>
      <c r="L32" s="21" t="str">
        <f>IF(PERCENTRANK(Table3[Station Facilities Score], J32) &lt; 1/5, "LOW", IF(PERCENTRANK(Table3[Station Facilities Score], J32) &lt; 2/5, "MEDIUM-LOW", IF(PERCENTRANK(Table3[Station Facilities Score], J32) &lt; 3/5, "MEDIUM", IF(PERCENTRANK(Table3[Station Facilities Score], J32) &lt; 4/5, "MEDIUM-HIGH", "HIGH"))))</f>
        <v>LOW</v>
      </c>
    </row>
    <row r="33" spans="1:12" x14ac:dyDescent="0.25">
      <c r="A33" s="82" t="s">
        <v>105</v>
      </c>
      <c r="B33" s="83">
        <v>33</v>
      </c>
      <c r="C33" s="88">
        <v>0</v>
      </c>
      <c r="D33" s="88">
        <v>1</v>
      </c>
      <c r="E33" s="88">
        <v>1</v>
      </c>
      <c r="F33" s="88">
        <v>1</v>
      </c>
      <c r="G33" s="88">
        <v>1</v>
      </c>
      <c r="H33" s="88">
        <v>0</v>
      </c>
      <c r="I33" s="89">
        <v>0</v>
      </c>
      <c r="J33" s="90">
        <f t="shared" si="0"/>
        <v>4</v>
      </c>
      <c r="K33" s="21" t="str">
        <f>IF(PERCENTRANK(Table3[Station Facilities Score], J33) &lt; 1/5, "1", IF(PERCENTRANK(Table3[Station Facilities Score], J33) &lt; 2/5, "2", IF(PERCENTRANK(Table3[Station Facilities Score], J33) &lt; 3/5, "3", IF(PERCENTRANK(Table3[Station Facilities Score], J33) &lt; 4/5, "4", "5"))))</f>
        <v>1</v>
      </c>
      <c r="L33" s="21" t="str">
        <f>IF(PERCENTRANK(Table3[Station Facilities Score], J33) &lt; 1/5, "LOW", IF(PERCENTRANK(Table3[Station Facilities Score], J33) &lt; 2/5, "MEDIUM-LOW", IF(PERCENTRANK(Table3[Station Facilities Score], J33) &lt; 3/5, "MEDIUM", IF(PERCENTRANK(Table3[Station Facilities Score], J33) &lt; 4/5, "MEDIUM-HIGH", "HIGH"))))</f>
        <v>LOW</v>
      </c>
    </row>
    <row r="34" spans="1:12" x14ac:dyDescent="0.25">
      <c r="A34" s="82" t="s">
        <v>107</v>
      </c>
      <c r="B34" s="83">
        <v>34</v>
      </c>
      <c r="C34" s="88">
        <v>0</v>
      </c>
      <c r="D34" s="88">
        <v>1</v>
      </c>
      <c r="E34" s="88">
        <v>1</v>
      </c>
      <c r="F34" s="88">
        <v>1</v>
      </c>
      <c r="G34" s="88">
        <v>1</v>
      </c>
      <c r="H34" s="88">
        <v>0</v>
      </c>
      <c r="I34" s="89">
        <v>1</v>
      </c>
      <c r="J34" s="90">
        <f t="shared" si="0"/>
        <v>5</v>
      </c>
      <c r="K34" s="21" t="str">
        <f>IF(PERCENTRANK(Table3[Station Facilities Score], J34) &lt; 1/5, "1", IF(PERCENTRANK(Table3[Station Facilities Score], J34) &lt; 2/5, "2", IF(PERCENTRANK(Table3[Station Facilities Score], J34) &lt; 3/5, "3", IF(PERCENTRANK(Table3[Station Facilities Score], J34) &lt; 4/5, "4", "5"))))</f>
        <v>2</v>
      </c>
      <c r="L34" s="21" t="str">
        <f>IF(PERCENTRANK(Table3[Station Facilities Score], J34) &lt; 1/5, "LOW", IF(PERCENTRANK(Table3[Station Facilities Score], J34) &lt; 2/5, "MEDIUM-LOW", IF(PERCENTRANK(Table3[Station Facilities Score], J34) &lt; 3/5, "MEDIUM", IF(PERCENTRANK(Table3[Station Facilities Score], J34) &lt; 4/5, "MEDIUM-HIGH", "HIGH"))))</f>
        <v>MEDIUM-LOW</v>
      </c>
    </row>
    <row r="35" spans="1:12" x14ac:dyDescent="0.25">
      <c r="A35" s="82" t="s">
        <v>268</v>
      </c>
      <c r="B35" s="83">
        <v>35</v>
      </c>
      <c r="C35" s="88">
        <v>1</v>
      </c>
      <c r="D35" s="88">
        <v>1</v>
      </c>
      <c r="E35" s="88">
        <v>1</v>
      </c>
      <c r="F35" s="88">
        <v>1</v>
      </c>
      <c r="G35" s="88">
        <v>1</v>
      </c>
      <c r="H35" s="88">
        <v>1</v>
      </c>
      <c r="I35" s="89">
        <v>1</v>
      </c>
      <c r="J35" s="90">
        <f t="shared" si="0"/>
        <v>7</v>
      </c>
      <c r="K35" s="21" t="str">
        <f>IF(PERCENTRANK(Table3[Station Facilities Score], J35) &lt; 1/5, "1", IF(PERCENTRANK(Table3[Station Facilities Score], J35) &lt; 2/5, "2", IF(PERCENTRANK(Table3[Station Facilities Score], J35) &lt; 3/5, "3", IF(PERCENTRANK(Table3[Station Facilities Score], J35) &lt; 4/5, "4", "5"))))</f>
        <v>5</v>
      </c>
      <c r="L35" s="21" t="str">
        <f>IF(PERCENTRANK(Table3[Station Facilities Score], J35) &lt; 1/5, "LOW", IF(PERCENTRANK(Table3[Station Facilities Score], J35) &lt; 2/5, "MEDIUM-LOW", IF(PERCENTRANK(Table3[Station Facilities Score], J35) &lt; 3/5, "MEDIUM", IF(PERCENTRANK(Table3[Station Facilities Score], J35) &lt; 4/5, "MEDIUM-HIGH", "HIGH"))))</f>
        <v>HIGH</v>
      </c>
    </row>
    <row r="36" spans="1:12" x14ac:dyDescent="0.25">
      <c r="A36" s="82" t="s">
        <v>111</v>
      </c>
      <c r="B36" s="83">
        <v>36</v>
      </c>
      <c r="C36" s="88">
        <v>1</v>
      </c>
      <c r="D36" s="88">
        <v>1</v>
      </c>
      <c r="E36" s="88">
        <v>1</v>
      </c>
      <c r="F36" s="88">
        <v>1</v>
      </c>
      <c r="G36" s="88">
        <v>1</v>
      </c>
      <c r="H36" s="88">
        <v>0</v>
      </c>
      <c r="I36" s="89">
        <v>1</v>
      </c>
      <c r="J36" s="90">
        <f t="shared" si="0"/>
        <v>6</v>
      </c>
      <c r="K36" s="21" t="str">
        <f>IF(PERCENTRANK(Table3[Station Facilities Score], J36) &lt; 1/5, "1", IF(PERCENTRANK(Table3[Station Facilities Score], J36) &lt; 2/5, "2", IF(PERCENTRANK(Table3[Station Facilities Score], J36) &lt; 3/5, "3", IF(PERCENTRANK(Table3[Station Facilities Score], J36) &lt; 4/5, "4", "5"))))</f>
        <v>3</v>
      </c>
      <c r="L36" s="21" t="str">
        <f>IF(PERCENTRANK(Table3[Station Facilities Score], J36) &lt; 1/5, "LOW", IF(PERCENTRANK(Table3[Station Facilities Score], J36) &lt; 2/5, "MEDIUM-LOW", IF(PERCENTRANK(Table3[Station Facilities Score], J36) &lt; 3/5, "MEDIUM", IF(PERCENTRANK(Table3[Station Facilities Score], J36) &lt; 4/5, "MEDIUM-HIGH", "HIGH"))))</f>
        <v>MEDIUM</v>
      </c>
    </row>
    <row r="37" spans="1:12" x14ac:dyDescent="0.25">
      <c r="A37" s="82" t="s">
        <v>113</v>
      </c>
      <c r="B37" s="83">
        <v>37</v>
      </c>
      <c r="C37" s="88">
        <v>1</v>
      </c>
      <c r="D37" s="88">
        <v>1</v>
      </c>
      <c r="E37" s="88">
        <v>1</v>
      </c>
      <c r="F37" s="88">
        <v>1</v>
      </c>
      <c r="G37" s="88">
        <v>1</v>
      </c>
      <c r="H37" s="88">
        <v>0</v>
      </c>
      <c r="I37" s="89">
        <v>1</v>
      </c>
      <c r="J37" s="90">
        <f t="shared" si="0"/>
        <v>6</v>
      </c>
      <c r="K37" s="21" t="str">
        <f>IF(PERCENTRANK(Table3[Station Facilities Score], J37) &lt; 1/5, "1", IF(PERCENTRANK(Table3[Station Facilities Score], J37) &lt; 2/5, "2", IF(PERCENTRANK(Table3[Station Facilities Score], J37) &lt; 3/5, "3", IF(PERCENTRANK(Table3[Station Facilities Score], J37) &lt; 4/5, "4", "5"))))</f>
        <v>3</v>
      </c>
      <c r="L37" s="21" t="str">
        <f>IF(PERCENTRANK(Table3[Station Facilities Score], J37) &lt; 1/5, "LOW", IF(PERCENTRANK(Table3[Station Facilities Score], J37) &lt; 2/5, "MEDIUM-LOW", IF(PERCENTRANK(Table3[Station Facilities Score], J37) &lt; 3/5, "MEDIUM", IF(PERCENTRANK(Table3[Station Facilities Score], J37) &lt; 4/5, "MEDIUM-HIGH", "HIGH"))))</f>
        <v>MEDIUM</v>
      </c>
    </row>
    <row r="38" spans="1:12" x14ac:dyDescent="0.25">
      <c r="A38" s="82" t="s">
        <v>114</v>
      </c>
      <c r="B38" s="83">
        <v>38</v>
      </c>
      <c r="C38" s="88">
        <v>1</v>
      </c>
      <c r="D38" s="88">
        <v>1</v>
      </c>
      <c r="E38" s="88">
        <v>1</v>
      </c>
      <c r="F38" s="88">
        <v>1</v>
      </c>
      <c r="G38" s="88">
        <v>1</v>
      </c>
      <c r="H38" s="88">
        <v>0</v>
      </c>
      <c r="I38" s="89">
        <v>0</v>
      </c>
      <c r="J38" s="90">
        <f t="shared" si="0"/>
        <v>5</v>
      </c>
      <c r="K38" s="21" t="str">
        <f>IF(PERCENTRANK(Table3[Station Facilities Score], J38) &lt; 1/5, "1", IF(PERCENTRANK(Table3[Station Facilities Score], J38) &lt; 2/5, "2", IF(PERCENTRANK(Table3[Station Facilities Score], J38) &lt; 3/5, "3", IF(PERCENTRANK(Table3[Station Facilities Score], J38) &lt; 4/5, "4", "5"))))</f>
        <v>2</v>
      </c>
      <c r="L38" s="21" t="str">
        <f>IF(PERCENTRANK(Table3[Station Facilities Score], J38) &lt; 1/5, "LOW", IF(PERCENTRANK(Table3[Station Facilities Score], J38) &lt; 2/5, "MEDIUM-LOW", IF(PERCENTRANK(Table3[Station Facilities Score], J38) &lt; 3/5, "MEDIUM", IF(PERCENTRANK(Table3[Station Facilities Score], J38) &lt; 4/5, "MEDIUM-HIGH", "HIGH"))))</f>
        <v>MEDIUM-LOW</v>
      </c>
    </row>
    <row r="39" spans="1:12" x14ac:dyDescent="0.25">
      <c r="A39" s="82" t="s">
        <v>115</v>
      </c>
      <c r="B39" s="83">
        <v>39</v>
      </c>
      <c r="C39" s="88">
        <v>1</v>
      </c>
      <c r="D39" s="88">
        <v>1</v>
      </c>
      <c r="E39" s="88">
        <v>1</v>
      </c>
      <c r="F39" s="88">
        <v>1</v>
      </c>
      <c r="G39" s="88">
        <v>1</v>
      </c>
      <c r="H39" s="88">
        <v>0</v>
      </c>
      <c r="I39" s="89">
        <v>0</v>
      </c>
      <c r="J39" s="90">
        <f t="shared" si="0"/>
        <v>5</v>
      </c>
      <c r="K39" s="21" t="str">
        <f>IF(PERCENTRANK(Table3[Station Facilities Score], J39) &lt; 1/5, "1", IF(PERCENTRANK(Table3[Station Facilities Score], J39) &lt; 2/5, "2", IF(PERCENTRANK(Table3[Station Facilities Score], J39) &lt; 3/5, "3", IF(PERCENTRANK(Table3[Station Facilities Score], J39) &lt; 4/5, "4", "5"))))</f>
        <v>2</v>
      </c>
      <c r="L39" s="21" t="str">
        <f>IF(PERCENTRANK(Table3[Station Facilities Score], J39) &lt; 1/5, "LOW", IF(PERCENTRANK(Table3[Station Facilities Score], J39) &lt; 2/5, "MEDIUM-LOW", IF(PERCENTRANK(Table3[Station Facilities Score], J39) &lt; 3/5, "MEDIUM", IF(PERCENTRANK(Table3[Station Facilities Score], J39) &lt; 4/5, "MEDIUM-HIGH", "HIGH"))))</f>
        <v>MEDIUM-LOW</v>
      </c>
    </row>
    <row r="40" spans="1:12" x14ac:dyDescent="0.25">
      <c r="A40" s="82" t="s">
        <v>117</v>
      </c>
      <c r="B40" s="83">
        <v>40</v>
      </c>
      <c r="C40" s="88">
        <v>1</v>
      </c>
      <c r="D40" s="88">
        <v>1</v>
      </c>
      <c r="E40" s="88">
        <v>1</v>
      </c>
      <c r="F40" s="88">
        <v>1</v>
      </c>
      <c r="G40" s="88">
        <v>1</v>
      </c>
      <c r="H40" s="88">
        <v>0</v>
      </c>
      <c r="I40" s="89">
        <v>1</v>
      </c>
      <c r="J40" s="90">
        <f t="shared" si="0"/>
        <v>6</v>
      </c>
      <c r="K40" s="21" t="str">
        <f>IF(PERCENTRANK(Table3[Station Facilities Score], J40) &lt; 1/5, "1", IF(PERCENTRANK(Table3[Station Facilities Score], J40) &lt; 2/5, "2", IF(PERCENTRANK(Table3[Station Facilities Score], J40) &lt; 3/5, "3", IF(PERCENTRANK(Table3[Station Facilities Score], J40) &lt; 4/5, "4", "5"))))</f>
        <v>3</v>
      </c>
      <c r="L40" s="21" t="str">
        <f>IF(PERCENTRANK(Table3[Station Facilities Score], J40) &lt; 1/5, "LOW", IF(PERCENTRANK(Table3[Station Facilities Score], J40) &lt; 2/5, "MEDIUM-LOW", IF(PERCENTRANK(Table3[Station Facilities Score], J40) &lt; 3/5, "MEDIUM", IF(PERCENTRANK(Table3[Station Facilities Score], J40) &lt; 4/5, "MEDIUM-HIGH", "HIGH"))))</f>
        <v>MEDIUM</v>
      </c>
    </row>
    <row r="41" spans="1:12" x14ac:dyDescent="0.25">
      <c r="A41" s="82" t="s">
        <v>119</v>
      </c>
      <c r="B41" s="83">
        <v>41</v>
      </c>
      <c r="C41" s="88">
        <v>1</v>
      </c>
      <c r="D41" s="88">
        <v>1</v>
      </c>
      <c r="E41" s="88">
        <v>1</v>
      </c>
      <c r="F41" s="88">
        <v>1</v>
      </c>
      <c r="G41" s="88">
        <v>1</v>
      </c>
      <c r="H41" s="88">
        <v>0</v>
      </c>
      <c r="I41" s="89">
        <v>1</v>
      </c>
      <c r="J41" s="90">
        <f t="shared" si="0"/>
        <v>6</v>
      </c>
      <c r="K41" s="21" t="str">
        <f>IF(PERCENTRANK(Table3[Station Facilities Score], J41) &lt; 1/5, "1", IF(PERCENTRANK(Table3[Station Facilities Score], J41) &lt; 2/5, "2", IF(PERCENTRANK(Table3[Station Facilities Score], J41) &lt; 3/5, "3", IF(PERCENTRANK(Table3[Station Facilities Score], J41) &lt; 4/5, "4", "5"))))</f>
        <v>3</v>
      </c>
      <c r="L41" s="21" t="str">
        <f>IF(PERCENTRANK(Table3[Station Facilities Score], J41) &lt; 1/5, "LOW", IF(PERCENTRANK(Table3[Station Facilities Score], J41) &lt; 2/5, "MEDIUM-LOW", IF(PERCENTRANK(Table3[Station Facilities Score], J41) &lt; 3/5, "MEDIUM", IF(PERCENTRANK(Table3[Station Facilities Score], J41) &lt; 4/5, "MEDIUM-HIGH", "HIGH"))))</f>
        <v>MEDIUM</v>
      </c>
    </row>
    <row r="42" spans="1:12" x14ac:dyDescent="0.25">
      <c r="A42" s="82" t="s">
        <v>121</v>
      </c>
      <c r="B42" s="83">
        <v>42</v>
      </c>
      <c r="C42" s="88">
        <v>1</v>
      </c>
      <c r="D42" s="88">
        <v>1</v>
      </c>
      <c r="E42" s="88">
        <v>1</v>
      </c>
      <c r="F42" s="88">
        <v>1</v>
      </c>
      <c r="G42" s="88">
        <v>1</v>
      </c>
      <c r="H42" s="88">
        <v>0</v>
      </c>
      <c r="I42" s="89">
        <v>1</v>
      </c>
      <c r="J42" s="90">
        <f t="shared" si="0"/>
        <v>6</v>
      </c>
      <c r="K42" s="21" t="str">
        <f>IF(PERCENTRANK(Table3[Station Facilities Score], J42) &lt; 1/5, "1", IF(PERCENTRANK(Table3[Station Facilities Score], J42) &lt; 2/5, "2", IF(PERCENTRANK(Table3[Station Facilities Score], J42) &lt; 3/5, "3", IF(PERCENTRANK(Table3[Station Facilities Score], J42) &lt; 4/5, "4", "5"))))</f>
        <v>3</v>
      </c>
      <c r="L42" s="21" t="str">
        <f>IF(PERCENTRANK(Table3[Station Facilities Score], J42) &lt; 1/5, "LOW", IF(PERCENTRANK(Table3[Station Facilities Score], J42) &lt; 2/5, "MEDIUM-LOW", IF(PERCENTRANK(Table3[Station Facilities Score], J42) &lt; 3/5, "MEDIUM", IF(PERCENTRANK(Table3[Station Facilities Score], J42) &lt; 4/5, "MEDIUM-HIGH", "HIGH"))))</f>
        <v>MEDIUM</v>
      </c>
    </row>
    <row r="43" spans="1:12" x14ac:dyDescent="0.25">
      <c r="A43" s="82" t="s">
        <v>123</v>
      </c>
      <c r="B43" s="83">
        <v>43</v>
      </c>
      <c r="C43" s="88">
        <v>1</v>
      </c>
      <c r="D43" s="88">
        <v>1</v>
      </c>
      <c r="E43" s="88">
        <v>1</v>
      </c>
      <c r="F43" s="88">
        <v>1</v>
      </c>
      <c r="G43" s="88">
        <v>1</v>
      </c>
      <c r="H43" s="88">
        <v>0</v>
      </c>
      <c r="I43" s="89">
        <v>1</v>
      </c>
      <c r="J43" s="90">
        <f t="shared" si="0"/>
        <v>6</v>
      </c>
      <c r="K43" s="21" t="str">
        <f>IF(PERCENTRANK(Table3[Station Facilities Score], J43) &lt; 1/5, "1", IF(PERCENTRANK(Table3[Station Facilities Score], J43) &lt; 2/5, "2", IF(PERCENTRANK(Table3[Station Facilities Score], J43) &lt; 3/5, "3", IF(PERCENTRANK(Table3[Station Facilities Score], J43) &lt; 4/5, "4", "5"))))</f>
        <v>3</v>
      </c>
      <c r="L43" s="21" t="str">
        <f>IF(PERCENTRANK(Table3[Station Facilities Score], J43) &lt; 1/5, "LOW", IF(PERCENTRANK(Table3[Station Facilities Score], J43) &lt; 2/5, "MEDIUM-LOW", IF(PERCENTRANK(Table3[Station Facilities Score], J43) &lt; 3/5, "MEDIUM", IF(PERCENTRANK(Table3[Station Facilities Score], J43) &lt; 4/5, "MEDIUM-HIGH", "HIGH"))))</f>
        <v>MEDIUM</v>
      </c>
    </row>
    <row r="44" spans="1:12" x14ac:dyDescent="0.25">
      <c r="A44" s="82" t="s">
        <v>124</v>
      </c>
      <c r="B44" s="83">
        <v>44</v>
      </c>
      <c r="C44" s="88">
        <v>1</v>
      </c>
      <c r="D44" s="88">
        <v>1</v>
      </c>
      <c r="E44" s="88">
        <v>0</v>
      </c>
      <c r="F44" s="88">
        <v>1</v>
      </c>
      <c r="G44" s="88">
        <v>1</v>
      </c>
      <c r="H44" s="88">
        <v>0</v>
      </c>
      <c r="I44" s="89">
        <v>1</v>
      </c>
      <c r="J44" s="90">
        <f t="shared" si="0"/>
        <v>5</v>
      </c>
      <c r="K44" s="21" t="str">
        <f>IF(PERCENTRANK(Table3[Station Facilities Score], J44) &lt; 1/5, "1", IF(PERCENTRANK(Table3[Station Facilities Score], J44) &lt; 2/5, "2", IF(PERCENTRANK(Table3[Station Facilities Score], J44) &lt; 3/5, "3", IF(PERCENTRANK(Table3[Station Facilities Score], J44) &lt; 4/5, "4", "5"))))</f>
        <v>2</v>
      </c>
      <c r="L44" s="21" t="str">
        <f>IF(PERCENTRANK(Table3[Station Facilities Score], J44) &lt; 1/5, "LOW", IF(PERCENTRANK(Table3[Station Facilities Score], J44) &lt; 2/5, "MEDIUM-LOW", IF(PERCENTRANK(Table3[Station Facilities Score], J44) &lt; 3/5, "MEDIUM", IF(PERCENTRANK(Table3[Station Facilities Score], J44) &lt; 4/5, "MEDIUM-HIGH", "HIGH"))))</f>
        <v>MEDIUM-LOW</v>
      </c>
    </row>
    <row r="45" spans="1:12" x14ac:dyDescent="0.25">
      <c r="A45" s="82" t="s">
        <v>125</v>
      </c>
      <c r="B45" s="83">
        <v>45</v>
      </c>
      <c r="C45" s="88">
        <v>1</v>
      </c>
      <c r="D45" s="88">
        <v>1</v>
      </c>
      <c r="E45" s="88">
        <v>1</v>
      </c>
      <c r="F45" s="88">
        <v>1</v>
      </c>
      <c r="G45" s="88">
        <v>1</v>
      </c>
      <c r="H45" s="88">
        <v>0</v>
      </c>
      <c r="I45" s="89">
        <v>0</v>
      </c>
      <c r="J45" s="90">
        <f t="shared" si="0"/>
        <v>5</v>
      </c>
      <c r="K45" s="21" t="str">
        <f>IF(PERCENTRANK(Table3[Station Facilities Score], J45) &lt; 1/5, "1", IF(PERCENTRANK(Table3[Station Facilities Score], J45) &lt; 2/5, "2", IF(PERCENTRANK(Table3[Station Facilities Score], J45) &lt; 3/5, "3", IF(PERCENTRANK(Table3[Station Facilities Score], J45) &lt; 4/5, "4", "5"))))</f>
        <v>2</v>
      </c>
      <c r="L45" s="21" t="str">
        <f>IF(PERCENTRANK(Table3[Station Facilities Score], J45) &lt; 1/5, "LOW", IF(PERCENTRANK(Table3[Station Facilities Score], J45) &lt; 2/5, "MEDIUM-LOW", IF(PERCENTRANK(Table3[Station Facilities Score], J45) &lt; 3/5, "MEDIUM", IF(PERCENTRANK(Table3[Station Facilities Score], J45) &lt; 4/5, "MEDIUM-HIGH", "HIGH"))))</f>
        <v>MEDIUM-LOW</v>
      </c>
    </row>
    <row r="46" spans="1:12" x14ac:dyDescent="0.25">
      <c r="A46" s="82" t="s">
        <v>126</v>
      </c>
      <c r="B46" s="83">
        <v>46</v>
      </c>
      <c r="C46" s="88">
        <v>1</v>
      </c>
      <c r="D46" s="88">
        <v>1</v>
      </c>
      <c r="E46" s="88">
        <v>1</v>
      </c>
      <c r="F46" s="88">
        <v>1</v>
      </c>
      <c r="G46" s="88">
        <v>1</v>
      </c>
      <c r="H46" s="88">
        <v>0</v>
      </c>
      <c r="I46" s="89">
        <v>0</v>
      </c>
      <c r="J46" s="90">
        <f t="shared" si="0"/>
        <v>5</v>
      </c>
      <c r="K46" s="21" t="str">
        <f>IF(PERCENTRANK(Table3[Station Facilities Score], J46) &lt; 1/5, "1", IF(PERCENTRANK(Table3[Station Facilities Score], J46) &lt; 2/5, "2", IF(PERCENTRANK(Table3[Station Facilities Score], J46) &lt; 3/5, "3", IF(PERCENTRANK(Table3[Station Facilities Score], J46) &lt; 4/5, "4", "5"))))</f>
        <v>2</v>
      </c>
      <c r="L46" s="21" t="str">
        <f>IF(PERCENTRANK(Table3[Station Facilities Score], J46) &lt; 1/5, "LOW", IF(PERCENTRANK(Table3[Station Facilities Score], J46) &lt; 2/5, "MEDIUM-LOW", IF(PERCENTRANK(Table3[Station Facilities Score], J46) &lt; 3/5, "MEDIUM", IF(PERCENTRANK(Table3[Station Facilities Score], J46) &lt; 4/5, "MEDIUM-HIGH", "HIGH"))))</f>
        <v>MEDIUM-LOW</v>
      </c>
    </row>
    <row r="47" spans="1:12" x14ac:dyDescent="0.25">
      <c r="A47" s="82" t="s">
        <v>127</v>
      </c>
      <c r="B47" s="83">
        <v>47</v>
      </c>
      <c r="C47" s="88">
        <v>1</v>
      </c>
      <c r="D47" s="88">
        <v>1</v>
      </c>
      <c r="E47" s="88">
        <v>1</v>
      </c>
      <c r="F47" s="88">
        <v>1</v>
      </c>
      <c r="G47" s="88">
        <v>1</v>
      </c>
      <c r="H47" s="88">
        <v>0</v>
      </c>
      <c r="I47" s="89">
        <v>1</v>
      </c>
      <c r="J47" s="90">
        <f t="shared" si="0"/>
        <v>6</v>
      </c>
      <c r="K47" s="21" t="str">
        <f>IF(PERCENTRANK(Table3[Station Facilities Score], J47) &lt; 1/5, "1", IF(PERCENTRANK(Table3[Station Facilities Score], J47) &lt; 2/5, "2", IF(PERCENTRANK(Table3[Station Facilities Score], J47) &lt; 3/5, "3", IF(PERCENTRANK(Table3[Station Facilities Score], J47) &lt; 4/5, "4", "5"))))</f>
        <v>3</v>
      </c>
      <c r="L47" s="21" t="str">
        <f>IF(PERCENTRANK(Table3[Station Facilities Score], J47) &lt; 1/5, "LOW", IF(PERCENTRANK(Table3[Station Facilities Score], J47) &lt; 2/5, "MEDIUM-LOW", IF(PERCENTRANK(Table3[Station Facilities Score], J47) &lt; 3/5, "MEDIUM", IF(PERCENTRANK(Table3[Station Facilities Score], J47) &lt; 4/5, "MEDIUM-HIGH", "HIGH"))))</f>
        <v>MEDIUM</v>
      </c>
    </row>
    <row r="48" spans="1:12" x14ac:dyDescent="0.25">
      <c r="A48" s="82" t="s">
        <v>128</v>
      </c>
      <c r="B48" s="83">
        <v>48</v>
      </c>
      <c r="C48" s="88">
        <v>1</v>
      </c>
      <c r="D48" s="88">
        <v>1</v>
      </c>
      <c r="E48" s="88">
        <v>1</v>
      </c>
      <c r="F48" s="88">
        <v>1</v>
      </c>
      <c r="G48" s="88">
        <v>1</v>
      </c>
      <c r="H48" s="88">
        <v>0</v>
      </c>
      <c r="I48" s="89">
        <v>0</v>
      </c>
      <c r="J48" s="90">
        <f t="shared" si="0"/>
        <v>5</v>
      </c>
      <c r="K48" s="21" t="str">
        <f>IF(PERCENTRANK(Table3[Station Facilities Score], J48) &lt; 1/5, "1", IF(PERCENTRANK(Table3[Station Facilities Score], J48) &lt; 2/5, "2", IF(PERCENTRANK(Table3[Station Facilities Score], J48) &lt; 3/5, "3", IF(PERCENTRANK(Table3[Station Facilities Score], J48) &lt; 4/5, "4", "5"))))</f>
        <v>2</v>
      </c>
      <c r="L48" s="21" t="str">
        <f>IF(PERCENTRANK(Table3[Station Facilities Score], J48) &lt; 1/5, "LOW", IF(PERCENTRANK(Table3[Station Facilities Score], J48) &lt; 2/5, "MEDIUM-LOW", IF(PERCENTRANK(Table3[Station Facilities Score], J48) &lt; 3/5, "MEDIUM", IF(PERCENTRANK(Table3[Station Facilities Score], J48) &lt; 4/5, "MEDIUM-HIGH", "HIGH"))))</f>
        <v>MEDIUM-LOW</v>
      </c>
    </row>
    <row r="49" spans="1:12" x14ac:dyDescent="0.25">
      <c r="A49" s="82" t="s">
        <v>130</v>
      </c>
      <c r="B49" s="83">
        <v>49</v>
      </c>
      <c r="C49" s="88">
        <v>1</v>
      </c>
      <c r="D49" s="88">
        <v>1</v>
      </c>
      <c r="E49" s="88">
        <v>1</v>
      </c>
      <c r="F49" s="88">
        <v>1</v>
      </c>
      <c r="G49" s="88">
        <v>1</v>
      </c>
      <c r="H49" s="88">
        <v>1</v>
      </c>
      <c r="I49" s="89">
        <v>0</v>
      </c>
      <c r="J49" s="90">
        <f t="shared" si="0"/>
        <v>6</v>
      </c>
      <c r="K49" s="21" t="str">
        <f>IF(PERCENTRANK(Table3[Station Facilities Score], J49) &lt; 1/5, "1", IF(PERCENTRANK(Table3[Station Facilities Score], J49) &lt; 2/5, "2", IF(PERCENTRANK(Table3[Station Facilities Score], J49) &lt; 3/5, "3", IF(PERCENTRANK(Table3[Station Facilities Score], J49) &lt; 4/5, "4", "5"))))</f>
        <v>3</v>
      </c>
      <c r="L49" s="21" t="str">
        <f>IF(PERCENTRANK(Table3[Station Facilities Score], J49) &lt; 1/5, "LOW", IF(PERCENTRANK(Table3[Station Facilities Score], J49) &lt; 2/5, "MEDIUM-LOW", IF(PERCENTRANK(Table3[Station Facilities Score], J49) &lt; 3/5, "MEDIUM", IF(PERCENTRANK(Table3[Station Facilities Score], J49) &lt; 4/5, "MEDIUM-HIGH", "HIGH"))))</f>
        <v>MEDIUM</v>
      </c>
    </row>
    <row r="50" spans="1:12" x14ac:dyDescent="0.25">
      <c r="A50" s="82" t="s">
        <v>135</v>
      </c>
      <c r="B50" s="83">
        <v>50</v>
      </c>
      <c r="C50" s="88">
        <v>1</v>
      </c>
      <c r="D50" s="88">
        <v>1</v>
      </c>
      <c r="E50" s="88">
        <v>1</v>
      </c>
      <c r="F50" s="88">
        <v>1</v>
      </c>
      <c r="G50" s="88">
        <v>1</v>
      </c>
      <c r="H50" s="88">
        <v>1</v>
      </c>
      <c r="I50" s="89">
        <v>0</v>
      </c>
      <c r="J50" s="90">
        <f t="shared" si="0"/>
        <v>6</v>
      </c>
      <c r="K50" s="21" t="str">
        <f>IF(PERCENTRANK(Table3[Station Facilities Score], J50) &lt; 1/5, "1", IF(PERCENTRANK(Table3[Station Facilities Score], J50) &lt; 2/5, "2", IF(PERCENTRANK(Table3[Station Facilities Score], J50) &lt; 3/5, "3", IF(PERCENTRANK(Table3[Station Facilities Score], J50) &lt; 4/5, "4", "5"))))</f>
        <v>3</v>
      </c>
      <c r="L50" s="21" t="str">
        <f>IF(PERCENTRANK(Table3[Station Facilities Score], J50) &lt; 1/5, "LOW", IF(PERCENTRANK(Table3[Station Facilities Score], J50) &lt; 2/5, "MEDIUM-LOW", IF(PERCENTRANK(Table3[Station Facilities Score], J50) &lt; 3/5, "MEDIUM", IF(PERCENTRANK(Table3[Station Facilities Score], J50) &lt; 4/5, "MEDIUM-HIGH", "HIGH"))))</f>
        <v>MEDIUM</v>
      </c>
    </row>
    <row r="51" spans="1:12" x14ac:dyDescent="0.25">
      <c r="A51" s="82" t="s">
        <v>140</v>
      </c>
      <c r="B51" s="83">
        <v>51</v>
      </c>
      <c r="C51" s="88">
        <v>1</v>
      </c>
      <c r="D51" s="88">
        <v>1</v>
      </c>
      <c r="E51" s="88">
        <v>1</v>
      </c>
      <c r="F51" s="88">
        <v>1</v>
      </c>
      <c r="G51" s="88">
        <v>1</v>
      </c>
      <c r="H51" s="88">
        <v>1</v>
      </c>
      <c r="I51" s="89">
        <v>0</v>
      </c>
      <c r="J51" s="90">
        <f t="shared" si="0"/>
        <v>6</v>
      </c>
      <c r="K51" s="21" t="str">
        <f>IF(PERCENTRANK(Table3[Station Facilities Score], J51) &lt; 1/5, "1", IF(PERCENTRANK(Table3[Station Facilities Score], J51) &lt; 2/5, "2", IF(PERCENTRANK(Table3[Station Facilities Score], J51) &lt; 3/5, "3", IF(PERCENTRANK(Table3[Station Facilities Score], J51) &lt; 4/5, "4", "5"))))</f>
        <v>3</v>
      </c>
      <c r="L51" s="21" t="str">
        <f>IF(PERCENTRANK(Table3[Station Facilities Score], J51) &lt; 1/5, "LOW", IF(PERCENTRANK(Table3[Station Facilities Score], J51) &lt; 2/5, "MEDIUM-LOW", IF(PERCENTRANK(Table3[Station Facilities Score], J51) &lt; 3/5, "MEDIUM", IF(PERCENTRANK(Table3[Station Facilities Score], J51) &lt; 4/5, "MEDIUM-HIGH", "HIGH"))))</f>
        <v>MEDIUM</v>
      </c>
    </row>
    <row r="52" spans="1:12" x14ac:dyDescent="0.25">
      <c r="A52" s="82" t="s">
        <v>143</v>
      </c>
      <c r="B52" s="83">
        <v>52</v>
      </c>
      <c r="C52" s="88">
        <v>1</v>
      </c>
      <c r="D52" s="88">
        <v>1</v>
      </c>
      <c r="E52" s="88">
        <v>1</v>
      </c>
      <c r="F52" s="88">
        <v>1</v>
      </c>
      <c r="G52" s="88">
        <v>1</v>
      </c>
      <c r="H52" s="88">
        <v>1</v>
      </c>
      <c r="I52" s="89">
        <v>0</v>
      </c>
      <c r="J52" s="90">
        <f t="shared" si="0"/>
        <v>6</v>
      </c>
      <c r="K52" s="21" t="str">
        <f>IF(PERCENTRANK(Table3[Station Facilities Score], J52) &lt; 1/5, "1", IF(PERCENTRANK(Table3[Station Facilities Score], J52) &lt; 2/5, "2", IF(PERCENTRANK(Table3[Station Facilities Score], J52) &lt; 3/5, "3", IF(PERCENTRANK(Table3[Station Facilities Score], J52) &lt; 4/5, "4", "5"))))</f>
        <v>3</v>
      </c>
      <c r="L52" s="21" t="str">
        <f>IF(PERCENTRANK(Table3[Station Facilities Score], J52) &lt; 1/5, "LOW", IF(PERCENTRANK(Table3[Station Facilities Score], J52) &lt; 2/5, "MEDIUM-LOW", IF(PERCENTRANK(Table3[Station Facilities Score], J52) &lt; 3/5, "MEDIUM", IF(PERCENTRANK(Table3[Station Facilities Score], J52) &lt; 4/5, "MEDIUM-HIGH", "HIGH"))))</f>
        <v>MEDIUM</v>
      </c>
    </row>
    <row r="53" spans="1:12" x14ac:dyDescent="0.25">
      <c r="A53" s="82" t="s">
        <v>147</v>
      </c>
      <c r="B53" s="83">
        <v>53</v>
      </c>
      <c r="C53" s="88">
        <v>1</v>
      </c>
      <c r="D53" s="88">
        <v>1</v>
      </c>
      <c r="E53" s="88">
        <v>0</v>
      </c>
      <c r="F53" s="88">
        <v>1</v>
      </c>
      <c r="G53" s="88">
        <v>1</v>
      </c>
      <c r="H53" s="88">
        <v>0</v>
      </c>
      <c r="I53" s="89">
        <v>0</v>
      </c>
      <c r="J53" s="90">
        <f t="shared" si="0"/>
        <v>4</v>
      </c>
      <c r="K53" s="21" t="str">
        <f>IF(PERCENTRANK(Table3[Station Facilities Score], J53) &lt; 1/5, "1", IF(PERCENTRANK(Table3[Station Facilities Score], J53) &lt; 2/5, "2", IF(PERCENTRANK(Table3[Station Facilities Score], J53) &lt; 3/5, "3", IF(PERCENTRANK(Table3[Station Facilities Score], J53) &lt; 4/5, "4", "5"))))</f>
        <v>1</v>
      </c>
      <c r="L53" s="21" t="str">
        <f>IF(PERCENTRANK(Table3[Station Facilities Score], J53) &lt; 1/5, "LOW", IF(PERCENTRANK(Table3[Station Facilities Score], J53) &lt; 2/5, "MEDIUM-LOW", IF(PERCENTRANK(Table3[Station Facilities Score], J53) &lt; 3/5, "MEDIUM", IF(PERCENTRANK(Table3[Station Facilities Score], J53) &lt; 4/5, "MEDIUM-HIGH", "HIGH"))))</f>
        <v>LOW</v>
      </c>
    </row>
    <row r="54" spans="1:12" x14ac:dyDescent="0.25">
      <c r="A54" s="82" t="s">
        <v>149</v>
      </c>
      <c r="B54" s="83">
        <v>54</v>
      </c>
      <c r="C54" s="88">
        <v>1</v>
      </c>
      <c r="D54" s="88">
        <v>1</v>
      </c>
      <c r="E54" s="88">
        <v>1</v>
      </c>
      <c r="F54" s="88">
        <v>1</v>
      </c>
      <c r="G54" s="88">
        <v>1</v>
      </c>
      <c r="H54" s="88">
        <v>1</v>
      </c>
      <c r="I54" s="89">
        <v>0</v>
      </c>
      <c r="J54" s="90">
        <f t="shared" si="0"/>
        <v>6</v>
      </c>
      <c r="K54" s="21" t="str">
        <f>IF(PERCENTRANK(Table3[Station Facilities Score], J54) &lt; 1/5, "1", IF(PERCENTRANK(Table3[Station Facilities Score], J54) &lt; 2/5, "2", IF(PERCENTRANK(Table3[Station Facilities Score], J54) &lt; 3/5, "3", IF(PERCENTRANK(Table3[Station Facilities Score], J54) &lt; 4/5, "4", "5"))))</f>
        <v>3</v>
      </c>
      <c r="L54" s="21" t="str">
        <f>IF(PERCENTRANK(Table3[Station Facilities Score], J54) &lt; 1/5, "LOW", IF(PERCENTRANK(Table3[Station Facilities Score], J54) &lt; 2/5, "MEDIUM-LOW", IF(PERCENTRANK(Table3[Station Facilities Score], J54) &lt; 3/5, "MEDIUM", IF(PERCENTRANK(Table3[Station Facilities Score], J54) &lt; 4/5, "MEDIUM-HIGH", "HIGH"))))</f>
        <v>MEDIUM</v>
      </c>
    </row>
    <row r="55" spans="1:12" x14ac:dyDescent="0.25">
      <c r="A55" s="82" t="s">
        <v>248</v>
      </c>
      <c r="B55" s="83">
        <v>55</v>
      </c>
      <c r="C55" s="88">
        <v>1</v>
      </c>
      <c r="D55" s="88">
        <v>1</v>
      </c>
      <c r="E55" s="88">
        <v>1</v>
      </c>
      <c r="F55" s="88">
        <v>1</v>
      </c>
      <c r="G55" s="88">
        <v>1</v>
      </c>
      <c r="H55" s="88">
        <v>1</v>
      </c>
      <c r="I55" s="89">
        <v>1</v>
      </c>
      <c r="J55" s="90">
        <f t="shared" si="0"/>
        <v>7</v>
      </c>
      <c r="K55" s="21" t="str">
        <f>IF(PERCENTRANK(Table3[Station Facilities Score], J55) &lt; 1/5, "1", IF(PERCENTRANK(Table3[Station Facilities Score], J55) &lt; 2/5, "2", IF(PERCENTRANK(Table3[Station Facilities Score], J55) &lt; 3/5, "3", IF(PERCENTRANK(Table3[Station Facilities Score], J55) &lt; 4/5, "4", "5"))))</f>
        <v>5</v>
      </c>
      <c r="L55" s="21" t="str">
        <f>IF(PERCENTRANK(Table3[Station Facilities Score], J55) &lt; 1/5, "LOW", IF(PERCENTRANK(Table3[Station Facilities Score], J55) &lt; 2/5, "MEDIUM-LOW", IF(PERCENTRANK(Table3[Station Facilities Score], J55) &lt; 3/5, "MEDIUM", IF(PERCENTRANK(Table3[Station Facilities Score], J55) &lt; 4/5, "MEDIUM-HIGH", "HIGH"))))</f>
        <v>HIGH</v>
      </c>
    </row>
    <row r="56" spans="1:12" x14ac:dyDescent="0.25">
      <c r="A56" s="82" t="s">
        <v>153</v>
      </c>
      <c r="B56" s="83">
        <v>57</v>
      </c>
      <c r="C56" s="88">
        <v>1</v>
      </c>
      <c r="D56" s="88">
        <v>1</v>
      </c>
      <c r="E56" s="88">
        <v>1</v>
      </c>
      <c r="F56" s="88">
        <v>1</v>
      </c>
      <c r="G56" s="88">
        <v>1</v>
      </c>
      <c r="H56" s="88">
        <v>1</v>
      </c>
      <c r="I56" s="89">
        <v>1</v>
      </c>
      <c r="J56" s="90">
        <f t="shared" si="0"/>
        <v>7</v>
      </c>
      <c r="K56" s="21" t="str">
        <f>IF(PERCENTRANK(Table3[Station Facilities Score], J56) &lt; 1/5, "1", IF(PERCENTRANK(Table3[Station Facilities Score], J56) &lt; 2/5, "2", IF(PERCENTRANK(Table3[Station Facilities Score], J56) &lt; 3/5, "3", IF(PERCENTRANK(Table3[Station Facilities Score], J56) &lt; 4/5, "4", "5"))))</f>
        <v>5</v>
      </c>
      <c r="L56" s="21" t="str">
        <f>IF(PERCENTRANK(Table3[Station Facilities Score], J56) &lt; 1/5, "LOW", IF(PERCENTRANK(Table3[Station Facilities Score], J56) &lt; 2/5, "MEDIUM-LOW", IF(PERCENTRANK(Table3[Station Facilities Score], J56) &lt; 3/5, "MEDIUM", IF(PERCENTRANK(Table3[Station Facilities Score], J56) &lt; 4/5, "MEDIUM-HIGH", "HIGH"))))</f>
        <v>HIGH</v>
      </c>
    </row>
    <row r="57" spans="1:12" x14ac:dyDescent="0.25">
      <c r="A57" s="82" t="s">
        <v>156</v>
      </c>
      <c r="B57" s="83">
        <v>58</v>
      </c>
      <c r="C57" s="88">
        <v>1</v>
      </c>
      <c r="D57" s="88">
        <v>1</v>
      </c>
      <c r="E57" s="88">
        <v>0</v>
      </c>
      <c r="F57" s="88">
        <v>1</v>
      </c>
      <c r="G57" s="88">
        <v>1</v>
      </c>
      <c r="H57" s="88">
        <v>0</v>
      </c>
      <c r="I57" s="89">
        <v>0</v>
      </c>
      <c r="J57" s="90">
        <f t="shared" si="0"/>
        <v>4</v>
      </c>
      <c r="K57" s="21" t="str">
        <f>IF(PERCENTRANK(Table3[Station Facilities Score], J57) &lt; 1/5, "1", IF(PERCENTRANK(Table3[Station Facilities Score], J57) &lt; 2/5, "2", IF(PERCENTRANK(Table3[Station Facilities Score], J57) &lt; 3/5, "3", IF(PERCENTRANK(Table3[Station Facilities Score], J57) &lt; 4/5, "4", "5"))))</f>
        <v>1</v>
      </c>
      <c r="L57" s="21" t="str">
        <f>IF(PERCENTRANK(Table3[Station Facilities Score], J57) &lt; 1/5, "LOW", IF(PERCENTRANK(Table3[Station Facilities Score], J57) &lt; 2/5, "MEDIUM-LOW", IF(PERCENTRANK(Table3[Station Facilities Score], J57) &lt; 3/5, "MEDIUM", IF(PERCENTRANK(Table3[Station Facilities Score], J57) &lt; 4/5, "MEDIUM-HIGH", "HIGH"))))</f>
        <v>LOW</v>
      </c>
    </row>
    <row r="58" spans="1:12" x14ac:dyDescent="0.25">
      <c r="A58" s="82" t="s">
        <v>160</v>
      </c>
      <c r="B58" s="83">
        <v>59</v>
      </c>
      <c r="C58" s="88">
        <v>1</v>
      </c>
      <c r="D58" s="88">
        <v>1</v>
      </c>
      <c r="E58" s="88">
        <v>0</v>
      </c>
      <c r="F58" s="88">
        <v>1</v>
      </c>
      <c r="G58" s="88">
        <v>1</v>
      </c>
      <c r="H58" s="88">
        <v>1</v>
      </c>
      <c r="I58" s="89">
        <v>0</v>
      </c>
      <c r="J58" s="90">
        <f t="shared" si="0"/>
        <v>5</v>
      </c>
      <c r="K58" s="21" t="str">
        <f>IF(PERCENTRANK(Table3[Station Facilities Score], J58) &lt; 1/5, "1", IF(PERCENTRANK(Table3[Station Facilities Score], J58) &lt; 2/5, "2", IF(PERCENTRANK(Table3[Station Facilities Score], J58) &lt; 3/5, "3", IF(PERCENTRANK(Table3[Station Facilities Score], J58) &lt; 4/5, "4", "5"))))</f>
        <v>2</v>
      </c>
      <c r="L58" s="21" t="str">
        <f>IF(PERCENTRANK(Table3[Station Facilities Score], J58) &lt; 1/5, "LOW", IF(PERCENTRANK(Table3[Station Facilities Score], J58) &lt; 2/5, "MEDIUM-LOW", IF(PERCENTRANK(Table3[Station Facilities Score], J58) &lt; 3/5, "MEDIUM", IF(PERCENTRANK(Table3[Station Facilities Score], J58) &lt; 4/5, "MEDIUM-HIGH", "HIGH"))))</f>
        <v>MEDIUM-LOW</v>
      </c>
    </row>
    <row r="59" spans="1:12" x14ac:dyDescent="0.25">
      <c r="A59" s="82" t="s">
        <v>162</v>
      </c>
      <c r="B59" s="83">
        <v>60</v>
      </c>
      <c r="C59" s="88">
        <v>1</v>
      </c>
      <c r="D59" s="88">
        <v>1</v>
      </c>
      <c r="E59" s="88">
        <v>1</v>
      </c>
      <c r="F59" s="88">
        <v>1</v>
      </c>
      <c r="G59" s="88">
        <v>1</v>
      </c>
      <c r="H59" s="88">
        <v>1</v>
      </c>
      <c r="I59" s="89">
        <v>0</v>
      </c>
      <c r="J59" s="90">
        <f t="shared" si="0"/>
        <v>6</v>
      </c>
      <c r="K59" s="21" t="str">
        <f>IF(PERCENTRANK(Table3[Station Facilities Score], J59) &lt; 1/5, "1", IF(PERCENTRANK(Table3[Station Facilities Score], J59) &lt; 2/5, "2", IF(PERCENTRANK(Table3[Station Facilities Score], J59) &lt; 3/5, "3", IF(PERCENTRANK(Table3[Station Facilities Score], J59) &lt; 4/5, "4", "5"))))</f>
        <v>3</v>
      </c>
      <c r="L59" s="21" t="str">
        <f>IF(PERCENTRANK(Table3[Station Facilities Score], J59) &lt; 1/5, "LOW", IF(PERCENTRANK(Table3[Station Facilities Score], J59) &lt; 2/5, "MEDIUM-LOW", IF(PERCENTRANK(Table3[Station Facilities Score], J59) &lt; 3/5, "MEDIUM", IF(PERCENTRANK(Table3[Station Facilities Score], J59) &lt; 4/5, "MEDIUM-HIGH", "HIGH"))))</f>
        <v>MEDIUM</v>
      </c>
    </row>
    <row r="60" spans="1:12" x14ac:dyDescent="0.25">
      <c r="A60" s="82" t="s">
        <v>169</v>
      </c>
      <c r="B60" s="83">
        <v>63</v>
      </c>
      <c r="C60" s="88">
        <v>0</v>
      </c>
      <c r="D60" s="88">
        <v>0</v>
      </c>
      <c r="E60" s="88">
        <v>0</v>
      </c>
      <c r="F60" s="88">
        <v>1</v>
      </c>
      <c r="G60" s="88">
        <v>1</v>
      </c>
      <c r="H60" s="88">
        <v>0</v>
      </c>
      <c r="I60" s="89">
        <v>0</v>
      </c>
      <c r="J60" s="90">
        <f t="shared" si="0"/>
        <v>2</v>
      </c>
      <c r="K60" s="21" t="str">
        <f>IF(PERCENTRANK(Table3[Station Facilities Score], J60) &lt; 1/5, "1", IF(PERCENTRANK(Table3[Station Facilities Score], J60) &lt; 2/5, "2", IF(PERCENTRANK(Table3[Station Facilities Score], J60) &lt; 3/5, "3", IF(PERCENTRANK(Table3[Station Facilities Score], J60) &lt; 4/5, "4", "5"))))</f>
        <v>1</v>
      </c>
      <c r="L60" s="21" t="str">
        <f>IF(PERCENTRANK(Table3[Station Facilities Score], J60) &lt; 1/5, "LOW", IF(PERCENTRANK(Table3[Station Facilities Score], J60) &lt; 2/5, "MEDIUM-LOW", IF(PERCENTRANK(Table3[Station Facilities Score], J60) &lt; 3/5, "MEDIUM", IF(PERCENTRANK(Table3[Station Facilities Score], J60) &lt; 4/5, "MEDIUM-HIGH", "HIGH"))))</f>
        <v>LOW</v>
      </c>
    </row>
    <row r="61" spans="1:12" x14ac:dyDescent="0.25">
      <c r="A61" s="82" t="s">
        <v>171</v>
      </c>
      <c r="B61" s="83">
        <v>64</v>
      </c>
      <c r="C61" s="88">
        <v>1</v>
      </c>
      <c r="D61" s="88">
        <v>1</v>
      </c>
      <c r="E61" s="88">
        <v>1</v>
      </c>
      <c r="F61" s="88">
        <v>1</v>
      </c>
      <c r="G61" s="88">
        <v>1</v>
      </c>
      <c r="H61" s="88">
        <v>1</v>
      </c>
      <c r="I61" s="89">
        <v>1</v>
      </c>
      <c r="J61" s="90">
        <f t="shared" si="0"/>
        <v>7</v>
      </c>
      <c r="K61" s="21" t="str">
        <f>IF(PERCENTRANK(Table3[Station Facilities Score], J61) &lt; 1/5, "1", IF(PERCENTRANK(Table3[Station Facilities Score], J61) &lt; 2/5, "2", IF(PERCENTRANK(Table3[Station Facilities Score], J61) &lt; 3/5, "3", IF(PERCENTRANK(Table3[Station Facilities Score], J61) &lt; 4/5, "4", "5"))))</f>
        <v>5</v>
      </c>
      <c r="L61" s="21" t="str">
        <f>IF(PERCENTRANK(Table3[Station Facilities Score], J61) &lt; 1/5, "LOW", IF(PERCENTRANK(Table3[Station Facilities Score], J61) &lt; 2/5, "MEDIUM-LOW", IF(PERCENTRANK(Table3[Station Facilities Score], J61) &lt; 3/5, "MEDIUM", IF(PERCENTRANK(Table3[Station Facilities Score], J61) &lt; 4/5, "MEDIUM-HIGH", "HIGH"))))</f>
        <v>HIGH</v>
      </c>
    </row>
    <row r="62" spans="1:12" x14ac:dyDescent="0.25">
      <c r="A62" s="82" t="s">
        <v>175</v>
      </c>
      <c r="B62" s="83">
        <v>65</v>
      </c>
      <c r="C62" s="88">
        <v>0</v>
      </c>
      <c r="D62" s="88">
        <v>0</v>
      </c>
      <c r="E62" s="88">
        <v>0</v>
      </c>
      <c r="F62" s="88">
        <v>1</v>
      </c>
      <c r="G62" s="88">
        <v>0</v>
      </c>
      <c r="H62" s="88">
        <v>0</v>
      </c>
      <c r="I62" s="89">
        <v>0</v>
      </c>
      <c r="J62" s="90">
        <f t="shared" si="0"/>
        <v>1</v>
      </c>
      <c r="K62" s="21" t="str">
        <f>IF(PERCENTRANK(Table3[Station Facilities Score], J62) &lt; 1/5, "1", IF(PERCENTRANK(Table3[Station Facilities Score], J62) &lt; 2/5, "2", IF(PERCENTRANK(Table3[Station Facilities Score], J62) &lt; 3/5, "3", IF(PERCENTRANK(Table3[Station Facilities Score], J62) &lt; 4/5, "4", "5"))))</f>
        <v>1</v>
      </c>
      <c r="L62" s="21" t="str">
        <f>IF(PERCENTRANK(Table3[Station Facilities Score], J62) &lt; 1/5, "LOW", IF(PERCENTRANK(Table3[Station Facilities Score], J62) &lt; 2/5, "MEDIUM-LOW", IF(PERCENTRANK(Table3[Station Facilities Score], J62) &lt; 3/5, "MEDIUM", IF(PERCENTRANK(Table3[Station Facilities Score], J62) &lt; 4/5, "MEDIUM-HIGH", "HIGH"))))</f>
        <v>LOW</v>
      </c>
    </row>
    <row r="63" spans="1:12" x14ac:dyDescent="0.25">
      <c r="A63" s="82" t="s">
        <v>177</v>
      </c>
      <c r="B63" s="83">
        <v>66</v>
      </c>
      <c r="C63" s="88">
        <v>1</v>
      </c>
      <c r="D63" s="88">
        <v>0</v>
      </c>
      <c r="E63" s="88">
        <v>1</v>
      </c>
      <c r="F63" s="88">
        <v>1</v>
      </c>
      <c r="G63" s="88">
        <v>1</v>
      </c>
      <c r="H63" s="88">
        <v>1</v>
      </c>
      <c r="I63" s="89">
        <v>0</v>
      </c>
      <c r="J63" s="90">
        <f t="shared" si="0"/>
        <v>5</v>
      </c>
      <c r="K63" s="21" t="str">
        <f>IF(PERCENTRANK(Table3[Station Facilities Score], J63) &lt; 1/5, "1", IF(PERCENTRANK(Table3[Station Facilities Score], J63) &lt; 2/5, "2", IF(PERCENTRANK(Table3[Station Facilities Score], J63) &lt; 3/5, "3", IF(PERCENTRANK(Table3[Station Facilities Score], J63) &lt; 4/5, "4", "5"))))</f>
        <v>2</v>
      </c>
      <c r="L63" s="21" t="str">
        <f>IF(PERCENTRANK(Table3[Station Facilities Score], J63) &lt; 1/5, "LOW", IF(PERCENTRANK(Table3[Station Facilities Score], J63) &lt; 2/5, "MEDIUM-LOW", IF(PERCENTRANK(Table3[Station Facilities Score], J63) &lt; 3/5, "MEDIUM", IF(PERCENTRANK(Table3[Station Facilities Score], J63) &lt; 4/5, "MEDIUM-HIGH", "HIGH"))))</f>
        <v>MEDIUM-LOW</v>
      </c>
    </row>
    <row r="64" spans="1:12" x14ac:dyDescent="0.25">
      <c r="A64" s="82" t="s">
        <v>181</v>
      </c>
      <c r="B64" s="83">
        <v>68</v>
      </c>
      <c r="C64" s="88">
        <v>1</v>
      </c>
      <c r="D64" s="88">
        <v>1</v>
      </c>
      <c r="E64" s="88">
        <v>0</v>
      </c>
      <c r="F64" s="88">
        <v>1</v>
      </c>
      <c r="G64" s="88">
        <v>1</v>
      </c>
      <c r="H64" s="88">
        <v>1</v>
      </c>
      <c r="I64" s="89">
        <v>0</v>
      </c>
      <c r="J64" s="90">
        <f t="shared" si="0"/>
        <v>5</v>
      </c>
      <c r="K64" s="21" t="str">
        <f>IF(PERCENTRANK(Table3[Station Facilities Score], J64) &lt; 1/5, "1", IF(PERCENTRANK(Table3[Station Facilities Score], J64) &lt; 2/5, "2", IF(PERCENTRANK(Table3[Station Facilities Score], J64) &lt; 3/5, "3", IF(PERCENTRANK(Table3[Station Facilities Score], J64) &lt; 4/5, "4", "5"))))</f>
        <v>2</v>
      </c>
      <c r="L64" s="21" t="str">
        <f>IF(PERCENTRANK(Table3[Station Facilities Score], J64) &lt; 1/5, "LOW", IF(PERCENTRANK(Table3[Station Facilities Score], J64) &lt; 2/5, "MEDIUM-LOW", IF(PERCENTRANK(Table3[Station Facilities Score], J64) &lt; 3/5, "MEDIUM", IF(PERCENTRANK(Table3[Station Facilities Score], J64) &lt; 4/5, "MEDIUM-HIGH", "HIGH"))))</f>
        <v>MEDIUM-LOW</v>
      </c>
    </row>
    <row r="65" spans="1:12" x14ac:dyDescent="0.25">
      <c r="A65" s="14" t="s">
        <v>184</v>
      </c>
      <c r="B65" s="83">
        <v>69</v>
      </c>
      <c r="C65" s="88">
        <v>1</v>
      </c>
      <c r="D65" s="88">
        <v>1</v>
      </c>
      <c r="E65" s="88">
        <v>0</v>
      </c>
      <c r="F65" s="88">
        <v>1</v>
      </c>
      <c r="G65" s="88">
        <v>1</v>
      </c>
      <c r="H65" s="88">
        <v>0</v>
      </c>
      <c r="I65" s="89">
        <v>0</v>
      </c>
      <c r="J65" s="90">
        <f t="shared" si="0"/>
        <v>4</v>
      </c>
      <c r="K65" s="21" t="str">
        <f>IF(PERCENTRANK(Table3[Station Facilities Score], J65) &lt; 1/5, "1", IF(PERCENTRANK(Table3[Station Facilities Score], J65) &lt; 2/5, "2", IF(PERCENTRANK(Table3[Station Facilities Score], J65) &lt; 3/5, "3", IF(PERCENTRANK(Table3[Station Facilities Score], J65) &lt; 4/5, "4", "5"))))</f>
        <v>1</v>
      </c>
      <c r="L65" s="21" t="str">
        <f>IF(PERCENTRANK(Table3[Station Facilities Score], J65) &lt; 1/5, "LOW", IF(PERCENTRANK(Table3[Station Facilities Score], J65) &lt; 2/5, "MEDIUM-LOW", IF(PERCENTRANK(Table3[Station Facilities Score], J65) &lt; 3/5, "MEDIUM", IF(PERCENTRANK(Table3[Station Facilities Score], J65) &lt; 4/5, "MEDIUM-HIGH", "HIGH"))))</f>
        <v>LOW</v>
      </c>
    </row>
    <row r="66" spans="1:12" x14ac:dyDescent="0.25">
      <c r="A66" s="14" t="s">
        <v>186</v>
      </c>
      <c r="B66" s="83">
        <v>70</v>
      </c>
      <c r="C66" s="88">
        <v>1</v>
      </c>
      <c r="D66" s="88">
        <v>1</v>
      </c>
      <c r="E66" s="88">
        <v>0</v>
      </c>
      <c r="F66" s="88">
        <v>1</v>
      </c>
      <c r="G66" s="88">
        <v>1</v>
      </c>
      <c r="H66" s="88">
        <v>0</v>
      </c>
      <c r="I66" s="89">
        <v>0</v>
      </c>
      <c r="J66" s="90">
        <f t="shared" ref="J66:J84" si="1">SUM(C66:I66)</f>
        <v>4</v>
      </c>
      <c r="K66" s="21" t="str">
        <f>IF(PERCENTRANK(Table3[Station Facilities Score], J66) &lt; 1/5, "1", IF(PERCENTRANK(Table3[Station Facilities Score], J66) &lt; 2/5, "2", IF(PERCENTRANK(Table3[Station Facilities Score], J66) &lt; 3/5, "3", IF(PERCENTRANK(Table3[Station Facilities Score], J66) &lt; 4/5, "4", "5"))))</f>
        <v>1</v>
      </c>
      <c r="L66" s="21" t="str">
        <f>IF(PERCENTRANK(Table3[Station Facilities Score], J66) &lt; 1/5, "LOW", IF(PERCENTRANK(Table3[Station Facilities Score], J66) &lt; 2/5, "MEDIUM-LOW", IF(PERCENTRANK(Table3[Station Facilities Score], J66) &lt; 3/5, "MEDIUM", IF(PERCENTRANK(Table3[Station Facilities Score], J66) &lt; 4/5, "MEDIUM-HIGH", "HIGH"))))</f>
        <v>LOW</v>
      </c>
    </row>
    <row r="67" spans="1:12" x14ac:dyDescent="0.25">
      <c r="A67" s="14" t="s">
        <v>188</v>
      </c>
      <c r="B67" s="83">
        <v>71</v>
      </c>
      <c r="C67" s="88">
        <v>1</v>
      </c>
      <c r="D67" s="88">
        <v>1</v>
      </c>
      <c r="E67" s="88">
        <v>0</v>
      </c>
      <c r="F67" s="88">
        <v>1</v>
      </c>
      <c r="G67" s="88">
        <v>1</v>
      </c>
      <c r="H67" s="88">
        <v>0</v>
      </c>
      <c r="I67" s="89">
        <v>0</v>
      </c>
      <c r="J67" s="90">
        <f t="shared" si="1"/>
        <v>4</v>
      </c>
      <c r="K67" s="21" t="str">
        <f>IF(PERCENTRANK(Table3[Station Facilities Score], J67) &lt; 1/5, "1", IF(PERCENTRANK(Table3[Station Facilities Score], J67) &lt; 2/5, "2", IF(PERCENTRANK(Table3[Station Facilities Score], J67) &lt; 3/5, "3", IF(PERCENTRANK(Table3[Station Facilities Score], J67) &lt; 4/5, "4", "5"))))</f>
        <v>1</v>
      </c>
      <c r="L67" s="21" t="str">
        <f>IF(PERCENTRANK(Table3[Station Facilities Score], J67) &lt; 1/5, "LOW", IF(PERCENTRANK(Table3[Station Facilities Score], J67) &lt; 2/5, "MEDIUM-LOW", IF(PERCENTRANK(Table3[Station Facilities Score], J67) &lt; 3/5, "MEDIUM", IF(PERCENTRANK(Table3[Station Facilities Score], J67) &lt; 4/5, "MEDIUM-HIGH", "HIGH"))))</f>
        <v>LOW</v>
      </c>
    </row>
    <row r="68" spans="1:12" x14ac:dyDescent="0.25">
      <c r="A68" s="14" t="s">
        <v>192</v>
      </c>
      <c r="B68" s="83">
        <v>72</v>
      </c>
      <c r="C68" s="88">
        <v>1</v>
      </c>
      <c r="D68" s="88">
        <v>1</v>
      </c>
      <c r="E68" s="88">
        <v>0</v>
      </c>
      <c r="F68" s="88">
        <v>1</v>
      </c>
      <c r="G68" s="88">
        <v>1</v>
      </c>
      <c r="H68" s="88">
        <v>0</v>
      </c>
      <c r="I68" s="89">
        <v>0</v>
      </c>
      <c r="J68" s="90">
        <f t="shared" si="1"/>
        <v>4</v>
      </c>
      <c r="K68" s="21" t="str">
        <f>IF(PERCENTRANK(Table3[Station Facilities Score], J68) &lt; 1/5, "1", IF(PERCENTRANK(Table3[Station Facilities Score], J68) &lt; 2/5, "2", IF(PERCENTRANK(Table3[Station Facilities Score], J68) &lt; 3/5, "3", IF(PERCENTRANK(Table3[Station Facilities Score], J68) &lt; 4/5, "4", "5"))))</f>
        <v>1</v>
      </c>
      <c r="L68" s="21" t="str">
        <f>IF(PERCENTRANK(Table3[Station Facilities Score], J68) &lt; 1/5, "LOW", IF(PERCENTRANK(Table3[Station Facilities Score], J68) &lt; 2/5, "MEDIUM-LOW", IF(PERCENTRANK(Table3[Station Facilities Score], J68) &lt; 3/5, "MEDIUM", IF(PERCENTRANK(Table3[Station Facilities Score], J68) &lt; 4/5, "MEDIUM-HIGH", "HIGH"))))</f>
        <v>LOW</v>
      </c>
    </row>
    <row r="69" spans="1:12" x14ac:dyDescent="0.25">
      <c r="A69" s="82" t="s">
        <v>198</v>
      </c>
      <c r="B69" s="83">
        <v>75</v>
      </c>
      <c r="C69" s="88">
        <v>1</v>
      </c>
      <c r="D69" s="88">
        <v>0</v>
      </c>
      <c r="E69" s="88">
        <v>0</v>
      </c>
      <c r="F69" s="88">
        <v>1</v>
      </c>
      <c r="G69" s="88">
        <v>1</v>
      </c>
      <c r="H69" s="88">
        <v>1</v>
      </c>
      <c r="I69" s="89">
        <v>0</v>
      </c>
      <c r="J69" s="90">
        <f t="shared" si="1"/>
        <v>4</v>
      </c>
      <c r="K69" s="21" t="str">
        <f>IF(PERCENTRANK(Table3[Station Facilities Score], J69) &lt; 1/5, "1", IF(PERCENTRANK(Table3[Station Facilities Score], J69) &lt; 2/5, "2", IF(PERCENTRANK(Table3[Station Facilities Score], J69) &lt; 3/5, "3", IF(PERCENTRANK(Table3[Station Facilities Score], J69) &lt; 4/5, "4", "5"))))</f>
        <v>1</v>
      </c>
      <c r="L69" s="21" t="str">
        <f>IF(PERCENTRANK(Table3[Station Facilities Score], J69) &lt; 1/5, "LOW", IF(PERCENTRANK(Table3[Station Facilities Score], J69) &lt; 2/5, "MEDIUM-LOW", IF(PERCENTRANK(Table3[Station Facilities Score], J69) &lt; 3/5, "MEDIUM", IF(PERCENTRANK(Table3[Station Facilities Score], J69) &lt; 4/5, "MEDIUM-HIGH", "HIGH"))))</f>
        <v>LOW</v>
      </c>
    </row>
    <row r="70" spans="1:12" x14ac:dyDescent="0.25">
      <c r="A70" s="82" t="s">
        <v>200</v>
      </c>
      <c r="B70" s="83">
        <v>76</v>
      </c>
      <c r="C70" s="88">
        <v>1</v>
      </c>
      <c r="D70" s="88">
        <v>1</v>
      </c>
      <c r="E70" s="88">
        <v>1</v>
      </c>
      <c r="F70" s="88">
        <v>1</v>
      </c>
      <c r="G70" s="88">
        <v>1</v>
      </c>
      <c r="H70" s="88">
        <v>1</v>
      </c>
      <c r="I70" s="89">
        <v>0</v>
      </c>
      <c r="J70" s="90">
        <f t="shared" si="1"/>
        <v>6</v>
      </c>
      <c r="K70" s="21" t="str">
        <f>IF(PERCENTRANK(Table3[Station Facilities Score], J70) &lt; 1/5, "1", IF(PERCENTRANK(Table3[Station Facilities Score], J70) &lt; 2/5, "2", IF(PERCENTRANK(Table3[Station Facilities Score], J70) &lt; 3/5, "3", IF(PERCENTRANK(Table3[Station Facilities Score], J70) &lt; 4/5, "4", "5"))))</f>
        <v>3</v>
      </c>
      <c r="L70" s="21" t="str">
        <f>IF(PERCENTRANK(Table3[Station Facilities Score], J70) &lt; 1/5, "LOW", IF(PERCENTRANK(Table3[Station Facilities Score], J70) &lt; 2/5, "MEDIUM-LOW", IF(PERCENTRANK(Table3[Station Facilities Score], J70) &lt; 3/5, "MEDIUM", IF(PERCENTRANK(Table3[Station Facilities Score], J70) &lt; 4/5, "MEDIUM-HIGH", "HIGH"))))</f>
        <v>MEDIUM</v>
      </c>
    </row>
    <row r="71" spans="1:12" x14ac:dyDescent="0.25">
      <c r="A71" s="82" t="s">
        <v>204</v>
      </c>
      <c r="B71" s="83">
        <v>77</v>
      </c>
      <c r="C71" s="88">
        <v>1</v>
      </c>
      <c r="D71" s="88">
        <v>1</v>
      </c>
      <c r="E71" s="88">
        <v>0</v>
      </c>
      <c r="F71" s="88">
        <v>1</v>
      </c>
      <c r="G71" s="88">
        <v>1</v>
      </c>
      <c r="H71" s="88">
        <v>0</v>
      </c>
      <c r="I71" s="89">
        <v>0</v>
      </c>
      <c r="J71" s="90">
        <f t="shared" si="1"/>
        <v>4</v>
      </c>
      <c r="K71" s="21" t="str">
        <f>IF(PERCENTRANK(Table3[Station Facilities Score], J71) &lt; 1/5, "1", IF(PERCENTRANK(Table3[Station Facilities Score], J71) &lt; 2/5, "2", IF(PERCENTRANK(Table3[Station Facilities Score], J71) &lt; 3/5, "3", IF(PERCENTRANK(Table3[Station Facilities Score], J71) &lt; 4/5, "4", "5"))))</f>
        <v>1</v>
      </c>
      <c r="L71" s="21" t="str">
        <f>IF(PERCENTRANK(Table3[Station Facilities Score], J71) &lt; 1/5, "LOW", IF(PERCENTRANK(Table3[Station Facilities Score], J71) &lt; 2/5, "MEDIUM-LOW", IF(PERCENTRANK(Table3[Station Facilities Score], J71) &lt; 3/5, "MEDIUM", IF(PERCENTRANK(Table3[Station Facilities Score], J71) &lt; 4/5, "MEDIUM-HIGH", "HIGH"))))</f>
        <v>LOW</v>
      </c>
    </row>
    <row r="72" spans="1:12" x14ac:dyDescent="0.25">
      <c r="A72" s="82" t="s">
        <v>208</v>
      </c>
      <c r="B72" s="83">
        <v>78</v>
      </c>
      <c r="C72" s="88">
        <v>1</v>
      </c>
      <c r="D72" s="88">
        <v>1</v>
      </c>
      <c r="E72" s="88">
        <v>1</v>
      </c>
      <c r="F72" s="88">
        <v>1</v>
      </c>
      <c r="G72" s="88">
        <v>1</v>
      </c>
      <c r="H72" s="88">
        <v>0</v>
      </c>
      <c r="I72" s="89">
        <v>1</v>
      </c>
      <c r="J72" s="90">
        <f t="shared" si="1"/>
        <v>6</v>
      </c>
      <c r="K72" s="21" t="str">
        <f>IF(PERCENTRANK(Table3[Station Facilities Score], J72) &lt; 1/5, "1", IF(PERCENTRANK(Table3[Station Facilities Score], J72) &lt; 2/5, "2", IF(PERCENTRANK(Table3[Station Facilities Score], J72) &lt; 3/5, "3", IF(PERCENTRANK(Table3[Station Facilities Score], J72) &lt; 4/5, "4", "5"))))</f>
        <v>3</v>
      </c>
      <c r="L72" s="21" t="str">
        <f>IF(PERCENTRANK(Table3[Station Facilities Score], J72) &lt; 1/5, "LOW", IF(PERCENTRANK(Table3[Station Facilities Score], J72) &lt; 2/5, "MEDIUM-LOW", IF(PERCENTRANK(Table3[Station Facilities Score], J72) &lt; 3/5, "MEDIUM", IF(PERCENTRANK(Table3[Station Facilities Score], J72) &lt; 4/5, "MEDIUM-HIGH", "HIGH"))))</f>
        <v>MEDIUM</v>
      </c>
    </row>
    <row r="73" spans="1:12" x14ac:dyDescent="0.25">
      <c r="A73" s="82" t="s">
        <v>212</v>
      </c>
      <c r="B73" s="83">
        <v>79</v>
      </c>
      <c r="C73" s="88">
        <v>1</v>
      </c>
      <c r="D73" s="88">
        <v>1</v>
      </c>
      <c r="E73" s="88">
        <v>1</v>
      </c>
      <c r="F73" s="88">
        <v>1</v>
      </c>
      <c r="G73" s="88">
        <v>1</v>
      </c>
      <c r="H73" s="88">
        <v>0</v>
      </c>
      <c r="I73" s="89">
        <v>0</v>
      </c>
      <c r="J73" s="90">
        <f t="shared" si="1"/>
        <v>5</v>
      </c>
      <c r="K73" s="21" t="str">
        <f>IF(PERCENTRANK(Table3[Station Facilities Score], J73) &lt; 1/5, "1", IF(PERCENTRANK(Table3[Station Facilities Score], J73) &lt; 2/5, "2", IF(PERCENTRANK(Table3[Station Facilities Score], J73) &lt; 3/5, "3", IF(PERCENTRANK(Table3[Station Facilities Score], J73) &lt; 4/5, "4", "5"))))</f>
        <v>2</v>
      </c>
      <c r="L73" s="21" t="str">
        <f>IF(PERCENTRANK(Table3[Station Facilities Score], J73) &lt; 1/5, "LOW", IF(PERCENTRANK(Table3[Station Facilities Score], J73) &lt; 2/5, "MEDIUM-LOW", IF(PERCENTRANK(Table3[Station Facilities Score], J73) &lt; 3/5, "MEDIUM", IF(PERCENTRANK(Table3[Station Facilities Score], J73) &lt; 4/5, "MEDIUM-HIGH", "HIGH"))))</f>
        <v>MEDIUM-LOW</v>
      </c>
    </row>
    <row r="74" spans="1:12" x14ac:dyDescent="0.25">
      <c r="A74" s="82" t="s">
        <v>214</v>
      </c>
      <c r="B74" s="83">
        <v>80</v>
      </c>
      <c r="C74" s="88">
        <v>1</v>
      </c>
      <c r="D74" s="88">
        <v>1</v>
      </c>
      <c r="E74" s="88">
        <v>0</v>
      </c>
      <c r="F74" s="88">
        <v>0</v>
      </c>
      <c r="G74" s="88">
        <v>0</v>
      </c>
      <c r="H74" s="88">
        <v>0</v>
      </c>
      <c r="I74" s="89">
        <v>0</v>
      </c>
      <c r="J74" s="90">
        <f t="shared" si="1"/>
        <v>2</v>
      </c>
      <c r="K74" s="21" t="str">
        <f>IF(PERCENTRANK(Table3[Station Facilities Score], J74) &lt; 1/5, "1", IF(PERCENTRANK(Table3[Station Facilities Score], J74) &lt; 2/5, "2", IF(PERCENTRANK(Table3[Station Facilities Score], J74) &lt; 3/5, "3", IF(PERCENTRANK(Table3[Station Facilities Score], J74) &lt; 4/5, "4", "5"))))</f>
        <v>1</v>
      </c>
      <c r="L74" s="21" t="str">
        <f>IF(PERCENTRANK(Table3[Station Facilities Score], J74) &lt; 1/5, "LOW", IF(PERCENTRANK(Table3[Station Facilities Score], J74) &lt; 2/5, "MEDIUM-LOW", IF(PERCENTRANK(Table3[Station Facilities Score], J74) &lt; 3/5, "MEDIUM", IF(PERCENTRANK(Table3[Station Facilities Score], J74) &lt; 4/5, "MEDIUM-HIGH", "HIGH"))))</f>
        <v>LOW</v>
      </c>
    </row>
    <row r="75" spans="1:12" x14ac:dyDescent="0.25">
      <c r="A75" s="82" t="s">
        <v>218</v>
      </c>
      <c r="B75" s="83">
        <v>81</v>
      </c>
      <c r="C75" s="88">
        <v>1</v>
      </c>
      <c r="D75" s="88">
        <v>1</v>
      </c>
      <c r="E75" s="88">
        <v>0</v>
      </c>
      <c r="F75" s="88">
        <v>1</v>
      </c>
      <c r="G75" s="88">
        <v>0</v>
      </c>
      <c r="H75" s="88">
        <v>0</v>
      </c>
      <c r="I75" s="89">
        <v>1</v>
      </c>
      <c r="J75" s="90">
        <f t="shared" si="1"/>
        <v>4</v>
      </c>
      <c r="K75" s="21" t="str">
        <f>IF(PERCENTRANK(Table3[Station Facilities Score], J75) &lt; 1/5, "1", IF(PERCENTRANK(Table3[Station Facilities Score], J75) &lt; 2/5, "2", IF(PERCENTRANK(Table3[Station Facilities Score], J75) &lt; 3/5, "3", IF(PERCENTRANK(Table3[Station Facilities Score], J75) &lt; 4/5, "4", "5"))))</f>
        <v>1</v>
      </c>
      <c r="L75" s="21" t="str">
        <f>IF(PERCENTRANK(Table3[Station Facilities Score], J75) &lt; 1/5, "LOW", IF(PERCENTRANK(Table3[Station Facilities Score], J75) &lt; 2/5, "MEDIUM-LOW", IF(PERCENTRANK(Table3[Station Facilities Score], J75) &lt; 3/5, "MEDIUM", IF(PERCENTRANK(Table3[Station Facilities Score], J75) &lt; 4/5, "MEDIUM-HIGH", "HIGH"))))</f>
        <v>LOW</v>
      </c>
    </row>
    <row r="76" spans="1:12" x14ac:dyDescent="0.25">
      <c r="A76" s="82" t="s">
        <v>220</v>
      </c>
      <c r="B76" s="83">
        <v>82</v>
      </c>
      <c r="C76" s="88">
        <v>1</v>
      </c>
      <c r="D76" s="88">
        <v>1</v>
      </c>
      <c r="E76" s="88">
        <v>0</v>
      </c>
      <c r="F76" s="88">
        <v>1</v>
      </c>
      <c r="G76" s="88">
        <v>1</v>
      </c>
      <c r="H76" s="88">
        <v>0</v>
      </c>
      <c r="I76" s="89">
        <v>0</v>
      </c>
      <c r="J76" s="90">
        <f t="shared" si="1"/>
        <v>4</v>
      </c>
      <c r="K76" s="21" t="str">
        <f>IF(PERCENTRANK(Table3[Station Facilities Score], J76) &lt; 1/5, "1", IF(PERCENTRANK(Table3[Station Facilities Score], J76) &lt; 2/5, "2", IF(PERCENTRANK(Table3[Station Facilities Score], J76) &lt; 3/5, "3", IF(PERCENTRANK(Table3[Station Facilities Score], J76) &lt; 4/5, "4", "5"))))</f>
        <v>1</v>
      </c>
      <c r="L76" s="21" t="str">
        <f>IF(PERCENTRANK(Table3[Station Facilities Score], J76) &lt; 1/5, "LOW", IF(PERCENTRANK(Table3[Station Facilities Score], J76) &lt; 2/5, "MEDIUM-LOW", IF(PERCENTRANK(Table3[Station Facilities Score], J76) &lt; 3/5, "MEDIUM", IF(PERCENTRANK(Table3[Station Facilities Score], J76) &lt; 4/5, "MEDIUM-HIGH", "HIGH"))))</f>
        <v>LOW</v>
      </c>
    </row>
    <row r="77" spans="1:12" x14ac:dyDescent="0.25">
      <c r="A77" s="82" t="s">
        <v>222</v>
      </c>
      <c r="B77" s="83">
        <v>83</v>
      </c>
      <c r="C77" s="88">
        <v>0</v>
      </c>
      <c r="D77" s="88">
        <v>0</v>
      </c>
      <c r="E77" s="88">
        <v>1</v>
      </c>
      <c r="F77" s="88">
        <v>1</v>
      </c>
      <c r="G77" s="88">
        <v>1</v>
      </c>
      <c r="H77" s="88">
        <v>0</v>
      </c>
      <c r="I77" s="89">
        <v>1</v>
      </c>
      <c r="J77" s="90">
        <f t="shared" si="1"/>
        <v>4</v>
      </c>
      <c r="K77" s="21" t="str">
        <f>IF(PERCENTRANK(Table3[Station Facilities Score], J77) &lt; 1/5, "1", IF(PERCENTRANK(Table3[Station Facilities Score], J77) &lt; 2/5, "2", IF(PERCENTRANK(Table3[Station Facilities Score], J77) &lt; 3/5, "3", IF(PERCENTRANK(Table3[Station Facilities Score], J77) &lt; 4/5, "4", "5"))))</f>
        <v>1</v>
      </c>
      <c r="L77" s="21" t="str">
        <f>IF(PERCENTRANK(Table3[Station Facilities Score], J77) &lt; 1/5, "LOW", IF(PERCENTRANK(Table3[Station Facilities Score], J77) &lt; 2/5, "MEDIUM-LOW", IF(PERCENTRANK(Table3[Station Facilities Score], J77) &lt; 3/5, "MEDIUM", IF(PERCENTRANK(Table3[Station Facilities Score], J77) &lt; 4/5, "MEDIUM-HIGH", "HIGH"))))</f>
        <v>LOW</v>
      </c>
    </row>
    <row r="78" spans="1:12" x14ac:dyDescent="0.25">
      <c r="A78" s="82" t="s">
        <v>224</v>
      </c>
      <c r="B78" s="83">
        <v>84</v>
      </c>
      <c r="C78" s="88">
        <v>1</v>
      </c>
      <c r="D78" s="88">
        <v>1</v>
      </c>
      <c r="E78" s="88">
        <v>0</v>
      </c>
      <c r="F78" s="88">
        <v>1</v>
      </c>
      <c r="G78" s="88">
        <v>1</v>
      </c>
      <c r="H78" s="88">
        <v>0</v>
      </c>
      <c r="I78" s="89">
        <v>0</v>
      </c>
      <c r="J78" s="90">
        <f t="shared" si="1"/>
        <v>4</v>
      </c>
      <c r="K78" s="21" t="str">
        <f>IF(PERCENTRANK(Table3[Station Facilities Score], J78) &lt; 1/5, "1", IF(PERCENTRANK(Table3[Station Facilities Score], J78) &lt; 2/5, "2", IF(PERCENTRANK(Table3[Station Facilities Score], J78) &lt; 3/5, "3", IF(PERCENTRANK(Table3[Station Facilities Score], J78) &lt; 4/5, "4", "5"))))</f>
        <v>1</v>
      </c>
      <c r="L78" s="21" t="str">
        <f>IF(PERCENTRANK(Table3[Station Facilities Score], J78) &lt; 1/5, "LOW", IF(PERCENTRANK(Table3[Station Facilities Score], J78) &lt; 2/5, "MEDIUM-LOW", IF(PERCENTRANK(Table3[Station Facilities Score], J78) &lt; 3/5, "MEDIUM", IF(PERCENTRANK(Table3[Station Facilities Score], J78) &lt; 4/5, "MEDIUM-HIGH", "HIGH"))))</f>
        <v>LOW</v>
      </c>
    </row>
    <row r="79" spans="1:12" x14ac:dyDescent="0.25">
      <c r="A79" s="82" t="s">
        <v>227</v>
      </c>
      <c r="B79" s="83">
        <v>85</v>
      </c>
      <c r="C79" s="88">
        <v>1</v>
      </c>
      <c r="D79" s="88">
        <v>0</v>
      </c>
      <c r="E79" s="88">
        <v>1</v>
      </c>
      <c r="F79" s="88">
        <v>1</v>
      </c>
      <c r="G79" s="88">
        <v>1</v>
      </c>
      <c r="H79" s="88">
        <v>1</v>
      </c>
      <c r="I79" s="89">
        <v>0</v>
      </c>
      <c r="J79" s="90">
        <f t="shared" si="1"/>
        <v>5</v>
      </c>
      <c r="K79" s="21" t="str">
        <f>IF(PERCENTRANK(Table3[Station Facilities Score], J79) &lt; 1/5, "1", IF(PERCENTRANK(Table3[Station Facilities Score], J79) &lt; 2/5, "2", IF(PERCENTRANK(Table3[Station Facilities Score], J79) &lt; 3/5, "3", IF(PERCENTRANK(Table3[Station Facilities Score], J79) &lt; 4/5, "4", "5"))))</f>
        <v>2</v>
      </c>
      <c r="L79" s="21" t="str">
        <f>IF(PERCENTRANK(Table3[Station Facilities Score], J79) &lt; 1/5, "LOW", IF(PERCENTRANK(Table3[Station Facilities Score], J79) &lt; 2/5, "MEDIUM-LOW", IF(PERCENTRANK(Table3[Station Facilities Score], J79) &lt; 3/5, "MEDIUM", IF(PERCENTRANK(Table3[Station Facilities Score], J79) &lt; 4/5, "MEDIUM-HIGH", "HIGH"))))</f>
        <v>MEDIUM-LOW</v>
      </c>
    </row>
    <row r="80" spans="1:12" x14ac:dyDescent="0.25">
      <c r="A80" s="82" t="s">
        <v>229</v>
      </c>
      <c r="B80" s="83">
        <v>86</v>
      </c>
      <c r="C80" s="88">
        <v>1</v>
      </c>
      <c r="D80" s="88">
        <v>1</v>
      </c>
      <c r="E80" s="88">
        <v>0</v>
      </c>
      <c r="F80" s="88">
        <v>1</v>
      </c>
      <c r="G80" s="88">
        <v>1</v>
      </c>
      <c r="H80" s="88">
        <v>0</v>
      </c>
      <c r="I80" s="89">
        <v>0</v>
      </c>
      <c r="J80" s="90">
        <f t="shared" si="1"/>
        <v>4</v>
      </c>
      <c r="K80" s="21" t="str">
        <f>IF(PERCENTRANK(Table3[Station Facilities Score], J80) &lt; 1/5, "1", IF(PERCENTRANK(Table3[Station Facilities Score], J80) &lt; 2/5, "2", IF(PERCENTRANK(Table3[Station Facilities Score], J80) &lt; 3/5, "3", IF(PERCENTRANK(Table3[Station Facilities Score], J80) &lt; 4/5, "4", "5"))))</f>
        <v>1</v>
      </c>
      <c r="L80" s="21" t="str">
        <f>IF(PERCENTRANK(Table3[Station Facilities Score], J80) &lt; 1/5, "LOW", IF(PERCENTRANK(Table3[Station Facilities Score], J80) &lt; 2/5, "MEDIUM-LOW", IF(PERCENTRANK(Table3[Station Facilities Score], J80) &lt; 3/5, "MEDIUM", IF(PERCENTRANK(Table3[Station Facilities Score], J80) &lt; 4/5, "MEDIUM-HIGH", "HIGH"))))</f>
        <v>LOW</v>
      </c>
    </row>
    <row r="81" spans="1:12" x14ac:dyDescent="0.25">
      <c r="A81" s="82" t="s">
        <v>231</v>
      </c>
      <c r="B81" s="83">
        <v>87</v>
      </c>
      <c r="C81" s="88">
        <v>1</v>
      </c>
      <c r="D81" s="88">
        <v>0</v>
      </c>
      <c r="E81" s="88">
        <v>1</v>
      </c>
      <c r="F81" s="88">
        <v>1</v>
      </c>
      <c r="G81" s="88">
        <v>1</v>
      </c>
      <c r="H81" s="88">
        <v>0</v>
      </c>
      <c r="I81" s="89">
        <v>0</v>
      </c>
      <c r="J81" s="90">
        <f t="shared" si="1"/>
        <v>4</v>
      </c>
      <c r="K81" s="21" t="str">
        <f>IF(PERCENTRANK(Table3[Station Facilities Score], J81) &lt; 1/5, "1", IF(PERCENTRANK(Table3[Station Facilities Score], J81) &lt; 2/5, "2", IF(PERCENTRANK(Table3[Station Facilities Score], J81) &lt; 3/5, "3", IF(PERCENTRANK(Table3[Station Facilities Score], J81) &lt; 4/5, "4", "5"))))</f>
        <v>1</v>
      </c>
      <c r="L81" s="21" t="str">
        <f>IF(PERCENTRANK(Table3[Station Facilities Score], J81) &lt; 1/5, "LOW", IF(PERCENTRANK(Table3[Station Facilities Score], J81) &lt; 2/5, "MEDIUM-LOW", IF(PERCENTRANK(Table3[Station Facilities Score], J81) &lt; 3/5, "MEDIUM", IF(PERCENTRANK(Table3[Station Facilities Score], J81) &lt; 4/5, "MEDIUM-HIGH", "HIGH"))))</f>
        <v>LOW</v>
      </c>
    </row>
    <row r="82" spans="1:12" x14ac:dyDescent="0.25">
      <c r="A82" s="82" t="s">
        <v>234</v>
      </c>
      <c r="B82" s="83">
        <v>88</v>
      </c>
      <c r="C82" s="88">
        <v>1</v>
      </c>
      <c r="D82" s="88">
        <v>1</v>
      </c>
      <c r="E82" s="88">
        <v>0</v>
      </c>
      <c r="F82" s="88">
        <v>1</v>
      </c>
      <c r="G82" s="88">
        <v>1</v>
      </c>
      <c r="H82" s="88">
        <v>0</v>
      </c>
      <c r="I82" s="89">
        <v>0</v>
      </c>
      <c r="J82" s="90">
        <f t="shared" si="1"/>
        <v>4</v>
      </c>
      <c r="K82" s="21" t="str">
        <f>IF(PERCENTRANK(Table3[Station Facilities Score], J82) &lt; 1/5, "1", IF(PERCENTRANK(Table3[Station Facilities Score], J82) &lt; 2/5, "2", IF(PERCENTRANK(Table3[Station Facilities Score], J82) &lt; 3/5, "3", IF(PERCENTRANK(Table3[Station Facilities Score], J82) &lt; 4/5, "4", "5"))))</f>
        <v>1</v>
      </c>
      <c r="L82" s="21" t="str">
        <f>IF(PERCENTRANK(Table3[Station Facilities Score], J82) &lt; 1/5, "LOW", IF(PERCENTRANK(Table3[Station Facilities Score], J82) &lt; 2/5, "MEDIUM-LOW", IF(PERCENTRANK(Table3[Station Facilities Score], J82) &lt; 3/5, "MEDIUM", IF(PERCENTRANK(Table3[Station Facilities Score], J82) &lt; 4/5, "MEDIUM-HIGH", "HIGH"))))</f>
        <v>LOW</v>
      </c>
    </row>
    <row r="83" spans="1:12" x14ac:dyDescent="0.25">
      <c r="A83" s="82" t="s">
        <v>236</v>
      </c>
      <c r="B83" s="83">
        <v>89</v>
      </c>
      <c r="C83" s="88">
        <v>1</v>
      </c>
      <c r="D83" s="88">
        <v>1</v>
      </c>
      <c r="E83" s="88">
        <v>1</v>
      </c>
      <c r="F83" s="88">
        <v>1</v>
      </c>
      <c r="G83" s="88">
        <v>1</v>
      </c>
      <c r="H83" s="88">
        <v>1</v>
      </c>
      <c r="I83" s="89">
        <v>0</v>
      </c>
      <c r="J83" s="90">
        <f t="shared" si="1"/>
        <v>6</v>
      </c>
      <c r="K83" s="21" t="str">
        <f>IF(PERCENTRANK(Table3[Station Facilities Score], J83) &lt; 1/5, "1", IF(PERCENTRANK(Table3[Station Facilities Score], J83) &lt; 2/5, "2", IF(PERCENTRANK(Table3[Station Facilities Score], J83) &lt; 3/5, "3", IF(PERCENTRANK(Table3[Station Facilities Score], J83) &lt; 4/5, "4", "5"))))</f>
        <v>3</v>
      </c>
      <c r="L83" s="21" t="str">
        <f>IF(PERCENTRANK(Table3[Station Facilities Score], J83) &lt; 1/5, "LOW", IF(PERCENTRANK(Table3[Station Facilities Score], J83) &lt; 2/5, "MEDIUM-LOW", IF(PERCENTRANK(Table3[Station Facilities Score], J83) &lt; 3/5, "MEDIUM", IF(PERCENTRANK(Table3[Station Facilities Score], J83) &lt; 4/5, "MEDIUM-HIGH", "HIGH"))))</f>
        <v>MEDIUM</v>
      </c>
    </row>
    <row r="84" spans="1:12" x14ac:dyDescent="0.25">
      <c r="A84" s="82" t="s">
        <v>238</v>
      </c>
      <c r="B84" s="83">
        <v>90</v>
      </c>
      <c r="C84" s="88">
        <v>1</v>
      </c>
      <c r="D84" s="88">
        <v>1</v>
      </c>
      <c r="E84" s="88">
        <v>1</v>
      </c>
      <c r="F84" s="88">
        <v>1</v>
      </c>
      <c r="G84" s="88">
        <v>0</v>
      </c>
      <c r="H84" s="88">
        <v>0</v>
      </c>
      <c r="I84" s="89">
        <v>0</v>
      </c>
      <c r="J84" s="90">
        <f t="shared" si="1"/>
        <v>4</v>
      </c>
      <c r="K84" s="21" t="str">
        <f>IF(PERCENTRANK(Table3[Station Facilities Score], J84) &lt; 1/5, "1", IF(PERCENTRANK(Table3[Station Facilities Score], J84) &lt; 2/5, "2", IF(PERCENTRANK(Table3[Station Facilities Score], J84) &lt; 3/5, "3", IF(PERCENTRANK(Table3[Station Facilities Score], J84) &lt; 4/5, "4", "5"))))</f>
        <v>1</v>
      </c>
      <c r="L84" s="21" t="str">
        <f>IF(PERCENTRANK(Table3[Station Facilities Score], J84) &lt; 1/5, "LOW", IF(PERCENTRANK(Table3[Station Facilities Score], J84) &lt; 2/5, "MEDIUM-LOW", IF(PERCENTRANK(Table3[Station Facilities Score], J84) &lt; 3/5, "MEDIUM", IF(PERCENTRANK(Table3[Station Facilities Score], J84) &lt; 4/5, "MEDIUM-HIGH", "HIGH"))))</f>
        <v>LOW</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
  <sheetViews>
    <sheetView workbookViewId="0">
      <pane xSplit="1" ySplit="1" topLeftCell="M58" activePane="bottomRight" state="frozen"/>
      <selection pane="topRight" activeCell="B1" sqref="B1"/>
      <selection pane="bottomLeft" activeCell="A4" sqref="A4"/>
      <selection pane="bottomRight" activeCell="U2" sqref="U2:U84"/>
    </sheetView>
  </sheetViews>
  <sheetFormatPr defaultRowHeight="15" x14ac:dyDescent="0.25"/>
  <cols>
    <col min="1" max="1" width="30.140625" style="21" bestFit="1" customWidth="1"/>
    <col min="2" max="2" width="11.7109375" style="21" customWidth="1"/>
    <col min="3" max="3" width="20.7109375" customWidth="1"/>
    <col min="4" max="4" width="24.28515625" customWidth="1"/>
    <col min="5" max="5" width="22" customWidth="1"/>
    <col min="6" max="6" width="22.140625" customWidth="1"/>
    <col min="7" max="7" width="20.5703125" customWidth="1"/>
    <col min="8" max="8" width="19.28515625" customWidth="1"/>
    <col min="9" max="9" width="17.5703125" customWidth="1"/>
    <col min="10" max="10" width="20.7109375" customWidth="1"/>
    <col min="11" max="11" width="29.42578125" customWidth="1"/>
    <col min="12" max="12" width="24.28515625" customWidth="1"/>
    <col min="13" max="13" width="14.28515625" customWidth="1"/>
    <col min="14" max="15" width="23.140625" customWidth="1"/>
    <col min="16" max="16" width="25.5703125" customWidth="1"/>
    <col min="17" max="17" width="9.5703125" customWidth="1"/>
    <col min="18" max="18" width="13.42578125" customWidth="1"/>
    <col min="19" max="19" width="11.42578125" customWidth="1"/>
    <col min="20" max="20" width="15" customWidth="1"/>
    <col min="21" max="21" width="10.42578125" customWidth="1"/>
    <col min="22" max="22" width="21.140625" customWidth="1"/>
    <col min="24" max="24" width="25.85546875" bestFit="1" customWidth="1"/>
  </cols>
  <sheetData>
    <row r="1" spans="1:24" ht="60" x14ac:dyDescent="0.25">
      <c r="A1" s="78" t="s">
        <v>9</v>
      </c>
      <c r="B1" s="78" t="s">
        <v>10</v>
      </c>
      <c r="C1" s="91" t="s">
        <v>385</v>
      </c>
      <c r="D1" s="91" t="s">
        <v>386</v>
      </c>
      <c r="E1" s="91" t="s">
        <v>387</v>
      </c>
      <c r="F1" s="66" t="s">
        <v>334</v>
      </c>
      <c r="G1" s="70" t="s">
        <v>381</v>
      </c>
      <c r="H1" s="66" t="s">
        <v>335</v>
      </c>
      <c r="I1" s="70" t="s">
        <v>382</v>
      </c>
      <c r="J1" s="66" t="s">
        <v>307</v>
      </c>
      <c r="K1" s="66" t="s">
        <v>308</v>
      </c>
      <c r="L1" s="66" t="s">
        <v>384</v>
      </c>
      <c r="M1" s="70" t="s">
        <v>383</v>
      </c>
      <c r="N1" s="80" t="s">
        <v>310</v>
      </c>
      <c r="O1" s="80" t="s">
        <v>336</v>
      </c>
      <c r="P1" s="80" t="s">
        <v>380</v>
      </c>
      <c r="Q1" s="70" t="s">
        <v>379</v>
      </c>
      <c r="R1" s="66" t="s">
        <v>270</v>
      </c>
      <c r="S1" s="66" t="s">
        <v>271</v>
      </c>
      <c r="T1" s="92" t="s">
        <v>18</v>
      </c>
      <c r="U1" s="70" t="s">
        <v>426</v>
      </c>
      <c r="V1" s="70" t="s">
        <v>427</v>
      </c>
    </row>
    <row r="2" spans="1:24" x14ac:dyDescent="0.25">
      <c r="A2" s="82" t="s">
        <v>110</v>
      </c>
      <c r="B2" s="83">
        <v>2</v>
      </c>
      <c r="C2" s="83"/>
      <c r="D2" s="83"/>
      <c r="E2" s="83"/>
      <c r="F2" s="67">
        <v>0</v>
      </c>
      <c r="G2" s="67" t="str">
        <f>IF(PERCENTRANK(Table1[Parking Spots Regular], F2) &lt; 1/5, "1", IF(PERCENTRANK(Table1[Parking Spots Regular], F2) &lt; 2/5, "2", IF(PERCENTRANK(Table1[Parking Spots Regular], F2) &lt; 3/5, "3", IF(PERCENTRANK(Table1[Parking Spots Regular], F2) &lt; 4/5, "4", "5"))))</f>
        <v>1</v>
      </c>
      <c r="H2" s="67">
        <v>0</v>
      </c>
      <c r="I2" s="67" t="str">
        <f>IF(PERCENTRANK(Table1[Parking Spots ADA], H2) &lt; 1/5, "1", IF(PERCENTRANK(Table1[Parking Spots ADA], H2) &lt; 2/5, "2", IF(PERCENTRANK(Table1[Parking Spots ADA], H2) &lt; 3/5, "3", IF(PERCENTRANK(Table1[Parking Spots ADA], H2) &lt; 4/5, "4", "5"))))</f>
        <v>1</v>
      </c>
      <c r="J2" s="67">
        <v>0</v>
      </c>
      <c r="K2" s="67">
        <v>0</v>
      </c>
      <c r="L2" s="67">
        <f t="shared" ref="L2:L33" si="0">J2+K2</f>
        <v>0</v>
      </c>
      <c r="M2" s="67" t="str">
        <f>IF(PERCENTRANK(Table1[EVC Stations + Occupied], L2) &lt; 1/5, "1", IF(PERCENTRANK(Table1[EVC Stations + Occupied], L2) &lt; 2/5, "2", IF(PERCENTRANK(Table1[EVC Stations + Occupied], L2) &lt; 3/5, "3", IF(PERCENTRANK(Table1[EVC Stations + Occupied], L2) &lt; 4/5, "4", "5"))))</f>
        <v>1</v>
      </c>
      <c r="N2" s="67"/>
      <c r="O2" s="73"/>
      <c r="P2" s="73"/>
      <c r="Q2" s="73"/>
      <c r="R2" s="67">
        <v>1</v>
      </c>
      <c r="S2" s="88">
        <v>1</v>
      </c>
      <c r="T2" s="21">
        <f>Table1[[#This Row],[Lighting]]+Table1[[#This Row],[Parking Fee]]+Table1[[#This Row],[Utilization from 50% score]]+Table1[[#This Row],[EVC Score]]+Table1[[#This Row],[ADA Spots Score]]+Table1[[#This Row],[Parking Spots Score]]</f>
        <v>5</v>
      </c>
      <c r="U2" s="73" t="str">
        <f>IF(PERCENTRANK(Table1[Parking Score], T2) &lt; 1/5, "1", IF(PERCENTRANK(Table1[Parking Score], T2) &lt; 2/5, "2", IF(PERCENTRANK(Table1[Parking Score], T2) &lt; 3/5, "3", IF(PERCENTRANK(Table1[Parking Score], T2) &lt; 4/5, "4", "5"))))</f>
        <v>2</v>
      </c>
      <c r="V2" s="21" t="str">
        <f>IF(PERCENTRANK(Table1[Parking Score], T2) &lt; 1/5, "LOW", IF(PERCENTRANK(Table1[Parking Score], T2) &lt; 2/5, "MEDIUM-LOW", IF(PERCENTRANK(Table1[Parking Score], T2) &lt; 3/5, "MEDIUM", IF(PERCENTRANK(Table1[Parking Score], T2) &lt; 4/5, "MEDIUM-HIGH", "HIGH"))))</f>
        <v>MEDIUM-LOW</v>
      </c>
    </row>
    <row r="3" spans="1:24" x14ac:dyDescent="0.25">
      <c r="A3" s="82" t="s">
        <v>266</v>
      </c>
      <c r="B3" s="83">
        <v>3</v>
      </c>
      <c r="C3" s="83"/>
      <c r="D3" s="83"/>
      <c r="E3" s="83"/>
      <c r="F3" s="67">
        <v>28</v>
      </c>
      <c r="G3" s="67" t="str">
        <f>IF(PERCENTRANK(Table1[Parking Spots Regular], F3) &lt; 1/5, "1", IF(PERCENTRANK(Table1[Parking Spots Regular], F3) &lt; 2/5, "2", IF(PERCENTRANK(Table1[Parking Spots Regular], F3) &lt; 3/5, "3", IF(PERCENTRANK(Table1[Parking Spots Regular], F3) &lt; 4/5, "4", "5"))))</f>
        <v>3</v>
      </c>
      <c r="H3" s="67">
        <v>0</v>
      </c>
      <c r="I3" s="67" t="str">
        <f>IF(PERCENTRANK(Table1[Parking Spots ADA], H3) &lt; 1/5, "1", IF(PERCENTRANK(Table1[Parking Spots ADA], H3) &lt; 2/5, "2", IF(PERCENTRANK(Table1[Parking Spots ADA], H3) &lt; 3/5, "3", IF(PERCENTRANK(Table1[Parking Spots ADA], H3) &lt; 4/5, "4", "5"))))</f>
        <v>1</v>
      </c>
      <c r="J3" s="67">
        <v>0</v>
      </c>
      <c r="K3" s="67">
        <v>0</v>
      </c>
      <c r="L3" s="67">
        <f t="shared" si="0"/>
        <v>0</v>
      </c>
      <c r="M3" s="67" t="str">
        <f>IF(PERCENTRANK(Table1[EVC Stations + Occupied], L3) &lt; 1/5, "1", IF(PERCENTRANK(Table1[EVC Stations + Occupied], L3) &lt; 2/5, "2", IF(PERCENTRANK(Table1[EVC Stations + Occupied], L3) &lt; 3/5, "3", IF(PERCENTRANK(Table1[EVC Stations + Occupied], L3) &lt; 4/5, "4", "5"))))</f>
        <v>1</v>
      </c>
      <c r="N3" s="67"/>
      <c r="O3" s="73">
        <f>N3/(F3+H3)</f>
        <v>0</v>
      </c>
      <c r="P3" s="73">
        <f t="shared" ref="P3:P10" si="1">ABS(O3-$X$8)</f>
        <v>0.5</v>
      </c>
      <c r="Q3" s="73" t="str">
        <f>IF(PERCENTRANK(Table1[Utilization Rate from 50%], P3) &lt; 1/5, "5", IF(PERCENTRANK(Table1[Utilization Rate from 50%], P3) &lt; 2/5, "4", IF(PERCENTRANK(Table1[Utilization Rate from 50%], P3) &lt; 3/5, "3", IF(PERCENTRANK(Table1[Utilization Rate from 50%], P3) &lt; 4/5, "2", "1"))))</f>
        <v>1</v>
      </c>
      <c r="R3" s="67">
        <v>1</v>
      </c>
      <c r="S3" s="88">
        <v>1</v>
      </c>
      <c r="T3" s="21">
        <f>Table1[[#This Row],[Lighting]]+Table1[[#This Row],[Parking Fee]]+Table1[[#This Row],[Utilization from 50% score]]+Table1[[#This Row],[EVC Score]]+Table1[[#This Row],[ADA Spots Score]]+Table1[[#This Row],[Parking Spots Score]]</f>
        <v>8</v>
      </c>
      <c r="U3" s="93" t="str">
        <f>IF(PERCENTRANK(Table1[Parking Score], T3) &lt; 1/5, "1", IF(PERCENTRANK(Table1[Parking Score], T3) &lt; 2/5, "2", IF(PERCENTRANK(Table1[Parking Score], T3) &lt; 3/5, "3", IF(PERCENTRANK(Table1[Parking Score], T3) &lt; 4/5, "4", "5"))))</f>
        <v>3</v>
      </c>
      <c r="V3" s="21" t="str">
        <f>IF(PERCENTRANK(Table1[Parking Score], T3) &lt; 1/5, "LOW", IF(PERCENTRANK(Table1[Parking Score], T3) &lt; 2/5, "MEDIUM-LOW", IF(PERCENTRANK(Table1[Parking Score], T3) &lt; 3/5, "MEDIUM", IF(PERCENTRANK(Table1[Parking Score], T3) &lt; 4/5, "MEDIUM-HIGH", "HIGH"))))</f>
        <v>MEDIUM</v>
      </c>
    </row>
    <row r="4" spans="1:24" x14ac:dyDescent="0.25">
      <c r="A4" s="83" t="s">
        <v>32</v>
      </c>
      <c r="B4" s="83">
        <v>4</v>
      </c>
      <c r="C4" s="83"/>
      <c r="D4" s="83"/>
      <c r="E4" s="83"/>
      <c r="F4" s="67">
        <v>2883</v>
      </c>
      <c r="G4" s="67" t="str">
        <f>IF(PERCENTRANK(Table1[Parking Spots Regular], F4) &lt; 1/5, "1", IF(PERCENTRANK(Table1[Parking Spots Regular], F4) &lt; 2/5, "2", IF(PERCENTRANK(Table1[Parking Spots Regular], F4) &lt; 3/5, "3", IF(PERCENTRANK(Table1[Parking Spots Regular], F4) &lt; 4/5, "4", "5"))))</f>
        <v>5</v>
      </c>
      <c r="H4" s="67">
        <v>95</v>
      </c>
      <c r="I4" s="67" t="str">
        <f>IF(PERCENTRANK(Table1[Parking Spots ADA], H4) &lt; 1/5, "1", IF(PERCENTRANK(Table1[Parking Spots ADA], H4) &lt; 2/5, "2", IF(PERCENTRANK(Table1[Parking Spots ADA], H4) &lt; 3/5, "3", IF(PERCENTRANK(Table1[Parking Spots ADA], H4) &lt; 4/5, "4", "5"))))</f>
        <v>5</v>
      </c>
      <c r="J4" s="67">
        <v>0</v>
      </c>
      <c r="K4" s="67">
        <v>0</v>
      </c>
      <c r="L4" s="67">
        <f t="shared" si="0"/>
        <v>0</v>
      </c>
      <c r="M4" s="67" t="str">
        <f>IF(PERCENTRANK(Table1[EVC Stations + Occupied], L4) &lt; 1/5, "1", IF(PERCENTRANK(Table1[EVC Stations + Occupied], L4) &lt; 2/5, "2", IF(PERCENTRANK(Table1[EVC Stations + Occupied], L4) &lt; 3/5, "3", IF(PERCENTRANK(Table1[EVC Stations + Occupied], L4) &lt; 4/5, "4", "5"))))</f>
        <v>1</v>
      </c>
      <c r="N4" s="67">
        <v>381.33333333333331</v>
      </c>
      <c r="O4" s="73">
        <f>N4/(F4+H4)</f>
        <v>0.12805014551152899</v>
      </c>
      <c r="P4" s="73">
        <f t="shared" si="1"/>
        <v>0.37194985448847101</v>
      </c>
      <c r="Q4" s="73" t="str">
        <f>IF(PERCENTRANK(Table1[Utilization Rate from 50%], P4) &lt; 1/5, "5", IF(PERCENTRANK(Table1[Utilization Rate from 50%], P4) &lt; 2/5, "4", IF(PERCENTRANK(Table1[Utilization Rate from 50%], P4) &lt; 3/5, "3", IF(PERCENTRANK(Table1[Utilization Rate from 50%], P4) &lt; 4/5, "2", "1"))))</f>
        <v>2</v>
      </c>
      <c r="R4" s="67">
        <v>0</v>
      </c>
      <c r="S4" s="88">
        <v>1</v>
      </c>
      <c r="T4" s="21">
        <f>Table1[[#This Row],[Lighting]]+Table1[[#This Row],[Parking Fee]]+Table1[[#This Row],[Utilization from 50% score]]+Table1[[#This Row],[EVC Score]]+Table1[[#This Row],[ADA Spots Score]]+Table1[[#This Row],[Parking Spots Score]]</f>
        <v>14</v>
      </c>
      <c r="U4" s="93" t="str">
        <f>IF(PERCENTRANK(Table1[Parking Score], T4) &lt; 1/5, "1", IF(PERCENTRANK(Table1[Parking Score], T4) &lt; 2/5, "2", IF(PERCENTRANK(Table1[Parking Score], T4) &lt; 3/5, "3", IF(PERCENTRANK(Table1[Parking Score], T4) &lt; 4/5, "4", "5"))))</f>
        <v>4</v>
      </c>
      <c r="V4" s="21" t="str">
        <f>IF(PERCENTRANK(Table1[Parking Score], T4) &lt; 1/5, "LOW", IF(PERCENTRANK(Table1[Parking Score], T4) &lt; 2/5, "MEDIUM-LOW", IF(PERCENTRANK(Table1[Parking Score], T4) &lt; 3/5, "MEDIUM", IF(PERCENTRANK(Table1[Parking Score], T4) &lt; 4/5, "MEDIUM-HIGH", "HIGH"))))</f>
        <v>MEDIUM-HIGH</v>
      </c>
    </row>
    <row r="5" spans="1:24" x14ac:dyDescent="0.25">
      <c r="A5" s="83" t="s">
        <v>41</v>
      </c>
      <c r="B5" s="83">
        <v>5</v>
      </c>
      <c r="C5" s="83"/>
      <c r="D5" s="83"/>
      <c r="E5" s="83"/>
      <c r="F5" s="67">
        <v>540</v>
      </c>
      <c r="G5" s="67" t="str">
        <f>IF(PERCENTRANK(Table1[Parking Spots Regular], F5) &lt; 1/5, "1", IF(PERCENTRANK(Table1[Parking Spots Regular], F5) &lt; 2/5, "2", IF(PERCENTRANK(Table1[Parking Spots Regular], F5) &lt; 3/5, "3", IF(PERCENTRANK(Table1[Parking Spots Regular], F5) &lt; 4/5, "4", "5"))))</f>
        <v>5</v>
      </c>
      <c r="H5" s="67">
        <v>25</v>
      </c>
      <c r="I5" s="67" t="str">
        <f>IF(PERCENTRANK(Table1[Parking Spots ADA], H5) &lt; 1/5, "1", IF(PERCENTRANK(Table1[Parking Spots ADA], H5) &lt; 2/5, "2", IF(PERCENTRANK(Table1[Parking Spots ADA], H5) &lt; 3/5, "3", IF(PERCENTRANK(Table1[Parking Spots ADA], H5) &lt; 4/5, "4", "5"))))</f>
        <v>5</v>
      </c>
      <c r="J5" s="67">
        <v>0</v>
      </c>
      <c r="K5" s="67">
        <v>0</v>
      </c>
      <c r="L5" s="67">
        <f t="shared" si="0"/>
        <v>0</v>
      </c>
      <c r="M5" s="67" t="str">
        <f>IF(PERCENTRANK(Table1[EVC Stations + Occupied], L5) &lt; 1/5, "1", IF(PERCENTRANK(Table1[EVC Stations + Occupied], L5) &lt; 2/5, "2", IF(PERCENTRANK(Table1[EVC Stations + Occupied], L5) &lt; 3/5, "3", IF(PERCENTRANK(Table1[EVC Stations + Occupied], L5) &lt; 4/5, "4", "5"))))</f>
        <v>1</v>
      </c>
      <c r="N5" s="67">
        <v>362.33333333333331</v>
      </c>
      <c r="O5" s="73">
        <f t="shared" ref="O5:O68" si="2">N5/(F5+H5)</f>
        <v>0.64129793510324484</v>
      </c>
      <c r="P5" s="73">
        <f t="shared" si="1"/>
        <v>0.14129793510324484</v>
      </c>
      <c r="Q5" s="73" t="str">
        <f>IF(PERCENTRANK(Table1[Utilization Rate from 50%], P5) &lt; 1/5, "5", IF(PERCENTRANK(Table1[Utilization Rate from 50%], P5) &lt; 2/5, "4", IF(PERCENTRANK(Table1[Utilization Rate from 50%], P5) &lt; 3/5, "3", IF(PERCENTRANK(Table1[Utilization Rate from 50%], P5) &lt; 4/5, "2", "1"))))</f>
        <v>5</v>
      </c>
      <c r="R5" s="67">
        <v>0</v>
      </c>
      <c r="S5" s="88">
        <v>1</v>
      </c>
      <c r="T5" s="21">
        <f>Table1[[#This Row],[Lighting]]+Table1[[#This Row],[Parking Fee]]+Table1[[#This Row],[Utilization from 50% score]]+Table1[[#This Row],[EVC Score]]+Table1[[#This Row],[ADA Spots Score]]+Table1[[#This Row],[Parking Spots Score]]</f>
        <v>17</v>
      </c>
      <c r="U5" s="93" t="str">
        <f>IF(PERCENTRANK(Table1[Parking Score], T5) &lt; 1/5, "1", IF(PERCENTRANK(Table1[Parking Score], T5) &lt; 2/5, "2", IF(PERCENTRANK(Table1[Parking Score], T5) &lt; 3/5, "3", IF(PERCENTRANK(Table1[Parking Score], T5) &lt; 4/5, "4", "5"))))</f>
        <v>5</v>
      </c>
      <c r="V5" s="21" t="str">
        <f>IF(PERCENTRANK(Table1[Parking Score], T5) &lt; 1/5, "LOW", IF(PERCENTRANK(Table1[Parking Score], T5) &lt; 2/5, "MEDIUM-LOW", IF(PERCENTRANK(Table1[Parking Score], T5) &lt; 3/5, "MEDIUM", IF(PERCENTRANK(Table1[Parking Score], T5) &lt; 4/5, "MEDIUM-HIGH", "HIGH"))))</f>
        <v>HIGH</v>
      </c>
    </row>
    <row r="6" spans="1:24" x14ac:dyDescent="0.25">
      <c r="A6" s="83" t="s">
        <v>44</v>
      </c>
      <c r="B6" s="83">
        <v>6</v>
      </c>
      <c r="C6" s="83"/>
      <c r="D6" s="83"/>
      <c r="E6" s="83"/>
      <c r="F6" s="67">
        <v>1000</v>
      </c>
      <c r="G6" s="67" t="str">
        <f>IF(PERCENTRANK(Table1[Parking Spots Regular], F6) &lt; 1/5, "1", IF(PERCENTRANK(Table1[Parking Spots Regular], F6) &lt; 2/5, "2", IF(PERCENTRANK(Table1[Parking Spots Regular], F6) &lt; 3/5, "3", IF(PERCENTRANK(Table1[Parking Spots Regular], F6) &lt; 4/5, "4", "5"))))</f>
        <v>5</v>
      </c>
      <c r="H6" s="67">
        <v>44</v>
      </c>
      <c r="I6" s="67" t="str">
        <f>IF(PERCENTRANK(Table1[Parking Spots ADA], H6) &lt; 1/5, "1", IF(PERCENTRANK(Table1[Parking Spots ADA], H6) &lt; 2/5, "2", IF(PERCENTRANK(Table1[Parking Spots ADA], H6) &lt; 3/5, "3", IF(PERCENTRANK(Table1[Parking Spots ADA], H6) &lt; 4/5, "4", "5"))))</f>
        <v>5</v>
      </c>
      <c r="J6" s="67">
        <v>0</v>
      </c>
      <c r="K6" s="67">
        <v>0</v>
      </c>
      <c r="L6" s="67">
        <f t="shared" si="0"/>
        <v>0</v>
      </c>
      <c r="M6" s="67" t="str">
        <f>IF(PERCENTRANK(Table1[EVC Stations + Occupied], L6) &lt; 1/5, "1", IF(PERCENTRANK(Table1[EVC Stations + Occupied], L6) &lt; 2/5, "2", IF(PERCENTRANK(Table1[EVC Stations + Occupied], L6) &lt; 3/5, "3", IF(PERCENTRANK(Table1[EVC Stations + Occupied], L6) &lt; 4/5, "4", "5"))))</f>
        <v>1</v>
      </c>
      <c r="N6" s="67">
        <v>535.33333333333337</v>
      </c>
      <c r="O6" s="73">
        <f t="shared" si="2"/>
        <v>0.51277139208173694</v>
      </c>
      <c r="P6" s="73">
        <f t="shared" si="1"/>
        <v>1.2771392081736943E-2</v>
      </c>
      <c r="Q6" s="73" t="str">
        <f>IF(PERCENTRANK(Table1[Utilization Rate from 50%], P6) &lt; 1/5, "5", IF(PERCENTRANK(Table1[Utilization Rate from 50%], P6) &lt; 2/5, "4", IF(PERCENTRANK(Table1[Utilization Rate from 50%], P6) &lt; 3/5, "3", IF(PERCENTRANK(Table1[Utilization Rate from 50%], P6) &lt; 4/5, "2", "1"))))</f>
        <v>5</v>
      </c>
      <c r="R6" s="67">
        <v>0</v>
      </c>
      <c r="S6" s="88">
        <v>1</v>
      </c>
      <c r="T6" s="21">
        <f>Table1[[#This Row],[Lighting]]+Table1[[#This Row],[Parking Fee]]+Table1[[#This Row],[Utilization from 50% score]]+Table1[[#This Row],[EVC Score]]+Table1[[#This Row],[ADA Spots Score]]+Table1[[#This Row],[Parking Spots Score]]</f>
        <v>17</v>
      </c>
      <c r="U6" s="93" t="str">
        <f>IF(PERCENTRANK(Table1[Parking Score], T6) &lt; 1/5, "1", IF(PERCENTRANK(Table1[Parking Score], T6) &lt; 2/5, "2", IF(PERCENTRANK(Table1[Parking Score], T6) &lt; 3/5, "3", IF(PERCENTRANK(Table1[Parking Score], T6) &lt; 4/5, "4", "5"))))</f>
        <v>5</v>
      </c>
      <c r="V6" s="21" t="str">
        <f>IF(PERCENTRANK(Table1[Parking Score], T6) &lt; 1/5, "LOW", IF(PERCENTRANK(Table1[Parking Score], T6) &lt; 2/5, "MEDIUM-LOW", IF(PERCENTRANK(Table1[Parking Score], T6) &lt; 3/5, "MEDIUM", IF(PERCENTRANK(Table1[Parking Score], T6) &lt; 4/5, "MEDIUM-HIGH", "HIGH"))))</f>
        <v>HIGH</v>
      </c>
    </row>
    <row r="7" spans="1:24" x14ac:dyDescent="0.25">
      <c r="A7" s="83" t="s">
        <v>46</v>
      </c>
      <c r="B7" s="83">
        <v>7</v>
      </c>
      <c r="C7" s="83"/>
      <c r="D7" s="83"/>
      <c r="E7" s="83"/>
      <c r="F7" s="67">
        <v>675</v>
      </c>
      <c r="G7" s="67" t="str">
        <f>IF(PERCENTRANK(Table1[Parking Spots Regular], F7) &lt; 1/5, "1", IF(PERCENTRANK(Table1[Parking Spots Regular], F7) &lt; 2/5, "2", IF(PERCENTRANK(Table1[Parking Spots Regular], F7) &lt; 3/5, "3", IF(PERCENTRANK(Table1[Parking Spots Regular], F7) &lt; 4/5, "4", "5"))))</f>
        <v>5</v>
      </c>
      <c r="H7" s="67">
        <v>22</v>
      </c>
      <c r="I7" s="67" t="str">
        <f>IF(PERCENTRANK(Table1[Parking Spots ADA], H7) &lt; 1/5, "1", IF(PERCENTRANK(Table1[Parking Spots ADA], H7) &lt; 2/5, "2", IF(PERCENTRANK(Table1[Parking Spots ADA], H7) &lt; 3/5, "3", IF(PERCENTRANK(Table1[Parking Spots ADA], H7) &lt; 4/5, "4", "5"))))</f>
        <v>5</v>
      </c>
      <c r="J7" s="67">
        <v>0</v>
      </c>
      <c r="K7" s="67">
        <v>0</v>
      </c>
      <c r="L7" s="67">
        <f t="shared" si="0"/>
        <v>0</v>
      </c>
      <c r="M7" s="67" t="str">
        <f>IF(PERCENTRANK(Table1[EVC Stations + Occupied], L7) &lt; 1/5, "1", IF(PERCENTRANK(Table1[EVC Stations + Occupied], L7) &lt; 2/5, "2", IF(PERCENTRANK(Table1[EVC Stations + Occupied], L7) &lt; 3/5, "3", IF(PERCENTRANK(Table1[EVC Stations + Occupied], L7) &lt; 4/5, "4", "5"))))</f>
        <v>1</v>
      </c>
      <c r="N7" s="67">
        <v>403</v>
      </c>
      <c r="O7" s="73">
        <f t="shared" si="2"/>
        <v>0.57819225251076045</v>
      </c>
      <c r="P7" s="73">
        <f t="shared" si="1"/>
        <v>7.8192252510760452E-2</v>
      </c>
      <c r="Q7" s="73" t="str">
        <f>IF(PERCENTRANK(Table1[Utilization Rate from 50%], P7) &lt; 1/5, "5", IF(PERCENTRANK(Table1[Utilization Rate from 50%], P7) &lt; 2/5, "4", IF(PERCENTRANK(Table1[Utilization Rate from 50%], P7) &lt; 3/5, "3", IF(PERCENTRANK(Table1[Utilization Rate from 50%], P7) &lt; 4/5, "2", "1"))))</f>
        <v>5</v>
      </c>
      <c r="R7" s="67">
        <v>0</v>
      </c>
      <c r="S7" s="88">
        <v>1</v>
      </c>
      <c r="T7" s="21">
        <f>Table1[[#This Row],[Lighting]]+Table1[[#This Row],[Parking Fee]]+Table1[[#This Row],[Utilization from 50% score]]+Table1[[#This Row],[EVC Score]]+Table1[[#This Row],[ADA Spots Score]]+Table1[[#This Row],[Parking Spots Score]]</f>
        <v>17</v>
      </c>
      <c r="U7" s="93" t="str">
        <f>IF(PERCENTRANK(Table1[Parking Score], T7) &lt; 1/5, "1", IF(PERCENTRANK(Table1[Parking Score], T7) &lt; 2/5, "2", IF(PERCENTRANK(Table1[Parking Score], T7) &lt; 3/5, "3", IF(PERCENTRANK(Table1[Parking Score], T7) &lt; 4/5, "4", "5"))))</f>
        <v>5</v>
      </c>
      <c r="V7" s="21" t="str">
        <f>IF(PERCENTRANK(Table1[Parking Score], T7) &lt; 1/5, "LOW", IF(PERCENTRANK(Table1[Parking Score], T7) &lt; 2/5, "MEDIUM-LOW", IF(PERCENTRANK(Table1[Parking Score], T7) &lt; 3/5, "MEDIUM", IF(PERCENTRANK(Table1[Parking Score], T7) &lt; 4/5, "MEDIUM-HIGH", "HIGH"))))</f>
        <v>HIGH</v>
      </c>
      <c r="X7" s="34" t="s">
        <v>388</v>
      </c>
    </row>
    <row r="8" spans="1:24" x14ac:dyDescent="0.25">
      <c r="A8" s="83" t="s">
        <v>53</v>
      </c>
      <c r="B8" s="83">
        <v>8</v>
      </c>
      <c r="C8" s="83"/>
      <c r="D8" s="83"/>
      <c r="E8" s="83"/>
      <c r="F8" s="67">
        <v>318</v>
      </c>
      <c r="G8" s="67" t="str">
        <f>IF(PERCENTRANK(Table1[Parking Spots Regular], F8) &lt; 1/5, "1", IF(PERCENTRANK(Table1[Parking Spots Regular], F8) &lt; 2/5, "2", IF(PERCENTRANK(Table1[Parking Spots Regular], F8) &lt; 3/5, "3", IF(PERCENTRANK(Table1[Parking Spots Regular], F8) &lt; 4/5, "4", "5"))))</f>
        <v>4</v>
      </c>
      <c r="H8" s="67">
        <v>19</v>
      </c>
      <c r="I8" s="67" t="str">
        <f>IF(PERCENTRANK(Table1[Parking Spots ADA], H8) &lt; 1/5, "1", IF(PERCENTRANK(Table1[Parking Spots ADA], H8) &lt; 2/5, "2", IF(PERCENTRANK(Table1[Parking Spots ADA], H8) &lt; 3/5, "3", IF(PERCENTRANK(Table1[Parking Spots ADA], H8) &lt; 4/5, "4", "5"))))</f>
        <v>5</v>
      </c>
      <c r="J8" s="67">
        <v>0</v>
      </c>
      <c r="K8" s="67">
        <v>0</v>
      </c>
      <c r="L8" s="67">
        <f t="shared" si="0"/>
        <v>0</v>
      </c>
      <c r="M8" s="67" t="str">
        <f>IF(PERCENTRANK(Table1[EVC Stations + Occupied], L8) &lt; 1/5, "1", IF(PERCENTRANK(Table1[EVC Stations + Occupied], L8) &lt; 2/5, "2", IF(PERCENTRANK(Table1[EVC Stations + Occupied], L8) &lt; 3/5, "3", IF(PERCENTRANK(Table1[EVC Stations + Occupied], L8) &lt; 4/5, "4", "5"))))</f>
        <v>1</v>
      </c>
      <c r="N8" s="67">
        <v>238.33333333333334</v>
      </c>
      <c r="O8" s="73">
        <f t="shared" si="2"/>
        <v>0.70722057368941649</v>
      </c>
      <c r="P8" s="73">
        <f t="shared" si="1"/>
        <v>0.20722057368941649</v>
      </c>
      <c r="Q8" s="73" t="str">
        <f>IF(PERCENTRANK(Table1[Utilization Rate from 50%], P8) &lt; 1/5, "5", IF(PERCENTRANK(Table1[Utilization Rate from 50%], P8) &lt; 2/5, "4", IF(PERCENTRANK(Table1[Utilization Rate from 50%], P8) &lt; 3/5, "3", IF(PERCENTRANK(Table1[Utilization Rate from 50%], P8) &lt; 4/5, "2", "1"))))</f>
        <v>4</v>
      </c>
      <c r="R8" s="67">
        <v>0</v>
      </c>
      <c r="S8" s="88">
        <v>1</v>
      </c>
      <c r="T8" s="21">
        <f>Table1[[#This Row],[Lighting]]+Table1[[#This Row],[Parking Fee]]+Table1[[#This Row],[Utilization from 50% score]]+Table1[[#This Row],[EVC Score]]+Table1[[#This Row],[ADA Spots Score]]+Table1[[#This Row],[Parking Spots Score]]</f>
        <v>15</v>
      </c>
      <c r="U8" s="93" t="str">
        <f>IF(PERCENTRANK(Table1[Parking Score], T8) &lt; 1/5, "1", IF(PERCENTRANK(Table1[Parking Score], T8) &lt; 2/5, "2", IF(PERCENTRANK(Table1[Parking Score], T8) &lt; 3/5, "3", IF(PERCENTRANK(Table1[Parking Score], T8) &lt; 4/5, "4", "5"))))</f>
        <v>5</v>
      </c>
      <c r="V8" s="21" t="str">
        <f>IF(PERCENTRANK(Table1[Parking Score], T8) &lt; 1/5, "LOW", IF(PERCENTRANK(Table1[Parking Score], T8) &lt; 2/5, "MEDIUM-LOW", IF(PERCENTRANK(Table1[Parking Score], T8) &lt; 3/5, "MEDIUM", IF(PERCENTRANK(Table1[Parking Score], T8) &lt; 4/5, "MEDIUM-HIGH", "HIGH"))))</f>
        <v>HIGH</v>
      </c>
      <c r="X8" s="53">
        <v>0.5</v>
      </c>
    </row>
    <row r="9" spans="1:24" x14ac:dyDescent="0.25">
      <c r="A9" s="83" t="s">
        <v>351</v>
      </c>
      <c r="B9" s="83">
        <v>9</v>
      </c>
      <c r="C9" s="83"/>
      <c r="D9" s="83"/>
      <c r="E9" s="83"/>
      <c r="F9" s="67">
        <v>235</v>
      </c>
      <c r="G9" s="67" t="str">
        <f>IF(PERCENTRANK(Table1[Parking Spots Regular], F9) &lt; 1/5, "1", IF(PERCENTRANK(Table1[Parking Spots Regular], F9) &lt; 2/5, "2", IF(PERCENTRANK(Table1[Parking Spots Regular], F9) &lt; 3/5, "3", IF(PERCENTRANK(Table1[Parking Spots Regular], F9) &lt; 4/5, "4", "5"))))</f>
        <v>4</v>
      </c>
      <c r="H9" s="67">
        <v>12</v>
      </c>
      <c r="I9" s="67" t="str">
        <f>IF(PERCENTRANK(Table1[Parking Spots ADA], H9) &lt; 1/5, "1", IF(PERCENTRANK(Table1[Parking Spots ADA], H9) &lt; 2/5, "2", IF(PERCENTRANK(Table1[Parking Spots ADA], H9) &lt; 3/5, "3", IF(PERCENTRANK(Table1[Parking Spots ADA], H9) &lt; 4/5, "4", "5"))))</f>
        <v>4</v>
      </c>
      <c r="J9" s="67">
        <v>0</v>
      </c>
      <c r="K9" s="67">
        <v>0</v>
      </c>
      <c r="L9" s="67">
        <f t="shared" si="0"/>
        <v>0</v>
      </c>
      <c r="M9" s="67" t="str">
        <f>IF(PERCENTRANK(Table1[EVC Stations + Occupied], L9) &lt; 1/5, "1", IF(PERCENTRANK(Table1[EVC Stations + Occupied], L9) &lt; 2/5, "2", IF(PERCENTRANK(Table1[EVC Stations + Occupied], L9) &lt; 3/5, "3", IF(PERCENTRANK(Table1[EVC Stations + Occupied], L9) &lt; 4/5, "4", "5"))))</f>
        <v>1</v>
      </c>
      <c r="N9" s="67">
        <v>142</v>
      </c>
      <c r="O9" s="73">
        <f t="shared" si="2"/>
        <v>0.5748987854251012</v>
      </c>
      <c r="P9" s="73">
        <f t="shared" si="1"/>
        <v>7.48987854251012E-2</v>
      </c>
      <c r="Q9" s="73" t="str">
        <f>IF(PERCENTRANK(Table1[Utilization Rate from 50%], P9) &lt; 1/5, "5", IF(PERCENTRANK(Table1[Utilization Rate from 50%], P9) &lt; 2/5, "4", IF(PERCENTRANK(Table1[Utilization Rate from 50%], P9) &lt; 3/5, "3", IF(PERCENTRANK(Table1[Utilization Rate from 50%], P9) &lt; 4/5, "2", "1"))))</f>
        <v>5</v>
      </c>
      <c r="R9" s="67">
        <v>0</v>
      </c>
      <c r="S9" s="88">
        <v>1</v>
      </c>
      <c r="T9" s="21">
        <f>Table1[[#This Row],[Lighting]]+Table1[[#This Row],[Parking Fee]]+Table1[[#This Row],[Utilization from 50% score]]+Table1[[#This Row],[EVC Score]]+Table1[[#This Row],[ADA Spots Score]]+Table1[[#This Row],[Parking Spots Score]]</f>
        <v>15</v>
      </c>
      <c r="U9" s="93" t="str">
        <f>IF(PERCENTRANK(Table1[Parking Score], T9) &lt; 1/5, "1", IF(PERCENTRANK(Table1[Parking Score], T9) &lt; 2/5, "2", IF(PERCENTRANK(Table1[Parking Score], T9) &lt; 3/5, "3", IF(PERCENTRANK(Table1[Parking Score], T9) &lt; 4/5, "4", "5"))))</f>
        <v>5</v>
      </c>
      <c r="V9" s="21" t="str">
        <f>IF(PERCENTRANK(Table1[Parking Score], T9) &lt; 1/5, "LOW", IF(PERCENTRANK(Table1[Parking Score], T9) &lt; 2/5, "MEDIUM-LOW", IF(PERCENTRANK(Table1[Parking Score], T9) &lt; 3/5, "MEDIUM", IF(PERCENTRANK(Table1[Parking Score], T9) &lt; 4/5, "MEDIUM-HIGH", "HIGH"))))</f>
        <v>HIGH</v>
      </c>
    </row>
    <row r="10" spans="1:24" x14ac:dyDescent="0.25">
      <c r="A10" s="83" t="s">
        <v>56</v>
      </c>
      <c r="B10" s="83">
        <v>10</v>
      </c>
      <c r="C10" s="83"/>
      <c r="D10" s="83"/>
      <c r="E10" s="83"/>
      <c r="F10" s="67">
        <v>133</v>
      </c>
      <c r="G10" s="67" t="str">
        <f>IF(PERCENTRANK(Table1[Parking Spots Regular], F10) &lt; 1/5, "1", IF(PERCENTRANK(Table1[Parking Spots Regular], F10) &lt; 2/5, "2", IF(PERCENTRANK(Table1[Parking Spots Regular], F10) &lt; 3/5, "3", IF(PERCENTRANK(Table1[Parking Spots Regular], F10) &lt; 4/5, "4", "5"))))</f>
        <v>4</v>
      </c>
      <c r="H10" s="67">
        <v>6</v>
      </c>
      <c r="I10" s="67" t="str">
        <f>IF(PERCENTRANK(Table1[Parking Spots ADA], H10) &lt; 1/5, "1", IF(PERCENTRANK(Table1[Parking Spots ADA], H10) &lt; 2/5, "2", IF(PERCENTRANK(Table1[Parking Spots ADA], H10) &lt; 3/5, "3", IF(PERCENTRANK(Table1[Parking Spots ADA], H10) &lt; 4/5, "4", "5"))))</f>
        <v>4</v>
      </c>
      <c r="J10" s="67">
        <v>0</v>
      </c>
      <c r="K10" s="67">
        <v>0</v>
      </c>
      <c r="L10" s="67">
        <f t="shared" si="0"/>
        <v>0</v>
      </c>
      <c r="M10" s="67" t="str">
        <f>IF(PERCENTRANK(Table1[EVC Stations + Occupied], L10) &lt; 1/5, "1", IF(PERCENTRANK(Table1[EVC Stations + Occupied], L10) &lt; 2/5, "2", IF(PERCENTRANK(Table1[EVC Stations + Occupied], L10) &lt; 3/5, "3", IF(PERCENTRANK(Table1[EVC Stations + Occupied], L10) &lt; 4/5, "4", "5"))))</f>
        <v>1</v>
      </c>
      <c r="N10" s="67">
        <v>137.66666666666666</v>
      </c>
      <c r="O10" s="73">
        <f t="shared" si="2"/>
        <v>0.99040767386091122</v>
      </c>
      <c r="P10" s="73">
        <f t="shared" si="1"/>
        <v>0.49040767386091122</v>
      </c>
      <c r="Q10" s="73" t="str">
        <f>IF(PERCENTRANK(Table1[Utilization Rate from 50%], P10) &lt; 1/5, "5", IF(PERCENTRANK(Table1[Utilization Rate from 50%], P10) &lt; 2/5, "4", IF(PERCENTRANK(Table1[Utilization Rate from 50%], P10) &lt; 3/5, "3", IF(PERCENTRANK(Table1[Utilization Rate from 50%], P10) &lt; 4/5, "2", "1"))))</f>
        <v>1</v>
      </c>
      <c r="R10" s="67">
        <v>0</v>
      </c>
      <c r="S10" s="88">
        <v>1</v>
      </c>
      <c r="T10" s="21">
        <f>Table1[[#This Row],[Lighting]]+Table1[[#This Row],[Parking Fee]]+Table1[[#This Row],[Utilization from 50% score]]+Table1[[#This Row],[EVC Score]]+Table1[[#This Row],[ADA Spots Score]]+Table1[[#This Row],[Parking Spots Score]]</f>
        <v>11</v>
      </c>
      <c r="U10" s="93" t="str">
        <f>IF(PERCENTRANK(Table1[Parking Score], T10) &lt; 1/5, "1", IF(PERCENTRANK(Table1[Parking Score], T10) &lt; 2/5, "2", IF(PERCENTRANK(Table1[Parking Score], T10) &lt; 3/5, "3", IF(PERCENTRANK(Table1[Parking Score], T10) &lt; 4/5, "4", "5"))))</f>
        <v>3</v>
      </c>
      <c r="V10" s="21" t="str">
        <f>IF(PERCENTRANK(Table1[Parking Score], T10) &lt; 1/5, "LOW", IF(PERCENTRANK(Table1[Parking Score], T10) &lt; 2/5, "MEDIUM-LOW", IF(PERCENTRANK(Table1[Parking Score], T10) &lt; 3/5, "MEDIUM", IF(PERCENTRANK(Table1[Parking Score], T10) &lt; 4/5, "MEDIUM-HIGH", "HIGH"))))</f>
        <v>MEDIUM</v>
      </c>
    </row>
    <row r="11" spans="1:24" x14ac:dyDescent="0.25">
      <c r="A11" s="83" t="s">
        <v>59</v>
      </c>
      <c r="B11" s="83">
        <v>11</v>
      </c>
      <c r="C11" s="83"/>
      <c r="D11" s="83"/>
      <c r="E11" s="83"/>
      <c r="F11" s="67">
        <v>0</v>
      </c>
      <c r="G11" s="67" t="str">
        <f>IF(PERCENTRANK(Table1[Parking Spots Regular], F11) &lt; 1/5, "1", IF(PERCENTRANK(Table1[Parking Spots Regular], F11) &lt; 2/5, "2", IF(PERCENTRANK(Table1[Parking Spots Regular], F11) &lt; 3/5, "3", IF(PERCENTRANK(Table1[Parking Spots Regular], F11) &lt; 4/5, "4", "5"))))</f>
        <v>1</v>
      </c>
      <c r="H11" s="67">
        <v>0</v>
      </c>
      <c r="I11" s="67" t="str">
        <f>IF(PERCENTRANK(Table1[Parking Spots ADA], H11) &lt; 1/5, "1", IF(PERCENTRANK(Table1[Parking Spots ADA], H11) &lt; 2/5, "2", IF(PERCENTRANK(Table1[Parking Spots ADA], H11) &lt; 3/5, "3", IF(PERCENTRANK(Table1[Parking Spots ADA], H11) &lt; 4/5, "4", "5"))))</f>
        <v>1</v>
      </c>
      <c r="J11" s="67">
        <v>0</v>
      </c>
      <c r="K11" s="67">
        <v>0</v>
      </c>
      <c r="L11" s="67">
        <f t="shared" si="0"/>
        <v>0</v>
      </c>
      <c r="M11" s="67" t="str">
        <f>IF(PERCENTRANK(Table1[EVC Stations + Occupied], L11) &lt; 1/5, "1", IF(PERCENTRANK(Table1[EVC Stations + Occupied], L11) &lt; 2/5, "2", IF(PERCENTRANK(Table1[EVC Stations + Occupied], L11) &lt; 3/5, "3", IF(PERCENTRANK(Table1[EVC Stations + Occupied], L11) &lt; 4/5, "4", "5"))))</f>
        <v>1</v>
      </c>
      <c r="N11" s="67"/>
      <c r="O11" s="73"/>
      <c r="P11" s="73"/>
      <c r="Q11" s="73"/>
      <c r="R11" s="67">
        <v>0</v>
      </c>
      <c r="S11" s="88">
        <v>0</v>
      </c>
      <c r="T11" s="21">
        <f>Table1[[#This Row],[Lighting]]+Table1[[#This Row],[Parking Fee]]+Table1[[#This Row],[Utilization from 50% score]]+Table1[[#This Row],[EVC Score]]+Table1[[#This Row],[ADA Spots Score]]+Table1[[#This Row],[Parking Spots Score]]</f>
        <v>3</v>
      </c>
      <c r="U11" s="93" t="str">
        <f>IF(PERCENTRANK(Table1[Parking Score], T11) &lt; 1/5, "1", IF(PERCENTRANK(Table1[Parking Score], T11) &lt; 2/5, "2", IF(PERCENTRANK(Table1[Parking Score], T11) &lt; 3/5, "3", IF(PERCENTRANK(Table1[Parking Score], T11) &lt; 4/5, "4", "5"))))</f>
        <v>1</v>
      </c>
      <c r="V11" s="21" t="str">
        <f>IF(PERCENTRANK(Table1[Parking Score], T11) &lt; 1/5, "LOW", IF(PERCENTRANK(Table1[Parking Score], T11) &lt; 2/5, "MEDIUM-LOW", IF(PERCENTRANK(Table1[Parking Score], T11) &lt; 3/5, "MEDIUM", IF(PERCENTRANK(Table1[Parking Score], T11) &lt; 4/5, "MEDIUM-HIGH", "HIGH"))))</f>
        <v>LOW</v>
      </c>
    </row>
    <row r="12" spans="1:24" x14ac:dyDescent="0.25">
      <c r="A12" s="83" t="s">
        <v>61</v>
      </c>
      <c r="B12" s="83">
        <v>12</v>
      </c>
      <c r="C12" s="83"/>
      <c r="D12" s="83"/>
      <c r="E12" s="83"/>
      <c r="F12" s="67">
        <v>0</v>
      </c>
      <c r="G12" s="67" t="str">
        <f>IF(PERCENTRANK(Table1[Parking Spots Regular], F12) &lt; 1/5, "1", IF(PERCENTRANK(Table1[Parking Spots Regular], F12) &lt; 2/5, "2", IF(PERCENTRANK(Table1[Parking Spots Regular], F12) &lt; 3/5, "3", IF(PERCENTRANK(Table1[Parking Spots Regular], F12) &lt; 4/5, "4", "5"))))</f>
        <v>1</v>
      </c>
      <c r="H12" s="67">
        <v>0</v>
      </c>
      <c r="I12" s="67" t="str">
        <f>IF(PERCENTRANK(Table1[Parking Spots ADA], H12) &lt; 1/5, "1", IF(PERCENTRANK(Table1[Parking Spots ADA], H12) &lt; 2/5, "2", IF(PERCENTRANK(Table1[Parking Spots ADA], H12) &lt; 3/5, "3", IF(PERCENTRANK(Table1[Parking Spots ADA], H12) &lt; 4/5, "4", "5"))))</f>
        <v>1</v>
      </c>
      <c r="J12" s="67">
        <v>0</v>
      </c>
      <c r="K12" s="67">
        <v>0</v>
      </c>
      <c r="L12" s="67">
        <f t="shared" si="0"/>
        <v>0</v>
      </c>
      <c r="M12" s="67" t="str">
        <f>IF(PERCENTRANK(Table1[EVC Stations + Occupied], L12) &lt; 1/5, "1", IF(PERCENTRANK(Table1[EVC Stations + Occupied], L12) &lt; 2/5, "2", IF(PERCENTRANK(Table1[EVC Stations + Occupied], L12) &lt; 3/5, "3", IF(PERCENTRANK(Table1[EVC Stations + Occupied], L12) &lt; 4/5, "4", "5"))))</f>
        <v>1</v>
      </c>
      <c r="N12" s="67"/>
      <c r="O12" s="73"/>
      <c r="P12" s="73"/>
      <c r="Q12" s="73"/>
      <c r="R12" s="67">
        <v>0</v>
      </c>
      <c r="S12" s="88">
        <v>1</v>
      </c>
      <c r="T12" s="21">
        <f>Table1[[#This Row],[Lighting]]+Table1[[#This Row],[Parking Fee]]+Table1[[#This Row],[Utilization from 50% score]]+Table1[[#This Row],[EVC Score]]+Table1[[#This Row],[ADA Spots Score]]+Table1[[#This Row],[Parking Spots Score]]</f>
        <v>4</v>
      </c>
      <c r="U12" s="93" t="str">
        <f>IF(PERCENTRANK(Table1[Parking Score], T12) &lt; 1/5, "1", IF(PERCENTRANK(Table1[Parking Score], T12) &lt; 2/5, "2", IF(PERCENTRANK(Table1[Parking Score], T12) &lt; 3/5, "3", IF(PERCENTRANK(Table1[Parking Score], T12) &lt; 4/5, "4", "5"))))</f>
        <v>1</v>
      </c>
      <c r="V12" s="21" t="str">
        <f>IF(PERCENTRANK(Table1[Parking Score], T12) &lt; 1/5, "LOW", IF(PERCENTRANK(Table1[Parking Score], T12) &lt; 2/5, "MEDIUM-LOW", IF(PERCENTRANK(Table1[Parking Score], T12) &lt; 3/5, "MEDIUM", IF(PERCENTRANK(Table1[Parking Score], T12) &lt; 4/5, "MEDIUM-HIGH", "HIGH"))))</f>
        <v>LOW</v>
      </c>
    </row>
    <row r="13" spans="1:24" x14ac:dyDescent="0.25">
      <c r="A13" s="83" t="s">
        <v>63</v>
      </c>
      <c r="B13" s="83">
        <v>13</v>
      </c>
      <c r="C13" s="83"/>
      <c r="D13" s="83"/>
      <c r="E13" s="83"/>
      <c r="F13" s="67">
        <v>0</v>
      </c>
      <c r="G13" s="67" t="str">
        <f>IF(PERCENTRANK(Table1[Parking Spots Regular], F13) &lt; 1/5, "1", IF(PERCENTRANK(Table1[Parking Spots Regular], F13) &lt; 2/5, "2", IF(PERCENTRANK(Table1[Parking Spots Regular], F13) &lt; 3/5, "3", IF(PERCENTRANK(Table1[Parking Spots Regular], F13) &lt; 4/5, "4", "5"))))</f>
        <v>1</v>
      </c>
      <c r="H13" s="67">
        <v>0</v>
      </c>
      <c r="I13" s="67" t="str">
        <f>IF(PERCENTRANK(Table1[Parking Spots ADA], H13) &lt; 1/5, "1", IF(PERCENTRANK(Table1[Parking Spots ADA], H13) &lt; 2/5, "2", IF(PERCENTRANK(Table1[Parking Spots ADA], H13) &lt; 3/5, "3", IF(PERCENTRANK(Table1[Parking Spots ADA], H13) &lt; 4/5, "4", "5"))))</f>
        <v>1</v>
      </c>
      <c r="J13" s="67">
        <v>0</v>
      </c>
      <c r="K13" s="67">
        <v>0</v>
      </c>
      <c r="L13" s="67">
        <f t="shared" si="0"/>
        <v>0</v>
      </c>
      <c r="M13" s="67" t="str">
        <f>IF(PERCENTRANK(Table1[EVC Stations + Occupied], L13) &lt; 1/5, "1", IF(PERCENTRANK(Table1[EVC Stations + Occupied], L13) &lt; 2/5, "2", IF(PERCENTRANK(Table1[EVC Stations + Occupied], L13) &lt; 3/5, "3", IF(PERCENTRANK(Table1[EVC Stations + Occupied], L13) &lt; 4/5, "4", "5"))))</f>
        <v>1</v>
      </c>
      <c r="N13" s="67"/>
      <c r="O13" s="73"/>
      <c r="P13" s="73"/>
      <c r="Q13" s="73"/>
      <c r="R13" s="67">
        <v>0</v>
      </c>
      <c r="S13" s="88">
        <v>1</v>
      </c>
      <c r="T13" s="21">
        <f>Table1[[#This Row],[Lighting]]+Table1[[#This Row],[Parking Fee]]+Table1[[#This Row],[Utilization from 50% score]]+Table1[[#This Row],[EVC Score]]+Table1[[#This Row],[ADA Spots Score]]+Table1[[#This Row],[Parking Spots Score]]</f>
        <v>4</v>
      </c>
      <c r="U13" s="93" t="str">
        <f>IF(PERCENTRANK(Table1[Parking Score], T13) &lt; 1/5, "1", IF(PERCENTRANK(Table1[Parking Score], T13) &lt; 2/5, "2", IF(PERCENTRANK(Table1[Parking Score], T13) &lt; 3/5, "3", IF(PERCENTRANK(Table1[Parking Score], T13) &lt; 4/5, "4", "5"))))</f>
        <v>1</v>
      </c>
      <c r="V13" s="21" t="str">
        <f>IF(PERCENTRANK(Table1[Parking Score], T13) &lt; 1/5, "LOW", IF(PERCENTRANK(Table1[Parking Score], T13) &lt; 2/5, "MEDIUM-LOW", IF(PERCENTRANK(Table1[Parking Score], T13) &lt; 3/5, "MEDIUM", IF(PERCENTRANK(Table1[Parking Score], T13) &lt; 4/5, "MEDIUM-HIGH", "HIGH"))))</f>
        <v>LOW</v>
      </c>
    </row>
    <row r="14" spans="1:24" x14ac:dyDescent="0.25">
      <c r="A14" s="83" t="s">
        <v>68</v>
      </c>
      <c r="B14" s="83">
        <v>14</v>
      </c>
      <c r="C14" s="83"/>
      <c r="D14" s="83"/>
      <c r="E14" s="83"/>
      <c r="F14" s="67">
        <v>0</v>
      </c>
      <c r="G14" s="67" t="str">
        <f>IF(PERCENTRANK(Table1[Parking Spots Regular], F14) &lt; 1/5, "1", IF(PERCENTRANK(Table1[Parking Spots Regular], F14) &lt; 2/5, "2", IF(PERCENTRANK(Table1[Parking Spots Regular], F14) &lt; 3/5, "3", IF(PERCENTRANK(Table1[Parking Spots Regular], F14) &lt; 4/5, "4", "5"))))</f>
        <v>1</v>
      </c>
      <c r="H14" s="67">
        <v>0</v>
      </c>
      <c r="I14" s="67" t="str">
        <f>IF(PERCENTRANK(Table1[Parking Spots ADA], H14) &lt; 1/5, "1", IF(PERCENTRANK(Table1[Parking Spots ADA], H14) &lt; 2/5, "2", IF(PERCENTRANK(Table1[Parking Spots ADA], H14) &lt; 3/5, "3", IF(PERCENTRANK(Table1[Parking Spots ADA], H14) &lt; 4/5, "4", "5"))))</f>
        <v>1</v>
      </c>
      <c r="J14" s="67">
        <v>0</v>
      </c>
      <c r="K14" s="67">
        <v>0</v>
      </c>
      <c r="L14" s="67">
        <f t="shared" si="0"/>
        <v>0</v>
      </c>
      <c r="M14" s="67" t="str">
        <f>IF(PERCENTRANK(Table1[EVC Stations + Occupied], L14) &lt; 1/5, "1", IF(PERCENTRANK(Table1[EVC Stations + Occupied], L14) &lt; 2/5, "2", IF(PERCENTRANK(Table1[EVC Stations + Occupied], L14) &lt; 3/5, "3", IF(PERCENTRANK(Table1[EVC Stations + Occupied], L14) &lt; 4/5, "4", "5"))))</f>
        <v>1</v>
      </c>
      <c r="N14" s="67"/>
      <c r="O14" s="73"/>
      <c r="P14" s="73"/>
      <c r="Q14" s="73"/>
      <c r="R14" s="67">
        <v>0</v>
      </c>
      <c r="S14" s="88">
        <v>1</v>
      </c>
      <c r="T14" s="21">
        <f>Table1[[#This Row],[Lighting]]+Table1[[#This Row],[Parking Fee]]+Table1[[#This Row],[Utilization from 50% score]]+Table1[[#This Row],[EVC Score]]+Table1[[#This Row],[ADA Spots Score]]+Table1[[#This Row],[Parking Spots Score]]</f>
        <v>4</v>
      </c>
      <c r="U14" s="93" t="str">
        <f>IF(PERCENTRANK(Table1[Parking Score], T14) &lt; 1/5, "1", IF(PERCENTRANK(Table1[Parking Score], T14) &lt; 2/5, "2", IF(PERCENTRANK(Table1[Parking Score], T14) &lt; 3/5, "3", IF(PERCENTRANK(Table1[Parking Score], T14) &lt; 4/5, "4", "5"))))</f>
        <v>1</v>
      </c>
      <c r="V14" s="21" t="str">
        <f>IF(PERCENTRANK(Table1[Parking Score], T14) &lt; 1/5, "LOW", IF(PERCENTRANK(Table1[Parking Score], T14) &lt; 2/5, "MEDIUM-LOW", IF(PERCENTRANK(Table1[Parking Score], T14) &lt; 3/5, "MEDIUM", IF(PERCENTRANK(Table1[Parking Score], T14) &lt; 4/5, "MEDIUM-HIGH", "HIGH"))))</f>
        <v>LOW</v>
      </c>
    </row>
    <row r="15" spans="1:24" x14ac:dyDescent="0.25">
      <c r="A15" s="83" t="s">
        <v>70</v>
      </c>
      <c r="B15" s="83">
        <v>15</v>
      </c>
      <c r="C15" s="83"/>
      <c r="D15" s="83"/>
      <c r="E15" s="83"/>
      <c r="F15" s="67">
        <v>0</v>
      </c>
      <c r="G15" s="67" t="str">
        <f>IF(PERCENTRANK(Table1[Parking Spots Regular], F15) &lt; 1/5, "1", IF(PERCENTRANK(Table1[Parking Spots Regular], F15) &lt; 2/5, "2", IF(PERCENTRANK(Table1[Parking Spots Regular], F15) &lt; 3/5, "3", IF(PERCENTRANK(Table1[Parking Spots Regular], F15) &lt; 4/5, "4", "5"))))</f>
        <v>1</v>
      </c>
      <c r="H15" s="67">
        <v>0</v>
      </c>
      <c r="I15" s="67" t="str">
        <f>IF(PERCENTRANK(Table1[Parking Spots ADA], H15) &lt; 1/5, "1", IF(PERCENTRANK(Table1[Parking Spots ADA], H15) &lt; 2/5, "2", IF(PERCENTRANK(Table1[Parking Spots ADA], H15) &lt; 3/5, "3", IF(PERCENTRANK(Table1[Parking Spots ADA], H15) &lt; 4/5, "4", "5"))))</f>
        <v>1</v>
      </c>
      <c r="J15" s="67">
        <v>0</v>
      </c>
      <c r="K15" s="67">
        <v>0</v>
      </c>
      <c r="L15" s="67">
        <f t="shared" si="0"/>
        <v>0</v>
      </c>
      <c r="M15" s="67" t="str">
        <f>IF(PERCENTRANK(Table1[EVC Stations + Occupied], L15) &lt; 1/5, "1", IF(PERCENTRANK(Table1[EVC Stations + Occupied], L15) &lt; 2/5, "2", IF(PERCENTRANK(Table1[EVC Stations + Occupied], L15) &lt; 3/5, "3", IF(PERCENTRANK(Table1[EVC Stations + Occupied], L15) &lt; 4/5, "4", "5"))))</f>
        <v>1</v>
      </c>
      <c r="N15" s="67"/>
      <c r="O15" s="73"/>
      <c r="P15" s="73"/>
      <c r="Q15" s="73"/>
      <c r="R15" s="67">
        <v>0</v>
      </c>
      <c r="S15" s="88">
        <v>1</v>
      </c>
      <c r="T15" s="21">
        <f>Table1[[#This Row],[Lighting]]+Table1[[#This Row],[Parking Fee]]+Table1[[#This Row],[Utilization from 50% score]]+Table1[[#This Row],[EVC Score]]+Table1[[#This Row],[ADA Spots Score]]+Table1[[#This Row],[Parking Spots Score]]</f>
        <v>4</v>
      </c>
      <c r="U15" s="93" t="str">
        <f>IF(PERCENTRANK(Table1[Parking Score], T15) &lt; 1/5, "1", IF(PERCENTRANK(Table1[Parking Score], T15) &lt; 2/5, "2", IF(PERCENTRANK(Table1[Parking Score], T15) &lt; 3/5, "3", IF(PERCENTRANK(Table1[Parking Score], T15) &lt; 4/5, "4", "5"))))</f>
        <v>1</v>
      </c>
      <c r="V15" s="21" t="str">
        <f>IF(PERCENTRANK(Table1[Parking Score], T15) &lt; 1/5, "LOW", IF(PERCENTRANK(Table1[Parking Score], T15) &lt; 2/5, "MEDIUM-LOW", IF(PERCENTRANK(Table1[Parking Score], T15) &lt; 3/5, "MEDIUM", IF(PERCENTRANK(Table1[Parking Score], T15) &lt; 4/5, "MEDIUM-HIGH", "HIGH"))))</f>
        <v>LOW</v>
      </c>
    </row>
    <row r="16" spans="1:24" x14ac:dyDescent="0.25">
      <c r="A16" s="83" t="s">
        <v>71</v>
      </c>
      <c r="B16" s="83">
        <v>16</v>
      </c>
      <c r="C16" s="83"/>
      <c r="D16" s="83"/>
      <c r="E16" s="83"/>
      <c r="F16" s="67">
        <v>0</v>
      </c>
      <c r="G16" s="67" t="str">
        <f>IF(PERCENTRANK(Table1[Parking Spots Regular], F16) &lt; 1/5, "1", IF(PERCENTRANK(Table1[Parking Spots Regular], F16) &lt; 2/5, "2", IF(PERCENTRANK(Table1[Parking Spots Regular], F16) &lt; 3/5, "3", IF(PERCENTRANK(Table1[Parking Spots Regular], F16) &lt; 4/5, "4", "5"))))</f>
        <v>1</v>
      </c>
      <c r="H16" s="67">
        <v>0</v>
      </c>
      <c r="I16" s="67" t="str">
        <f>IF(PERCENTRANK(Table1[Parking Spots ADA], H16) &lt; 1/5, "1", IF(PERCENTRANK(Table1[Parking Spots ADA], H16) &lt; 2/5, "2", IF(PERCENTRANK(Table1[Parking Spots ADA], H16) &lt; 3/5, "3", IF(PERCENTRANK(Table1[Parking Spots ADA], H16) &lt; 4/5, "4", "5"))))</f>
        <v>1</v>
      </c>
      <c r="J16" s="67">
        <v>0</v>
      </c>
      <c r="K16" s="67">
        <v>0</v>
      </c>
      <c r="L16" s="67">
        <f t="shared" si="0"/>
        <v>0</v>
      </c>
      <c r="M16" s="67" t="str">
        <f>IF(PERCENTRANK(Table1[EVC Stations + Occupied], L16) &lt; 1/5, "1", IF(PERCENTRANK(Table1[EVC Stations + Occupied], L16) &lt; 2/5, "2", IF(PERCENTRANK(Table1[EVC Stations + Occupied], L16) &lt; 3/5, "3", IF(PERCENTRANK(Table1[EVC Stations + Occupied], L16) &lt; 4/5, "4", "5"))))</f>
        <v>1</v>
      </c>
      <c r="N16" s="67"/>
      <c r="O16" s="73"/>
      <c r="P16" s="73"/>
      <c r="Q16" s="73"/>
      <c r="R16" s="67">
        <v>0</v>
      </c>
      <c r="S16" s="88">
        <v>1</v>
      </c>
      <c r="T16" s="21">
        <f>Table1[[#This Row],[Lighting]]+Table1[[#This Row],[Parking Fee]]+Table1[[#This Row],[Utilization from 50% score]]+Table1[[#This Row],[EVC Score]]+Table1[[#This Row],[ADA Spots Score]]+Table1[[#This Row],[Parking Spots Score]]</f>
        <v>4</v>
      </c>
      <c r="U16" s="93" t="str">
        <f>IF(PERCENTRANK(Table1[Parking Score], T16) &lt; 1/5, "1", IF(PERCENTRANK(Table1[Parking Score], T16) &lt; 2/5, "2", IF(PERCENTRANK(Table1[Parking Score], T16) &lt; 3/5, "3", IF(PERCENTRANK(Table1[Parking Score], T16) &lt; 4/5, "4", "5"))))</f>
        <v>1</v>
      </c>
      <c r="V16" s="21" t="str">
        <f>IF(PERCENTRANK(Table1[Parking Score], T16) &lt; 1/5, "LOW", IF(PERCENTRANK(Table1[Parking Score], T16) &lt; 2/5, "MEDIUM-LOW", IF(PERCENTRANK(Table1[Parking Score], T16) &lt; 3/5, "MEDIUM", IF(PERCENTRANK(Table1[Parking Score], T16) &lt; 4/5, "MEDIUM-HIGH", "HIGH"))))</f>
        <v>LOW</v>
      </c>
    </row>
    <row r="17" spans="1:22" x14ac:dyDescent="0.25">
      <c r="A17" s="83" t="s">
        <v>348</v>
      </c>
      <c r="B17" s="83">
        <v>17</v>
      </c>
      <c r="C17" s="83"/>
      <c r="D17" s="83"/>
      <c r="E17" s="83"/>
      <c r="F17" s="67">
        <v>0</v>
      </c>
      <c r="G17" s="67" t="str">
        <f>IF(PERCENTRANK(Table1[Parking Spots Regular], F17) &lt; 1/5, "1", IF(PERCENTRANK(Table1[Parking Spots Regular], F17) &lt; 2/5, "2", IF(PERCENTRANK(Table1[Parking Spots Regular], F17) &lt; 3/5, "3", IF(PERCENTRANK(Table1[Parking Spots Regular], F17) &lt; 4/5, "4", "5"))))</f>
        <v>1</v>
      </c>
      <c r="H17" s="67">
        <v>0</v>
      </c>
      <c r="I17" s="67" t="str">
        <f>IF(PERCENTRANK(Table1[Parking Spots ADA], H17) &lt; 1/5, "1", IF(PERCENTRANK(Table1[Parking Spots ADA], H17) &lt; 2/5, "2", IF(PERCENTRANK(Table1[Parking Spots ADA], H17) &lt; 3/5, "3", IF(PERCENTRANK(Table1[Parking Spots ADA], H17) &lt; 4/5, "4", "5"))))</f>
        <v>1</v>
      </c>
      <c r="J17" s="67">
        <v>0</v>
      </c>
      <c r="K17" s="67">
        <v>0</v>
      </c>
      <c r="L17" s="67">
        <f t="shared" si="0"/>
        <v>0</v>
      </c>
      <c r="M17" s="67" t="str">
        <f>IF(PERCENTRANK(Table1[EVC Stations + Occupied], L17) &lt; 1/5, "1", IF(PERCENTRANK(Table1[EVC Stations + Occupied], L17) &lt; 2/5, "2", IF(PERCENTRANK(Table1[EVC Stations + Occupied], L17) &lt; 3/5, "3", IF(PERCENTRANK(Table1[EVC Stations + Occupied], L17) &lt; 4/5, "4", "5"))))</f>
        <v>1</v>
      </c>
      <c r="N17" s="67"/>
      <c r="O17" s="73"/>
      <c r="P17" s="73"/>
      <c r="Q17" s="73"/>
      <c r="R17" s="67">
        <v>0</v>
      </c>
      <c r="S17" s="88">
        <v>1</v>
      </c>
      <c r="T17" s="21">
        <f>Table1[[#This Row],[Lighting]]+Table1[[#This Row],[Parking Fee]]+Table1[[#This Row],[Utilization from 50% score]]+Table1[[#This Row],[EVC Score]]+Table1[[#This Row],[ADA Spots Score]]+Table1[[#This Row],[Parking Spots Score]]</f>
        <v>4</v>
      </c>
      <c r="U17" s="93" t="str">
        <f>IF(PERCENTRANK(Table1[Parking Score], T17) &lt; 1/5, "1", IF(PERCENTRANK(Table1[Parking Score], T17) &lt; 2/5, "2", IF(PERCENTRANK(Table1[Parking Score], T17) &lt; 3/5, "3", IF(PERCENTRANK(Table1[Parking Score], T17) &lt; 4/5, "4", "5"))))</f>
        <v>1</v>
      </c>
      <c r="V17" s="21" t="str">
        <f>IF(PERCENTRANK(Table1[Parking Score], T17) &lt; 1/5, "LOW", IF(PERCENTRANK(Table1[Parking Score], T17) &lt; 2/5, "MEDIUM-LOW", IF(PERCENTRANK(Table1[Parking Score], T17) &lt; 3/5, "MEDIUM", IF(PERCENTRANK(Table1[Parking Score], T17) &lt; 4/5, "MEDIUM-HIGH", "HIGH"))))</f>
        <v>LOW</v>
      </c>
    </row>
    <row r="18" spans="1:22" x14ac:dyDescent="0.25">
      <c r="A18" s="82" t="s">
        <v>74</v>
      </c>
      <c r="B18" s="83">
        <v>18</v>
      </c>
      <c r="C18" s="83"/>
      <c r="D18" s="83"/>
      <c r="E18" s="83"/>
      <c r="F18" s="67">
        <v>0</v>
      </c>
      <c r="G18" s="67" t="str">
        <f>IF(PERCENTRANK(Table1[Parking Spots Regular], F18) &lt; 1/5, "1", IF(PERCENTRANK(Table1[Parking Spots Regular], F18) &lt; 2/5, "2", IF(PERCENTRANK(Table1[Parking Spots Regular], F18) &lt; 3/5, "3", IF(PERCENTRANK(Table1[Parking Spots Regular], F18) &lt; 4/5, "4", "5"))))</f>
        <v>1</v>
      </c>
      <c r="H18" s="67">
        <v>0</v>
      </c>
      <c r="I18" s="67" t="str">
        <f>IF(PERCENTRANK(Table1[Parking Spots ADA], H18) &lt; 1/5, "1", IF(PERCENTRANK(Table1[Parking Spots ADA], H18) &lt; 2/5, "2", IF(PERCENTRANK(Table1[Parking Spots ADA], H18) &lt; 3/5, "3", IF(PERCENTRANK(Table1[Parking Spots ADA], H18) &lt; 4/5, "4", "5"))))</f>
        <v>1</v>
      </c>
      <c r="J18" s="67">
        <v>0</v>
      </c>
      <c r="K18" s="67">
        <v>0</v>
      </c>
      <c r="L18" s="67">
        <f t="shared" si="0"/>
        <v>0</v>
      </c>
      <c r="M18" s="67" t="str">
        <f>IF(PERCENTRANK(Table1[EVC Stations + Occupied], L18) &lt; 1/5, "1", IF(PERCENTRANK(Table1[EVC Stations + Occupied], L18) &lt; 2/5, "2", IF(PERCENTRANK(Table1[EVC Stations + Occupied], L18) &lt; 3/5, "3", IF(PERCENTRANK(Table1[EVC Stations + Occupied], L18) &lt; 4/5, "4", "5"))))</f>
        <v>1</v>
      </c>
      <c r="N18" s="67"/>
      <c r="O18" s="73"/>
      <c r="P18" s="73"/>
      <c r="Q18" s="73"/>
      <c r="R18" s="67">
        <v>0</v>
      </c>
      <c r="S18" s="88">
        <v>1</v>
      </c>
      <c r="T18" s="21">
        <f>Table1[[#This Row],[Lighting]]+Table1[[#This Row],[Parking Fee]]+Table1[[#This Row],[Utilization from 50% score]]+Table1[[#This Row],[EVC Score]]+Table1[[#This Row],[ADA Spots Score]]+Table1[[#This Row],[Parking Spots Score]]</f>
        <v>4</v>
      </c>
      <c r="U18" s="93" t="str">
        <f>IF(PERCENTRANK(Table1[Parking Score], T18) &lt; 1/5, "1", IF(PERCENTRANK(Table1[Parking Score], T18) &lt; 2/5, "2", IF(PERCENTRANK(Table1[Parking Score], T18) &lt; 3/5, "3", IF(PERCENTRANK(Table1[Parking Score], T18) &lt; 4/5, "4", "5"))))</f>
        <v>1</v>
      </c>
      <c r="V18" s="21" t="str">
        <f>IF(PERCENTRANK(Table1[Parking Score], T18) &lt; 1/5, "LOW", IF(PERCENTRANK(Table1[Parking Score], T18) &lt; 2/5, "MEDIUM-LOW", IF(PERCENTRANK(Table1[Parking Score], T18) &lt; 3/5, "MEDIUM", IF(PERCENTRANK(Table1[Parking Score], T18) &lt; 4/5, "MEDIUM-HIGH", "HIGH"))))</f>
        <v>LOW</v>
      </c>
    </row>
    <row r="19" spans="1:22" x14ac:dyDescent="0.25">
      <c r="A19" s="82" t="s">
        <v>346</v>
      </c>
      <c r="B19" s="83">
        <v>19</v>
      </c>
      <c r="C19" s="83"/>
      <c r="D19" s="83"/>
      <c r="E19" s="83"/>
      <c r="F19" s="67">
        <v>30</v>
      </c>
      <c r="G19" s="67" t="str">
        <f>IF(PERCENTRANK(Table1[Parking Spots Regular], F19) &lt; 1/5, "1", IF(PERCENTRANK(Table1[Parking Spots Regular], F19) &lt; 2/5, "2", IF(PERCENTRANK(Table1[Parking Spots Regular], F19) &lt; 3/5, "3", IF(PERCENTRANK(Table1[Parking Spots Regular], F19) &lt; 4/5, "4", "5"))))</f>
        <v>3</v>
      </c>
      <c r="H19" s="67">
        <v>4</v>
      </c>
      <c r="I19" s="67" t="str">
        <f>IF(PERCENTRANK(Table1[Parking Spots ADA], H19) &lt; 1/5, "1", IF(PERCENTRANK(Table1[Parking Spots ADA], H19) &lt; 2/5, "2", IF(PERCENTRANK(Table1[Parking Spots ADA], H19) &lt; 3/5, "3", IF(PERCENTRANK(Table1[Parking Spots ADA], H19) &lt; 4/5, "4", "5"))))</f>
        <v>3</v>
      </c>
      <c r="J19" s="67">
        <v>0</v>
      </c>
      <c r="K19" s="67">
        <v>0</v>
      </c>
      <c r="L19" s="67">
        <f t="shared" si="0"/>
        <v>0</v>
      </c>
      <c r="M19" s="67" t="str">
        <f>IF(PERCENTRANK(Table1[EVC Stations + Occupied], L19) &lt; 1/5, "1", IF(PERCENTRANK(Table1[EVC Stations + Occupied], L19) &lt; 2/5, "2", IF(PERCENTRANK(Table1[EVC Stations + Occupied], L19) &lt; 3/5, "3", IF(PERCENTRANK(Table1[EVC Stations + Occupied], L19) &lt; 4/5, "4", "5"))))</f>
        <v>1</v>
      </c>
      <c r="N19" s="67">
        <v>30.333333333333332</v>
      </c>
      <c r="O19" s="73">
        <f t="shared" si="2"/>
        <v>0.89215686274509798</v>
      </c>
      <c r="P19" s="73">
        <f>ABS(O19-$X$8)</f>
        <v>0.39215686274509798</v>
      </c>
      <c r="Q19" s="73" t="str">
        <f>IF(PERCENTRANK(Table1[Utilization Rate from 50%], P19) &lt; 1/5, "5", IF(PERCENTRANK(Table1[Utilization Rate from 50%], P19) &lt; 2/5, "4", IF(PERCENTRANK(Table1[Utilization Rate from 50%], P19) &lt; 3/5, "3", IF(PERCENTRANK(Table1[Utilization Rate from 50%], P19) &lt; 4/5, "2", "1"))))</f>
        <v>2</v>
      </c>
      <c r="R19" s="67">
        <v>0</v>
      </c>
      <c r="S19" s="88">
        <v>1</v>
      </c>
      <c r="T19" s="21">
        <f>Table1[[#This Row],[Lighting]]+Table1[[#This Row],[Parking Fee]]+Table1[[#This Row],[Utilization from 50% score]]+Table1[[#This Row],[EVC Score]]+Table1[[#This Row],[ADA Spots Score]]+Table1[[#This Row],[Parking Spots Score]]</f>
        <v>10</v>
      </c>
      <c r="U19" s="93" t="str">
        <f>IF(PERCENTRANK(Table1[Parking Score], T19) &lt; 1/5, "1", IF(PERCENTRANK(Table1[Parking Score], T19) &lt; 2/5, "2", IF(PERCENTRANK(Table1[Parking Score], T19) &lt; 3/5, "3", IF(PERCENTRANK(Table1[Parking Score], T19) &lt; 4/5, "4", "5"))))</f>
        <v>3</v>
      </c>
      <c r="V19" s="21" t="str">
        <f>IF(PERCENTRANK(Table1[Parking Score], T19) &lt; 1/5, "LOW", IF(PERCENTRANK(Table1[Parking Score], T19) &lt; 2/5, "MEDIUM-LOW", IF(PERCENTRANK(Table1[Parking Score], T19) &lt; 3/5, "MEDIUM", IF(PERCENTRANK(Table1[Parking Score], T19) &lt; 4/5, "MEDIUM-HIGH", "HIGH"))))</f>
        <v>MEDIUM</v>
      </c>
    </row>
    <row r="20" spans="1:22" x14ac:dyDescent="0.25">
      <c r="A20" s="82" t="s">
        <v>347</v>
      </c>
      <c r="B20" s="83">
        <v>20</v>
      </c>
      <c r="C20" s="83"/>
      <c r="D20" s="83"/>
      <c r="E20" s="83"/>
      <c r="F20" s="67">
        <v>707</v>
      </c>
      <c r="G20" s="67" t="str">
        <f>IF(PERCENTRANK(Table1[Parking Spots Regular], F20) &lt; 1/5, "1", IF(PERCENTRANK(Table1[Parking Spots Regular], F20) &lt; 2/5, "2", IF(PERCENTRANK(Table1[Parking Spots Regular], F20) &lt; 3/5, "3", IF(PERCENTRANK(Table1[Parking Spots Regular], F20) &lt; 4/5, "4", "5"))))</f>
        <v>5</v>
      </c>
      <c r="H20" s="67">
        <v>16</v>
      </c>
      <c r="I20" s="67" t="str">
        <f>IF(PERCENTRANK(Table1[Parking Spots ADA], H20) &lt; 1/5, "1", IF(PERCENTRANK(Table1[Parking Spots ADA], H20) &lt; 2/5, "2", IF(PERCENTRANK(Table1[Parking Spots ADA], H20) &lt; 3/5, "3", IF(PERCENTRANK(Table1[Parking Spots ADA], H20) &lt; 4/5, "4", "5"))))</f>
        <v>5</v>
      </c>
      <c r="J20" s="67">
        <v>0</v>
      </c>
      <c r="K20" s="67">
        <v>0</v>
      </c>
      <c r="L20" s="67">
        <f t="shared" si="0"/>
        <v>0</v>
      </c>
      <c r="M20" s="67" t="str">
        <f>IF(PERCENTRANK(Table1[EVC Stations + Occupied], L20) &lt; 1/5, "1", IF(PERCENTRANK(Table1[EVC Stations + Occupied], L20) &lt; 2/5, "2", IF(PERCENTRANK(Table1[EVC Stations + Occupied], L20) &lt; 3/5, "3", IF(PERCENTRANK(Table1[EVC Stations + Occupied], L20) &lt; 4/5, "4", "5"))))</f>
        <v>1</v>
      </c>
      <c r="N20" s="67">
        <v>152</v>
      </c>
      <c r="O20" s="73">
        <f t="shared" si="2"/>
        <v>0.21023513139695713</v>
      </c>
      <c r="P20" s="73">
        <f>ABS(O20-$X$8)</f>
        <v>0.28976486860304285</v>
      </c>
      <c r="Q20" s="73" t="str">
        <f>IF(PERCENTRANK(Table1[Utilization Rate from 50%], P20) &lt; 1/5, "5", IF(PERCENTRANK(Table1[Utilization Rate from 50%], P20) &lt; 2/5, "4", IF(PERCENTRANK(Table1[Utilization Rate from 50%], P20) &lt; 3/5, "3", IF(PERCENTRANK(Table1[Utilization Rate from 50%], P20) &lt; 4/5, "2", "1"))))</f>
        <v>3</v>
      </c>
      <c r="R20" s="67">
        <v>0</v>
      </c>
      <c r="S20" s="88">
        <v>1</v>
      </c>
      <c r="T20" s="21">
        <f>Table1[[#This Row],[Lighting]]+Table1[[#This Row],[Parking Fee]]+Table1[[#This Row],[Utilization from 50% score]]+Table1[[#This Row],[EVC Score]]+Table1[[#This Row],[ADA Spots Score]]+Table1[[#This Row],[Parking Spots Score]]</f>
        <v>15</v>
      </c>
      <c r="U20" s="93" t="str">
        <f>IF(PERCENTRANK(Table1[Parking Score], T20) &lt; 1/5, "1", IF(PERCENTRANK(Table1[Parking Score], T20) &lt; 2/5, "2", IF(PERCENTRANK(Table1[Parking Score], T20) &lt; 3/5, "3", IF(PERCENTRANK(Table1[Parking Score], T20) &lt; 4/5, "4", "5"))))</f>
        <v>5</v>
      </c>
      <c r="V20" s="21" t="str">
        <f>IF(PERCENTRANK(Table1[Parking Score], T20) &lt; 1/5, "LOW", IF(PERCENTRANK(Table1[Parking Score], T20) &lt; 2/5, "MEDIUM-LOW", IF(PERCENTRANK(Table1[Parking Score], T20) &lt; 3/5, "MEDIUM", IF(PERCENTRANK(Table1[Parking Score], T20) &lt; 4/5, "MEDIUM-HIGH", "HIGH"))))</f>
        <v>HIGH</v>
      </c>
    </row>
    <row r="21" spans="1:22" x14ac:dyDescent="0.25">
      <c r="A21" s="82" t="s">
        <v>84</v>
      </c>
      <c r="B21" s="83">
        <v>21</v>
      </c>
      <c r="C21" s="83"/>
      <c r="D21" s="83"/>
      <c r="E21" s="83"/>
      <c r="F21" s="67">
        <v>0</v>
      </c>
      <c r="G21" s="67" t="str">
        <f>IF(PERCENTRANK(Table1[Parking Spots Regular], F21) &lt; 1/5, "1", IF(PERCENTRANK(Table1[Parking Spots Regular], F21) &lt; 2/5, "2", IF(PERCENTRANK(Table1[Parking Spots Regular], F21) &lt; 3/5, "3", IF(PERCENTRANK(Table1[Parking Spots Regular], F21) &lt; 4/5, "4", "5"))))</f>
        <v>1</v>
      </c>
      <c r="H21" s="67">
        <v>0</v>
      </c>
      <c r="I21" s="67" t="str">
        <f>IF(PERCENTRANK(Table1[Parking Spots ADA], H21) &lt; 1/5, "1", IF(PERCENTRANK(Table1[Parking Spots ADA], H21) &lt; 2/5, "2", IF(PERCENTRANK(Table1[Parking Spots ADA], H21) &lt; 3/5, "3", IF(PERCENTRANK(Table1[Parking Spots ADA], H21) &lt; 4/5, "4", "5"))))</f>
        <v>1</v>
      </c>
      <c r="J21" s="67">
        <v>0</v>
      </c>
      <c r="K21" s="67">
        <v>0</v>
      </c>
      <c r="L21" s="67">
        <f t="shared" si="0"/>
        <v>0</v>
      </c>
      <c r="M21" s="67" t="str">
        <f>IF(PERCENTRANK(Table1[EVC Stations + Occupied], L21) &lt; 1/5, "1", IF(PERCENTRANK(Table1[EVC Stations + Occupied], L21) &lt; 2/5, "2", IF(PERCENTRANK(Table1[EVC Stations + Occupied], L21) &lt; 3/5, "3", IF(PERCENTRANK(Table1[EVC Stations + Occupied], L21) &lt; 4/5, "4", "5"))))</f>
        <v>1</v>
      </c>
      <c r="N21" s="67"/>
      <c r="O21" s="73"/>
      <c r="P21" s="73"/>
      <c r="Q21" s="73"/>
      <c r="R21" s="67">
        <v>0</v>
      </c>
      <c r="S21" s="88">
        <v>1</v>
      </c>
      <c r="T21" s="21">
        <f>Table1[[#This Row],[Lighting]]+Table1[[#This Row],[Parking Fee]]+Table1[[#This Row],[Utilization from 50% score]]+Table1[[#This Row],[EVC Score]]+Table1[[#This Row],[ADA Spots Score]]+Table1[[#This Row],[Parking Spots Score]]</f>
        <v>4</v>
      </c>
      <c r="U21" s="93" t="str">
        <f>IF(PERCENTRANK(Table1[Parking Score], T21) &lt; 1/5, "1", IF(PERCENTRANK(Table1[Parking Score], T21) &lt; 2/5, "2", IF(PERCENTRANK(Table1[Parking Score], T21) &lt; 3/5, "3", IF(PERCENTRANK(Table1[Parking Score], T21) &lt; 4/5, "4", "5"))))</f>
        <v>1</v>
      </c>
      <c r="V21" s="21" t="str">
        <f>IF(PERCENTRANK(Table1[Parking Score], T21) &lt; 1/5, "LOW", IF(PERCENTRANK(Table1[Parking Score], T21) &lt; 2/5, "MEDIUM-LOW", IF(PERCENTRANK(Table1[Parking Score], T21) &lt; 3/5, "MEDIUM", IF(PERCENTRANK(Table1[Parking Score], T21) &lt; 4/5, "MEDIUM-HIGH", "HIGH"))))</f>
        <v>LOW</v>
      </c>
    </row>
    <row r="22" spans="1:22" x14ac:dyDescent="0.25">
      <c r="A22" s="82" t="s">
        <v>86</v>
      </c>
      <c r="B22" s="83">
        <v>22</v>
      </c>
      <c r="C22" s="83"/>
      <c r="D22" s="83"/>
      <c r="E22" s="83"/>
      <c r="F22" s="67">
        <v>0</v>
      </c>
      <c r="G22" s="67" t="str">
        <f>IF(PERCENTRANK(Table1[Parking Spots Regular], F22) &lt; 1/5, "1", IF(PERCENTRANK(Table1[Parking Spots Regular], F22) &lt; 2/5, "2", IF(PERCENTRANK(Table1[Parking Spots Regular], F22) &lt; 3/5, "3", IF(PERCENTRANK(Table1[Parking Spots Regular], F22) &lt; 4/5, "4", "5"))))</f>
        <v>1</v>
      </c>
      <c r="H22" s="67">
        <v>0</v>
      </c>
      <c r="I22" s="67" t="str">
        <f>IF(PERCENTRANK(Table1[Parking Spots ADA], H22) &lt; 1/5, "1", IF(PERCENTRANK(Table1[Parking Spots ADA], H22) &lt; 2/5, "2", IF(PERCENTRANK(Table1[Parking Spots ADA], H22) &lt; 3/5, "3", IF(PERCENTRANK(Table1[Parking Spots ADA], H22) &lt; 4/5, "4", "5"))))</f>
        <v>1</v>
      </c>
      <c r="J22" s="67">
        <v>0</v>
      </c>
      <c r="K22" s="67">
        <v>0</v>
      </c>
      <c r="L22" s="67">
        <f t="shared" si="0"/>
        <v>0</v>
      </c>
      <c r="M22" s="67" t="str">
        <f>IF(PERCENTRANK(Table1[EVC Stations + Occupied], L22) &lt; 1/5, "1", IF(PERCENTRANK(Table1[EVC Stations + Occupied], L22) &lt; 2/5, "2", IF(PERCENTRANK(Table1[EVC Stations + Occupied], L22) &lt; 3/5, "3", IF(PERCENTRANK(Table1[EVC Stations + Occupied], L22) &lt; 4/5, "4", "5"))))</f>
        <v>1</v>
      </c>
      <c r="N22" s="67"/>
      <c r="O22" s="73"/>
      <c r="P22" s="73"/>
      <c r="Q22" s="73"/>
      <c r="R22" s="67">
        <v>0</v>
      </c>
      <c r="S22" s="88">
        <v>1</v>
      </c>
      <c r="T22" s="21">
        <f>Table1[[#This Row],[Lighting]]+Table1[[#This Row],[Parking Fee]]+Table1[[#This Row],[Utilization from 50% score]]+Table1[[#This Row],[EVC Score]]+Table1[[#This Row],[ADA Spots Score]]+Table1[[#This Row],[Parking Spots Score]]</f>
        <v>4</v>
      </c>
      <c r="U22" s="93" t="str">
        <f>IF(PERCENTRANK(Table1[Parking Score], T22) &lt; 1/5, "1", IF(PERCENTRANK(Table1[Parking Score], T22) &lt; 2/5, "2", IF(PERCENTRANK(Table1[Parking Score], T22) &lt; 3/5, "3", IF(PERCENTRANK(Table1[Parking Score], T22) &lt; 4/5, "4", "5"))))</f>
        <v>1</v>
      </c>
      <c r="V22" s="21" t="str">
        <f>IF(PERCENTRANK(Table1[Parking Score], T22) &lt; 1/5, "LOW", IF(PERCENTRANK(Table1[Parking Score], T22) &lt; 2/5, "MEDIUM-LOW", IF(PERCENTRANK(Table1[Parking Score], T22) &lt; 3/5, "MEDIUM", IF(PERCENTRANK(Table1[Parking Score], T22) &lt; 4/5, "MEDIUM-HIGH", "HIGH"))))</f>
        <v>LOW</v>
      </c>
    </row>
    <row r="23" spans="1:22" x14ac:dyDescent="0.25">
      <c r="A23" s="82" t="s">
        <v>88</v>
      </c>
      <c r="B23" s="83">
        <v>23</v>
      </c>
      <c r="C23" s="83"/>
      <c r="D23" s="83"/>
      <c r="E23" s="83"/>
      <c r="F23" s="67">
        <v>335</v>
      </c>
      <c r="G23" s="67" t="str">
        <f>IF(PERCENTRANK(Table1[Parking Spots Regular], F23) &lt; 1/5, "1", IF(PERCENTRANK(Table1[Parking Spots Regular], F23) &lt; 2/5, "2", IF(PERCENTRANK(Table1[Parking Spots Regular], F23) &lt; 3/5, "3", IF(PERCENTRANK(Table1[Parking Spots Regular], F23) &lt; 4/5, "4", "5"))))</f>
        <v>4</v>
      </c>
      <c r="H23" s="67">
        <v>11</v>
      </c>
      <c r="I23" s="67" t="str">
        <f>IF(PERCENTRANK(Table1[Parking Spots ADA], H23) &lt; 1/5, "1", IF(PERCENTRANK(Table1[Parking Spots ADA], H23) &lt; 2/5, "2", IF(PERCENTRANK(Table1[Parking Spots ADA], H23) &lt; 3/5, "3", IF(PERCENTRANK(Table1[Parking Spots ADA], H23) &lt; 4/5, "4", "5"))))</f>
        <v>4</v>
      </c>
      <c r="J23" s="67">
        <v>0</v>
      </c>
      <c r="K23" s="67">
        <v>0</v>
      </c>
      <c r="L23" s="67">
        <f t="shared" si="0"/>
        <v>0</v>
      </c>
      <c r="M23" s="67" t="str">
        <f>IF(PERCENTRANK(Table1[EVC Stations + Occupied], L23) &lt; 1/5, "1", IF(PERCENTRANK(Table1[EVC Stations + Occupied], L23) &lt; 2/5, "2", IF(PERCENTRANK(Table1[EVC Stations + Occupied], L23) &lt; 3/5, "3", IF(PERCENTRANK(Table1[EVC Stations + Occupied], L23) &lt; 4/5, "4", "5"))))</f>
        <v>1</v>
      </c>
      <c r="N23" s="67">
        <v>267.33333333333331</v>
      </c>
      <c r="O23" s="73">
        <f t="shared" si="2"/>
        <v>0.77263969171483615</v>
      </c>
      <c r="P23" s="73">
        <f>ABS(O23-$X$8)</f>
        <v>0.27263969171483615</v>
      </c>
      <c r="Q23" s="73" t="str">
        <f>IF(PERCENTRANK(Table1[Utilization Rate from 50%], P23) &lt; 1/5, "5", IF(PERCENTRANK(Table1[Utilization Rate from 50%], P23) &lt; 2/5, "4", IF(PERCENTRANK(Table1[Utilization Rate from 50%], P23) &lt; 3/5, "3", IF(PERCENTRANK(Table1[Utilization Rate from 50%], P23) &lt; 4/5, "2", "1"))))</f>
        <v>3</v>
      </c>
      <c r="R23" s="67">
        <v>0</v>
      </c>
      <c r="S23" s="88">
        <v>1</v>
      </c>
      <c r="T23" s="21">
        <f>Table1[[#This Row],[Lighting]]+Table1[[#This Row],[Parking Fee]]+Table1[[#This Row],[Utilization from 50% score]]+Table1[[#This Row],[EVC Score]]+Table1[[#This Row],[ADA Spots Score]]+Table1[[#This Row],[Parking Spots Score]]</f>
        <v>13</v>
      </c>
      <c r="U23" s="93" t="str">
        <f>IF(PERCENTRANK(Table1[Parking Score], T23) &lt; 1/5, "1", IF(PERCENTRANK(Table1[Parking Score], T23) &lt; 2/5, "2", IF(PERCENTRANK(Table1[Parking Score], T23) &lt; 3/5, "3", IF(PERCENTRANK(Table1[Parking Score], T23) &lt; 4/5, "4", "5"))))</f>
        <v>4</v>
      </c>
      <c r="V23" s="21" t="str">
        <f>IF(PERCENTRANK(Table1[Parking Score], T23) &lt; 1/5, "LOW", IF(PERCENTRANK(Table1[Parking Score], T23) &lt; 2/5, "MEDIUM-LOW", IF(PERCENTRANK(Table1[Parking Score], T23) &lt; 3/5, "MEDIUM", IF(PERCENTRANK(Table1[Parking Score], T23) &lt; 4/5, "MEDIUM-HIGH", "HIGH"))))</f>
        <v>MEDIUM-HIGH</v>
      </c>
    </row>
    <row r="24" spans="1:22" x14ac:dyDescent="0.25">
      <c r="A24" s="82" t="s">
        <v>89</v>
      </c>
      <c r="B24" s="83">
        <v>24</v>
      </c>
      <c r="C24" s="83"/>
      <c r="D24" s="83"/>
      <c r="E24" s="83"/>
      <c r="F24" s="67">
        <v>33</v>
      </c>
      <c r="G24" s="67" t="str">
        <f>IF(PERCENTRANK(Table1[Parking Spots Regular], F24) &lt; 1/5, "1", IF(PERCENTRANK(Table1[Parking Spots Regular], F24) &lt; 2/5, "2", IF(PERCENTRANK(Table1[Parking Spots Regular], F24) &lt; 3/5, "3", IF(PERCENTRANK(Table1[Parking Spots Regular], F24) &lt; 4/5, "4", "5"))))</f>
        <v>3</v>
      </c>
      <c r="H24" s="67">
        <v>2</v>
      </c>
      <c r="I24" s="67" t="str">
        <f>IF(PERCENTRANK(Table1[Parking Spots ADA], H24) &lt; 1/5, "1", IF(PERCENTRANK(Table1[Parking Spots ADA], H24) &lt; 2/5, "2", IF(PERCENTRANK(Table1[Parking Spots ADA], H24) &lt; 3/5, "3", IF(PERCENTRANK(Table1[Parking Spots ADA], H24) &lt; 4/5, "4", "5"))))</f>
        <v>3</v>
      </c>
      <c r="J24" s="67">
        <v>0</v>
      </c>
      <c r="K24" s="67">
        <v>0</v>
      </c>
      <c r="L24" s="67">
        <f t="shared" si="0"/>
        <v>0</v>
      </c>
      <c r="M24" s="67" t="str">
        <f>IF(PERCENTRANK(Table1[EVC Stations + Occupied], L24) &lt; 1/5, "1", IF(PERCENTRANK(Table1[EVC Stations + Occupied], L24) &lt; 2/5, "2", IF(PERCENTRANK(Table1[EVC Stations + Occupied], L24) &lt; 3/5, "3", IF(PERCENTRANK(Table1[EVC Stations + Occupied], L24) &lt; 4/5, "4", "5"))))</f>
        <v>1</v>
      </c>
      <c r="N24" s="67">
        <v>25.666666666666668</v>
      </c>
      <c r="O24" s="73">
        <f t="shared" si="2"/>
        <v>0.73333333333333339</v>
      </c>
      <c r="P24" s="73">
        <f>ABS(O24-$X$8)</f>
        <v>0.23333333333333339</v>
      </c>
      <c r="Q24" s="73" t="str">
        <f>IF(PERCENTRANK(Table1[Utilization Rate from 50%], P24) &lt; 1/5, "5", IF(PERCENTRANK(Table1[Utilization Rate from 50%], P24) &lt; 2/5, "4", IF(PERCENTRANK(Table1[Utilization Rate from 50%], P24) &lt; 3/5, "3", IF(PERCENTRANK(Table1[Utilization Rate from 50%], P24) &lt; 4/5, "2", "1"))))</f>
        <v>4</v>
      </c>
      <c r="R24" s="67">
        <v>0</v>
      </c>
      <c r="S24" s="88">
        <v>1</v>
      </c>
      <c r="T24" s="21">
        <f>Table1[[#This Row],[Lighting]]+Table1[[#This Row],[Parking Fee]]+Table1[[#This Row],[Utilization from 50% score]]+Table1[[#This Row],[EVC Score]]+Table1[[#This Row],[ADA Spots Score]]+Table1[[#This Row],[Parking Spots Score]]</f>
        <v>12</v>
      </c>
      <c r="U24" s="93" t="str">
        <f>IF(PERCENTRANK(Table1[Parking Score], T24) &lt; 1/5, "1", IF(PERCENTRANK(Table1[Parking Score], T24) &lt; 2/5, "2", IF(PERCENTRANK(Table1[Parking Score], T24) &lt; 3/5, "3", IF(PERCENTRANK(Table1[Parking Score], T24) &lt; 4/5, "4", "5"))))</f>
        <v>4</v>
      </c>
      <c r="V24" s="21" t="str">
        <f>IF(PERCENTRANK(Table1[Parking Score], T24) &lt; 1/5, "LOW", IF(PERCENTRANK(Table1[Parking Score], T24) &lt; 2/5, "MEDIUM-LOW", IF(PERCENTRANK(Table1[Parking Score], T24) &lt; 3/5, "MEDIUM", IF(PERCENTRANK(Table1[Parking Score], T24) &lt; 4/5, "MEDIUM-HIGH", "HIGH"))))</f>
        <v>MEDIUM-HIGH</v>
      </c>
    </row>
    <row r="25" spans="1:22" x14ac:dyDescent="0.25">
      <c r="A25" s="82" t="s">
        <v>91</v>
      </c>
      <c r="B25" s="83">
        <v>25</v>
      </c>
      <c r="C25" s="83"/>
      <c r="D25" s="83"/>
      <c r="E25" s="83"/>
      <c r="F25" s="67">
        <v>27</v>
      </c>
      <c r="G25" s="67" t="str">
        <f>IF(PERCENTRANK(Table1[Parking Spots Regular], F25) &lt; 1/5, "1", IF(PERCENTRANK(Table1[Parking Spots Regular], F25) &lt; 2/5, "2", IF(PERCENTRANK(Table1[Parking Spots Regular], F25) &lt; 3/5, "3", IF(PERCENTRANK(Table1[Parking Spots Regular], F25) &lt; 4/5, "4", "5"))))</f>
        <v>3</v>
      </c>
      <c r="H25" s="67">
        <v>3</v>
      </c>
      <c r="I25" s="67" t="str">
        <f>IF(PERCENTRANK(Table1[Parking Spots ADA], H25) &lt; 1/5, "1", IF(PERCENTRANK(Table1[Parking Spots ADA], H25) &lt; 2/5, "2", IF(PERCENTRANK(Table1[Parking Spots ADA], H25) &lt; 3/5, "3", IF(PERCENTRANK(Table1[Parking Spots ADA], H25) &lt; 4/5, "4", "5"))))</f>
        <v>3</v>
      </c>
      <c r="J25" s="67">
        <v>0</v>
      </c>
      <c r="K25" s="67">
        <v>0</v>
      </c>
      <c r="L25" s="67">
        <f t="shared" si="0"/>
        <v>0</v>
      </c>
      <c r="M25" s="67" t="str">
        <f>IF(PERCENTRANK(Table1[EVC Stations + Occupied], L25) &lt; 1/5, "1", IF(PERCENTRANK(Table1[EVC Stations + Occupied], L25) &lt; 2/5, "2", IF(PERCENTRANK(Table1[EVC Stations + Occupied], L25) &lt; 3/5, "3", IF(PERCENTRANK(Table1[EVC Stations + Occupied], L25) &lt; 4/5, "4", "5"))))</f>
        <v>1</v>
      </c>
      <c r="N25" s="67">
        <v>23.666666666666668</v>
      </c>
      <c r="O25" s="73">
        <f t="shared" si="2"/>
        <v>0.78888888888888897</v>
      </c>
      <c r="P25" s="73">
        <f>ABS(O25-$X$8)</f>
        <v>0.28888888888888897</v>
      </c>
      <c r="Q25" s="73" t="str">
        <f>IF(PERCENTRANK(Table1[Utilization Rate from 50%], P25) &lt; 1/5, "5", IF(PERCENTRANK(Table1[Utilization Rate from 50%], P25) &lt; 2/5, "4", IF(PERCENTRANK(Table1[Utilization Rate from 50%], P25) &lt; 3/5, "3", IF(PERCENTRANK(Table1[Utilization Rate from 50%], P25) &lt; 4/5, "2", "1"))))</f>
        <v>3</v>
      </c>
      <c r="R25" s="67">
        <v>0</v>
      </c>
      <c r="S25" s="88">
        <v>1</v>
      </c>
      <c r="T25" s="21">
        <f>Table1[[#This Row],[Lighting]]+Table1[[#This Row],[Parking Fee]]+Table1[[#This Row],[Utilization from 50% score]]+Table1[[#This Row],[EVC Score]]+Table1[[#This Row],[ADA Spots Score]]+Table1[[#This Row],[Parking Spots Score]]</f>
        <v>11</v>
      </c>
      <c r="U25" s="93" t="str">
        <f>IF(PERCENTRANK(Table1[Parking Score], T25) &lt; 1/5, "1", IF(PERCENTRANK(Table1[Parking Score], T25) &lt; 2/5, "2", IF(PERCENTRANK(Table1[Parking Score], T25) &lt; 3/5, "3", IF(PERCENTRANK(Table1[Parking Score], T25) &lt; 4/5, "4", "5"))))</f>
        <v>3</v>
      </c>
      <c r="V25" s="21" t="str">
        <f>IF(PERCENTRANK(Table1[Parking Score], T25) &lt; 1/5, "LOW", IF(PERCENTRANK(Table1[Parking Score], T25) &lt; 2/5, "MEDIUM-LOW", IF(PERCENTRANK(Table1[Parking Score], T25) &lt; 3/5, "MEDIUM", IF(PERCENTRANK(Table1[Parking Score], T25) &lt; 4/5, "MEDIUM-HIGH", "HIGH"))))</f>
        <v>MEDIUM</v>
      </c>
    </row>
    <row r="26" spans="1:22" x14ac:dyDescent="0.25">
      <c r="A26" s="82" t="s">
        <v>93</v>
      </c>
      <c r="B26" s="83">
        <v>26</v>
      </c>
      <c r="C26" s="83"/>
      <c r="D26" s="83"/>
      <c r="E26" s="83"/>
      <c r="F26" s="67">
        <v>164</v>
      </c>
      <c r="G26" s="67" t="str">
        <f>IF(PERCENTRANK(Table1[Parking Spots Regular], F26) &lt; 1/5, "1", IF(PERCENTRANK(Table1[Parking Spots Regular], F26) &lt; 2/5, "2", IF(PERCENTRANK(Table1[Parking Spots Regular], F26) &lt; 3/5, "3", IF(PERCENTRANK(Table1[Parking Spots Regular], F26) &lt; 4/5, "4", "5"))))</f>
        <v>4</v>
      </c>
      <c r="H26" s="67">
        <v>3</v>
      </c>
      <c r="I26" s="67" t="str">
        <f>IF(PERCENTRANK(Table1[Parking Spots ADA], H26) &lt; 1/5, "1", IF(PERCENTRANK(Table1[Parking Spots ADA], H26) &lt; 2/5, "2", IF(PERCENTRANK(Table1[Parking Spots ADA], H26) &lt; 3/5, "3", IF(PERCENTRANK(Table1[Parking Spots ADA], H26) &lt; 4/5, "4", "5"))))</f>
        <v>3</v>
      </c>
      <c r="J26" s="67">
        <v>0</v>
      </c>
      <c r="K26" s="67">
        <v>0</v>
      </c>
      <c r="L26" s="67">
        <f t="shared" si="0"/>
        <v>0</v>
      </c>
      <c r="M26" s="67" t="str">
        <f>IF(PERCENTRANK(Table1[EVC Stations + Occupied], L26) &lt; 1/5, "1", IF(PERCENTRANK(Table1[EVC Stations + Occupied], L26) &lt; 2/5, "2", IF(PERCENTRANK(Table1[EVC Stations + Occupied], L26) &lt; 3/5, "3", IF(PERCENTRANK(Table1[EVC Stations + Occupied], L26) &lt; 4/5, "4", "5"))))</f>
        <v>1</v>
      </c>
      <c r="N26" s="67">
        <v>89</v>
      </c>
      <c r="O26" s="73">
        <f t="shared" si="2"/>
        <v>0.53293413173652693</v>
      </c>
      <c r="P26" s="73">
        <f>ABS(O26-$X$8)</f>
        <v>3.2934131736526928E-2</v>
      </c>
      <c r="Q26" s="73" t="str">
        <f>IF(PERCENTRANK(Table1[Utilization Rate from 50%], P26) &lt; 1/5, "5", IF(PERCENTRANK(Table1[Utilization Rate from 50%], P26) &lt; 2/5, "4", IF(PERCENTRANK(Table1[Utilization Rate from 50%], P26) &lt; 3/5, "3", IF(PERCENTRANK(Table1[Utilization Rate from 50%], P26) &lt; 4/5, "2", "1"))))</f>
        <v>5</v>
      </c>
      <c r="R26" s="67">
        <v>0</v>
      </c>
      <c r="S26" s="88">
        <v>1</v>
      </c>
      <c r="T26" s="21">
        <f>Table1[[#This Row],[Lighting]]+Table1[[#This Row],[Parking Fee]]+Table1[[#This Row],[Utilization from 50% score]]+Table1[[#This Row],[EVC Score]]+Table1[[#This Row],[ADA Spots Score]]+Table1[[#This Row],[Parking Spots Score]]</f>
        <v>14</v>
      </c>
      <c r="U26" s="93" t="str">
        <f>IF(PERCENTRANK(Table1[Parking Score], T26) &lt; 1/5, "1", IF(PERCENTRANK(Table1[Parking Score], T26) &lt; 2/5, "2", IF(PERCENTRANK(Table1[Parking Score], T26) &lt; 3/5, "3", IF(PERCENTRANK(Table1[Parking Score], T26) &lt; 4/5, "4", "5"))))</f>
        <v>4</v>
      </c>
      <c r="V26" s="21" t="str">
        <f>IF(PERCENTRANK(Table1[Parking Score], T26) &lt; 1/5, "LOW", IF(PERCENTRANK(Table1[Parking Score], T26) &lt; 2/5, "MEDIUM-LOW", IF(PERCENTRANK(Table1[Parking Score], T26) &lt; 3/5, "MEDIUM", IF(PERCENTRANK(Table1[Parking Score], T26) &lt; 4/5, "MEDIUM-HIGH", "HIGH"))))</f>
        <v>MEDIUM-HIGH</v>
      </c>
    </row>
    <row r="27" spans="1:22" x14ac:dyDescent="0.25">
      <c r="A27" s="82" t="s">
        <v>94</v>
      </c>
      <c r="B27" s="83">
        <v>27</v>
      </c>
      <c r="C27" s="83"/>
      <c r="D27" s="83"/>
      <c r="E27" s="83"/>
      <c r="F27" s="67">
        <v>0</v>
      </c>
      <c r="G27" s="67" t="str">
        <f>IF(PERCENTRANK(Table1[Parking Spots Regular], F27) &lt; 1/5, "1", IF(PERCENTRANK(Table1[Parking Spots Regular], F27) &lt; 2/5, "2", IF(PERCENTRANK(Table1[Parking Spots Regular], F27) &lt; 3/5, "3", IF(PERCENTRANK(Table1[Parking Spots Regular], F27) &lt; 4/5, "4", "5"))))</f>
        <v>1</v>
      </c>
      <c r="H27" s="67">
        <v>0</v>
      </c>
      <c r="I27" s="67" t="str">
        <f>IF(PERCENTRANK(Table1[Parking Spots ADA], H27) &lt; 1/5, "1", IF(PERCENTRANK(Table1[Parking Spots ADA], H27) &lt; 2/5, "2", IF(PERCENTRANK(Table1[Parking Spots ADA], H27) &lt; 3/5, "3", IF(PERCENTRANK(Table1[Parking Spots ADA], H27) &lt; 4/5, "4", "5"))))</f>
        <v>1</v>
      </c>
      <c r="J27" s="67">
        <v>0</v>
      </c>
      <c r="K27" s="67">
        <v>0</v>
      </c>
      <c r="L27" s="67">
        <f t="shared" si="0"/>
        <v>0</v>
      </c>
      <c r="M27" s="67" t="str">
        <f>IF(PERCENTRANK(Table1[EVC Stations + Occupied], L27) &lt; 1/5, "1", IF(PERCENTRANK(Table1[EVC Stations + Occupied], L27) &lt; 2/5, "2", IF(PERCENTRANK(Table1[EVC Stations + Occupied], L27) &lt; 3/5, "3", IF(PERCENTRANK(Table1[EVC Stations + Occupied], L27) &lt; 4/5, "4", "5"))))</f>
        <v>1</v>
      </c>
      <c r="N27" s="67"/>
      <c r="O27" s="73"/>
      <c r="P27" s="73"/>
      <c r="Q27" s="73"/>
      <c r="R27" s="67">
        <v>0</v>
      </c>
      <c r="S27" s="88">
        <v>1</v>
      </c>
      <c r="T27" s="21">
        <f>Table1[[#This Row],[Lighting]]+Table1[[#This Row],[Parking Fee]]+Table1[[#This Row],[Utilization from 50% score]]+Table1[[#This Row],[EVC Score]]+Table1[[#This Row],[ADA Spots Score]]+Table1[[#This Row],[Parking Spots Score]]</f>
        <v>4</v>
      </c>
      <c r="U27" s="93" t="str">
        <f>IF(PERCENTRANK(Table1[Parking Score], T27) &lt; 1/5, "1", IF(PERCENTRANK(Table1[Parking Score], T27) &lt; 2/5, "2", IF(PERCENTRANK(Table1[Parking Score], T27) &lt; 3/5, "3", IF(PERCENTRANK(Table1[Parking Score], T27) &lt; 4/5, "4", "5"))))</f>
        <v>1</v>
      </c>
      <c r="V27" s="21" t="str">
        <f>IF(PERCENTRANK(Table1[Parking Score], T27) &lt; 1/5, "LOW", IF(PERCENTRANK(Table1[Parking Score], T27) &lt; 2/5, "MEDIUM-LOW", IF(PERCENTRANK(Table1[Parking Score], T27) &lt; 3/5, "MEDIUM", IF(PERCENTRANK(Table1[Parking Score], T27) &lt; 4/5, "MEDIUM-HIGH", "HIGH"))))</f>
        <v>LOW</v>
      </c>
    </row>
    <row r="28" spans="1:22" x14ac:dyDescent="0.25">
      <c r="A28" s="82" t="s">
        <v>96</v>
      </c>
      <c r="B28" s="83">
        <v>28</v>
      </c>
      <c r="C28" s="83"/>
      <c r="D28" s="83"/>
      <c r="E28" s="83"/>
      <c r="F28" s="67">
        <v>0</v>
      </c>
      <c r="G28" s="67" t="str">
        <f>IF(PERCENTRANK(Table1[Parking Spots Regular], F28) &lt; 1/5, "1", IF(PERCENTRANK(Table1[Parking Spots Regular], F28) &lt; 2/5, "2", IF(PERCENTRANK(Table1[Parking Spots Regular], F28) &lt; 3/5, "3", IF(PERCENTRANK(Table1[Parking Spots Regular], F28) &lt; 4/5, "4", "5"))))</f>
        <v>1</v>
      </c>
      <c r="H28" s="67">
        <v>0</v>
      </c>
      <c r="I28" s="67" t="str">
        <f>IF(PERCENTRANK(Table1[Parking Spots ADA], H28) &lt; 1/5, "1", IF(PERCENTRANK(Table1[Parking Spots ADA], H28) &lt; 2/5, "2", IF(PERCENTRANK(Table1[Parking Spots ADA], H28) &lt; 3/5, "3", IF(PERCENTRANK(Table1[Parking Spots ADA], H28) &lt; 4/5, "4", "5"))))</f>
        <v>1</v>
      </c>
      <c r="J28" s="67">
        <v>0</v>
      </c>
      <c r="K28" s="67">
        <v>0</v>
      </c>
      <c r="L28" s="67">
        <f t="shared" si="0"/>
        <v>0</v>
      </c>
      <c r="M28" s="67" t="str">
        <f>IF(PERCENTRANK(Table1[EVC Stations + Occupied], L28) &lt; 1/5, "1", IF(PERCENTRANK(Table1[EVC Stations + Occupied], L28) &lt; 2/5, "2", IF(PERCENTRANK(Table1[EVC Stations + Occupied], L28) &lt; 3/5, "3", IF(PERCENTRANK(Table1[EVC Stations + Occupied], L28) &lt; 4/5, "4", "5"))))</f>
        <v>1</v>
      </c>
      <c r="N28" s="67"/>
      <c r="O28" s="73"/>
      <c r="P28" s="73"/>
      <c r="Q28" s="73"/>
      <c r="R28" s="67">
        <v>0</v>
      </c>
      <c r="S28" s="88">
        <v>1</v>
      </c>
      <c r="T28" s="21">
        <f>Table1[[#This Row],[Lighting]]+Table1[[#This Row],[Parking Fee]]+Table1[[#This Row],[Utilization from 50% score]]+Table1[[#This Row],[EVC Score]]+Table1[[#This Row],[ADA Spots Score]]+Table1[[#This Row],[Parking Spots Score]]</f>
        <v>4</v>
      </c>
      <c r="U28" s="93" t="str">
        <f>IF(PERCENTRANK(Table1[Parking Score], T28) &lt; 1/5, "1", IF(PERCENTRANK(Table1[Parking Score], T28) &lt; 2/5, "2", IF(PERCENTRANK(Table1[Parking Score], T28) &lt; 3/5, "3", IF(PERCENTRANK(Table1[Parking Score], T28) &lt; 4/5, "4", "5"))))</f>
        <v>1</v>
      </c>
      <c r="V28" s="21" t="str">
        <f>IF(PERCENTRANK(Table1[Parking Score], T28) &lt; 1/5, "LOW", IF(PERCENTRANK(Table1[Parking Score], T28) &lt; 2/5, "MEDIUM-LOW", IF(PERCENTRANK(Table1[Parking Score], T28) &lt; 3/5, "MEDIUM", IF(PERCENTRANK(Table1[Parking Score], T28) &lt; 4/5, "MEDIUM-HIGH", "HIGH"))))</f>
        <v>LOW</v>
      </c>
    </row>
    <row r="29" spans="1:22" x14ac:dyDescent="0.25">
      <c r="A29" s="82" t="s">
        <v>98</v>
      </c>
      <c r="B29" s="83">
        <v>29</v>
      </c>
      <c r="C29" s="83"/>
      <c r="D29" s="83"/>
      <c r="E29" s="83"/>
      <c r="F29" s="67">
        <v>0</v>
      </c>
      <c r="G29" s="67" t="str">
        <f>IF(PERCENTRANK(Table1[Parking Spots Regular], F29) &lt; 1/5, "1", IF(PERCENTRANK(Table1[Parking Spots Regular], F29) &lt; 2/5, "2", IF(PERCENTRANK(Table1[Parking Spots Regular], F29) &lt; 3/5, "3", IF(PERCENTRANK(Table1[Parking Spots Regular], F29) &lt; 4/5, "4", "5"))))</f>
        <v>1</v>
      </c>
      <c r="H29" s="67">
        <v>0</v>
      </c>
      <c r="I29" s="67" t="str">
        <f>IF(PERCENTRANK(Table1[Parking Spots ADA], H29) &lt; 1/5, "1", IF(PERCENTRANK(Table1[Parking Spots ADA], H29) &lt; 2/5, "2", IF(PERCENTRANK(Table1[Parking Spots ADA], H29) &lt; 3/5, "3", IF(PERCENTRANK(Table1[Parking Spots ADA], H29) &lt; 4/5, "4", "5"))))</f>
        <v>1</v>
      </c>
      <c r="J29" s="67">
        <v>0</v>
      </c>
      <c r="K29" s="67">
        <v>0</v>
      </c>
      <c r="L29" s="67">
        <f t="shared" si="0"/>
        <v>0</v>
      </c>
      <c r="M29" s="67" t="str">
        <f>IF(PERCENTRANK(Table1[EVC Stations + Occupied], L29) &lt; 1/5, "1", IF(PERCENTRANK(Table1[EVC Stations + Occupied], L29) &lt; 2/5, "2", IF(PERCENTRANK(Table1[EVC Stations + Occupied], L29) &lt; 3/5, "3", IF(PERCENTRANK(Table1[EVC Stations + Occupied], L29) &lt; 4/5, "4", "5"))))</f>
        <v>1</v>
      </c>
      <c r="N29" s="67"/>
      <c r="O29" s="73"/>
      <c r="P29" s="73"/>
      <c r="Q29" s="73"/>
      <c r="R29" s="67">
        <v>0</v>
      </c>
      <c r="S29" s="88">
        <v>1</v>
      </c>
      <c r="T29" s="21">
        <f>Table1[[#This Row],[Lighting]]+Table1[[#This Row],[Parking Fee]]+Table1[[#This Row],[Utilization from 50% score]]+Table1[[#This Row],[EVC Score]]+Table1[[#This Row],[ADA Spots Score]]+Table1[[#This Row],[Parking Spots Score]]</f>
        <v>4</v>
      </c>
      <c r="U29" s="93" t="str">
        <f>IF(PERCENTRANK(Table1[Parking Score], T29) &lt; 1/5, "1", IF(PERCENTRANK(Table1[Parking Score], T29) &lt; 2/5, "2", IF(PERCENTRANK(Table1[Parking Score], T29) &lt; 3/5, "3", IF(PERCENTRANK(Table1[Parking Score], T29) &lt; 4/5, "4", "5"))))</f>
        <v>1</v>
      </c>
      <c r="V29" s="21" t="str">
        <f>IF(PERCENTRANK(Table1[Parking Score], T29) &lt; 1/5, "LOW", IF(PERCENTRANK(Table1[Parking Score], T29) &lt; 2/5, "MEDIUM-LOW", IF(PERCENTRANK(Table1[Parking Score], T29) &lt; 3/5, "MEDIUM", IF(PERCENTRANK(Table1[Parking Score], T29) &lt; 4/5, "MEDIUM-HIGH", "HIGH"))))</f>
        <v>LOW</v>
      </c>
    </row>
    <row r="30" spans="1:22" x14ac:dyDescent="0.25">
      <c r="A30" s="82" t="s">
        <v>350</v>
      </c>
      <c r="B30" s="83">
        <v>30</v>
      </c>
      <c r="C30" s="83"/>
      <c r="D30" s="83"/>
      <c r="E30" s="83"/>
      <c r="F30" s="67">
        <v>0</v>
      </c>
      <c r="G30" s="67" t="str">
        <f>IF(PERCENTRANK(Table1[Parking Spots Regular], F30) &lt; 1/5, "1", IF(PERCENTRANK(Table1[Parking Spots Regular], F30) &lt; 2/5, "2", IF(PERCENTRANK(Table1[Parking Spots Regular], F30) &lt; 3/5, "3", IF(PERCENTRANK(Table1[Parking Spots Regular], F30) &lt; 4/5, "4", "5"))))</f>
        <v>1</v>
      </c>
      <c r="H30" s="67">
        <v>0</v>
      </c>
      <c r="I30" s="67" t="str">
        <f>IF(PERCENTRANK(Table1[Parking Spots ADA], H30) &lt; 1/5, "1", IF(PERCENTRANK(Table1[Parking Spots ADA], H30) &lt; 2/5, "2", IF(PERCENTRANK(Table1[Parking Spots ADA], H30) &lt; 3/5, "3", IF(PERCENTRANK(Table1[Parking Spots ADA], H30) &lt; 4/5, "4", "5"))))</f>
        <v>1</v>
      </c>
      <c r="J30" s="67">
        <v>0</v>
      </c>
      <c r="K30" s="67">
        <v>0</v>
      </c>
      <c r="L30" s="67">
        <f t="shared" si="0"/>
        <v>0</v>
      </c>
      <c r="M30" s="67" t="str">
        <f>IF(PERCENTRANK(Table1[EVC Stations + Occupied], L30) &lt; 1/5, "1", IF(PERCENTRANK(Table1[EVC Stations + Occupied], L30) &lt; 2/5, "2", IF(PERCENTRANK(Table1[EVC Stations + Occupied], L30) &lt; 3/5, "3", IF(PERCENTRANK(Table1[EVC Stations + Occupied], L30) &lt; 4/5, "4", "5"))))</f>
        <v>1</v>
      </c>
      <c r="N30" s="67"/>
      <c r="O30" s="73"/>
      <c r="P30" s="73"/>
      <c r="Q30" s="73"/>
      <c r="R30" s="67">
        <v>0</v>
      </c>
      <c r="S30" s="88">
        <v>1</v>
      </c>
      <c r="T30" s="21">
        <f>Table1[[#This Row],[Lighting]]+Table1[[#This Row],[Parking Fee]]+Table1[[#This Row],[Utilization from 50% score]]+Table1[[#This Row],[EVC Score]]+Table1[[#This Row],[ADA Spots Score]]+Table1[[#This Row],[Parking Spots Score]]</f>
        <v>4</v>
      </c>
      <c r="U30" s="93" t="str">
        <f>IF(PERCENTRANK(Table1[Parking Score], T30) &lt; 1/5, "1", IF(PERCENTRANK(Table1[Parking Score], T30) &lt; 2/5, "2", IF(PERCENTRANK(Table1[Parking Score], T30) &lt; 3/5, "3", IF(PERCENTRANK(Table1[Parking Score], T30) &lt; 4/5, "4", "5"))))</f>
        <v>1</v>
      </c>
      <c r="V30" s="21" t="str">
        <f>IF(PERCENTRANK(Table1[Parking Score], T30) &lt; 1/5, "LOW", IF(PERCENTRANK(Table1[Parking Score], T30) &lt; 2/5, "MEDIUM-LOW", IF(PERCENTRANK(Table1[Parking Score], T30) &lt; 3/5, "MEDIUM", IF(PERCENTRANK(Table1[Parking Score], T30) &lt; 4/5, "MEDIUM-HIGH", "HIGH"))))</f>
        <v>LOW</v>
      </c>
    </row>
    <row r="31" spans="1:22" x14ac:dyDescent="0.25">
      <c r="A31" s="82" t="s">
        <v>267</v>
      </c>
      <c r="B31" s="83">
        <v>31</v>
      </c>
      <c r="C31" s="83"/>
      <c r="D31" s="83"/>
      <c r="E31" s="83"/>
      <c r="F31" s="67">
        <v>0</v>
      </c>
      <c r="G31" s="67" t="str">
        <f>IF(PERCENTRANK(Table1[Parking Spots Regular], F31) &lt; 1/5, "1", IF(PERCENTRANK(Table1[Parking Spots Regular], F31) &lt; 2/5, "2", IF(PERCENTRANK(Table1[Parking Spots Regular], F31) &lt; 3/5, "3", IF(PERCENTRANK(Table1[Parking Spots Regular], F31) &lt; 4/5, "4", "5"))))</f>
        <v>1</v>
      </c>
      <c r="H31" s="67">
        <v>0</v>
      </c>
      <c r="I31" s="67" t="str">
        <f>IF(PERCENTRANK(Table1[Parking Spots ADA], H31) &lt; 1/5, "1", IF(PERCENTRANK(Table1[Parking Spots ADA], H31) &lt; 2/5, "2", IF(PERCENTRANK(Table1[Parking Spots ADA], H31) &lt; 3/5, "3", IF(PERCENTRANK(Table1[Parking Spots ADA], H31) &lt; 4/5, "4", "5"))))</f>
        <v>1</v>
      </c>
      <c r="J31" s="67">
        <v>0</v>
      </c>
      <c r="K31" s="67">
        <v>0</v>
      </c>
      <c r="L31" s="67">
        <f t="shared" si="0"/>
        <v>0</v>
      </c>
      <c r="M31" s="67" t="str">
        <f>IF(PERCENTRANK(Table1[EVC Stations + Occupied], L31) &lt; 1/5, "1", IF(PERCENTRANK(Table1[EVC Stations + Occupied], L31) &lt; 2/5, "2", IF(PERCENTRANK(Table1[EVC Stations + Occupied], L31) &lt; 3/5, "3", IF(PERCENTRANK(Table1[EVC Stations + Occupied], L31) &lt; 4/5, "4", "5"))))</f>
        <v>1</v>
      </c>
      <c r="N31" s="67"/>
      <c r="O31" s="73"/>
      <c r="P31" s="73"/>
      <c r="Q31" s="73"/>
      <c r="R31" s="67">
        <v>0</v>
      </c>
      <c r="S31" s="88">
        <v>1</v>
      </c>
      <c r="T31" s="21">
        <f>Table1[[#This Row],[Lighting]]+Table1[[#This Row],[Parking Fee]]+Table1[[#This Row],[Utilization from 50% score]]+Table1[[#This Row],[EVC Score]]+Table1[[#This Row],[ADA Spots Score]]+Table1[[#This Row],[Parking Spots Score]]</f>
        <v>4</v>
      </c>
      <c r="U31" s="93" t="str">
        <f>IF(PERCENTRANK(Table1[Parking Score], T31) &lt; 1/5, "1", IF(PERCENTRANK(Table1[Parking Score], T31) &lt; 2/5, "2", IF(PERCENTRANK(Table1[Parking Score], T31) &lt; 3/5, "3", IF(PERCENTRANK(Table1[Parking Score], T31) &lt; 4/5, "4", "5"))))</f>
        <v>1</v>
      </c>
      <c r="V31" s="21" t="str">
        <f>IF(PERCENTRANK(Table1[Parking Score], T31) &lt; 1/5, "LOW", IF(PERCENTRANK(Table1[Parking Score], T31) &lt; 2/5, "MEDIUM-LOW", IF(PERCENTRANK(Table1[Parking Score], T31) &lt; 3/5, "MEDIUM", IF(PERCENTRANK(Table1[Parking Score], T31) &lt; 4/5, "MEDIUM-HIGH", "HIGH"))))</f>
        <v>LOW</v>
      </c>
    </row>
    <row r="32" spans="1:22" x14ac:dyDescent="0.25">
      <c r="A32" s="82" t="s">
        <v>104</v>
      </c>
      <c r="B32" s="83">
        <v>32</v>
      </c>
      <c r="C32" s="83"/>
      <c r="D32" s="83"/>
      <c r="E32" s="83"/>
      <c r="F32" s="67">
        <v>0</v>
      </c>
      <c r="G32" s="67" t="str">
        <f>IF(PERCENTRANK(Table1[Parking Spots Regular], F32) &lt; 1/5, "1", IF(PERCENTRANK(Table1[Parking Spots Regular], F32) &lt; 2/5, "2", IF(PERCENTRANK(Table1[Parking Spots Regular], F32) &lt; 3/5, "3", IF(PERCENTRANK(Table1[Parking Spots Regular], F32) &lt; 4/5, "4", "5"))))</f>
        <v>1</v>
      </c>
      <c r="H32" s="67">
        <v>0</v>
      </c>
      <c r="I32" s="67" t="str">
        <f>IF(PERCENTRANK(Table1[Parking Spots ADA], H32) &lt; 1/5, "1", IF(PERCENTRANK(Table1[Parking Spots ADA], H32) &lt; 2/5, "2", IF(PERCENTRANK(Table1[Parking Spots ADA], H32) &lt; 3/5, "3", IF(PERCENTRANK(Table1[Parking Spots ADA], H32) &lt; 4/5, "4", "5"))))</f>
        <v>1</v>
      </c>
      <c r="J32" s="67">
        <v>0</v>
      </c>
      <c r="K32" s="67">
        <v>0</v>
      </c>
      <c r="L32" s="67">
        <f t="shared" si="0"/>
        <v>0</v>
      </c>
      <c r="M32" s="67" t="str">
        <f>IF(PERCENTRANK(Table1[EVC Stations + Occupied], L32) &lt; 1/5, "1", IF(PERCENTRANK(Table1[EVC Stations + Occupied], L32) &lt; 2/5, "2", IF(PERCENTRANK(Table1[EVC Stations + Occupied], L32) &lt; 3/5, "3", IF(PERCENTRANK(Table1[EVC Stations + Occupied], L32) &lt; 4/5, "4", "5"))))</f>
        <v>1</v>
      </c>
      <c r="N32" s="67"/>
      <c r="O32" s="73"/>
      <c r="P32" s="73"/>
      <c r="Q32" s="73"/>
      <c r="R32" s="67">
        <v>0</v>
      </c>
      <c r="S32" s="88">
        <v>1</v>
      </c>
      <c r="T32" s="21">
        <f>Table1[[#This Row],[Lighting]]+Table1[[#This Row],[Parking Fee]]+Table1[[#This Row],[Utilization from 50% score]]+Table1[[#This Row],[EVC Score]]+Table1[[#This Row],[ADA Spots Score]]+Table1[[#This Row],[Parking Spots Score]]</f>
        <v>4</v>
      </c>
      <c r="U32" s="93" t="str">
        <f>IF(PERCENTRANK(Table1[Parking Score], T32) &lt; 1/5, "1", IF(PERCENTRANK(Table1[Parking Score], T32) &lt; 2/5, "2", IF(PERCENTRANK(Table1[Parking Score], T32) &lt; 3/5, "3", IF(PERCENTRANK(Table1[Parking Score], T32) &lt; 4/5, "4", "5"))))</f>
        <v>1</v>
      </c>
      <c r="V32" s="21" t="str">
        <f>IF(PERCENTRANK(Table1[Parking Score], T32) &lt; 1/5, "LOW", IF(PERCENTRANK(Table1[Parking Score], T32) &lt; 2/5, "MEDIUM-LOW", IF(PERCENTRANK(Table1[Parking Score], T32) &lt; 3/5, "MEDIUM", IF(PERCENTRANK(Table1[Parking Score], T32) &lt; 4/5, "MEDIUM-HIGH", "HIGH"))))</f>
        <v>LOW</v>
      </c>
    </row>
    <row r="33" spans="1:22" x14ac:dyDescent="0.25">
      <c r="A33" s="82" t="s">
        <v>105</v>
      </c>
      <c r="B33" s="83">
        <v>33</v>
      </c>
      <c r="C33" s="83"/>
      <c r="D33" s="83"/>
      <c r="E33" s="83"/>
      <c r="F33" s="67">
        <v>0</v>
      </c>
      <c r="G33" s="67" t="str">
        <f>IF(PERCENTRANK(Table1[Parking Spots Regular], F33) &lt; 1/5, "1", IF(PERCENTRANK(Table1[Parking Spots Regular], F33) &lt; 2/5, "2", IF(PERCENTRANK(Table1[Parking Spots Regular], F33) &lt; 3/5, "3", IF(PERCENTRANK(Table1[Parking Spots Regular], F33) &lt; 4/5, "4", "5"))))</f>
        <v>1</v>
      </c>
      <c r="H33" s="67">
        <v>0</v>
      </c>
      <c r="I33" s="67" t="str">
        <f>IF(PERCENTRANK(Table1[Parking Spots ADA], H33) &lt; 1/5, "1", IF(PERCENTRANK(Table1[Parking Spots ADA], H33) &lt; 2/5, "2", IF(PERCENTRANK(Table1[Parking Spots ADA], H33) &lt; 3/5, "3", IF(PERCENTRANK(Table1[Parking Spots ADA], H33) &lt; 4/5, "4", "5"))))</f>
        <v>1</v>
      </c>
      <c r="J33" s="67">
        <v>0</v>
      </c>
      <c r="K33" s="67">
        <v>0</v>
      </c>
      <c r="L33" s="67">
        <f t="shared" si="0"/>
        <v>0</v>
      </c>
      <c r="M33" s="67" t="str">
        <f>IF(PERCENTRANK(Table1[EVC Stations + Occupied], L33) &lt; 1/5, "1", IF(PERCENTRANK(Table1[EVC Stations + Occupied], L33) &lt; 2/5, "2", IF(PERCENTRANK(Table1[EVC Stations + Occupied], L33) &lt; 3/5, "3", IF(PERCENTRANK(Table1[EVC Stations + Occupied], L33) &lt; 4/5, "4", "5"))))</f>
        <v>1</v>
      </c>
      <c r="N33" s="67"/>
      <c r="O33" s="73"/>
      <c r="P33" s="73"/>
      <c r="Q33" s="73"/>
      <c r="R33" s="67">
        <v>0</v>
      </c>
      <c r="S33" s="88">
        <v>1</v>
      </c>
      <c r="T33" s="21">
        <f>Table1[[#This Row],[Lighting]]+Table1[[#This Row],[Parking Fee]]+Table1[[#This Row],[Utilization from 50% score]]+Table1[[#This Row],[EVC Score]]+Table1[[#This Row],[ADA Spots Score]]+Table1[[#This Row],[Parking Spots Score]]</f>
        <v>4</v>
      </c>
      <c r="U33" s="93" t="str">
        <f>IF(PERCENTRANK(Table1[Parking Score], T33) &lt; 1/5, "1", IF(PERCENTRANK(Table1[Parking Score], T33) &lt; 2/5, "2", IF(PERCENTRANK(Table1[Parking Score], T33) &lt; 3/5, "3", IF(PERCENTRANK(Table1[Parking Score], T33) &lt; 4/5, "4", "5"))))</f>
        <v>1</v>
      </c>
      <c r="V33" s="21" t="str">
        <f>IF(PERCENTRANK(Table1[Parking Score], T33) &lt; 1/5, "LOW", IF(PERCENTRANK(Table1[Parking Score], T33) &lt; 2/5, "MEDIUM-LOW", IF(PERCENTRANK(Table1[Parking Score], T33) &lt; 3/5, "MEDIUM", IF(PERCENTRANK(Table1[Parking Score], T33) &lt; 4/5, "MEDIUM-HIGH", "HIGH"))))</f>
        <v>LOW</v>
      </c>
    </row>
    <row r="34" spans="1:22" x14ac:dyDescent="0.25">
      <c r="A34" s="82" t="s">
        <v>107</v>
      </c>
      <c r="B34" s="83">
        <v>34</v>
      </c>
      <c r="C34" s="83"/>
      <c r="D34" s="83"/>
      <c r="E34" s="83"/>
      <c r="F34" s="67">
        <v>0</v>
      </c>
      <c r="G34" s="67" t="str">
        <f>IF(PERCENTRANK(Table1[Parking Spots Regular], F34) &lt; 1/5, "1", IF(PERCENTRANK(Table1[Parking Spots Regular], F34) &lt; 2/5, "2", IF(PERCENTRANK(Table1[Parking Spots Regular], F34) &lt; 3/5, "3", IF(PERCENTRANK(Table1[Parking Spots Regular], F34) &lt; 4/5, "4", "5"))))</f>
        <v>1</v>
      </c>
      <c r="H34" s="67">
        <v>0</v>
      </c>
      <c r="I34" s="67" t="str">
        <f>IF(PERCENTRANK(Table1[Parking Spots ADA], H34) &lt; 1/5, "1", IF(PERCENTRANK(Table1[Parking Spots ADA], H34) &lt; 2/5, "2", IF(PERCENTRANK(Table1[Parking Spots ADA], H34) &lt; 3/5, "3", IF(PERCENTRANK(Table1[Parking Spots ADA], H34) &lt; 4/5, "4", "5"))))</f>
        <v>1</v>
      </c>
      <c r="J34" s="67">
        <v>0</v>
      </c>
      <c r="K34" s="67">
        <v>0</v>
      </c>
      <c r="L34" s="67">
        <f t="shared" ref="L34:L65" si="3">J34+K34</f>
        <v>0</v>
      </c>
      <c r="M34" s="67" t="str">
        <f>IF(PERCENTRANK(Table1[EVC Stations + Occupied], L34) &lt; 1/5, "1", IF(PERCENTRANK(Table1[EVC Stations + Occupied], L34) &lt; 2/5, "2", IF(PERCENTRANK(Table1[EVC Stations + Occupied], L34) &lt; 3/5, "3", IF(PERCENTRANK(Table1[EVC Stations + Occupied], L34) &lt; 4/5, "4", "5"))))</f>
        <v>1</v>
      </c>
      <c r="N34" s="67"/>
      <c r="O34" s="73"/>
      <c r="P34" s="73"/>
      <c r="Q34" s="73"/>
      <c r="R34" s="67">
        <v>0</v>
      </c>
      <c r="S34" s="88">
        <v>1</v>
      </c>
      <c r="T34" s="21">
        <f>Table1[[#This Row],[Lighting]]+Table1[[#This Row],[Parking Fee]]+Table1[[#This Row],[Utilization from 50% score]]+Table1[[#This Row],[EVC Score]]+Table1[[#This Row],[ADA Spots Score]]+Table1[[#This Row],[Parking Spots Score]]</f>
        <v>4</v>
      </c>
      <c r="U34" s="93" t="str">
        <f>IF(PERCENTRANK(Table1[Parking Score], T34) &lt; 1/5, "1", IF(PERCENTRANK(Table1[Parking Score], T34) &lt; 2/5, "2", IF(PERCENTRANK(Table1[Parking Score], T34) &lt; 3/5, "3", IF(PERCENTRANK(Table1[Parking Score], T34) &lt; 4/5, "4", "5"))))</f>
        <v>1</v>
      </c>
      <c r="V34" s="21" t="str">
        <f>IF(PERCENTRANK(Table1[Parking Score], T34) &lt; 1/5, "LOW", IF(PERCENTRANK(Table1[Parking Score], T34) &lt; 2/5, "MEDIUM-LOW", IF(PERCENTRANK(Table1[Parking Score], T34) &lt; 3/5, "MEDIUM", IF(PERCENTRANK(Table1[Parking Score], T34) &lt; 4/5, "MEDIUM-HIGH", "HIGH"))))</f>
        <v>LOW</v>
      </c>
    </row>
    <row r="35" spans="1:22" x14ac:dyDescent="0.25">
      <c r="A35" s="82" t="s">
        <v>268</v>
      </c>
      <c r="B35" s="83">
        <v>35</v>
      </c>
      <c r="C35" s="83"/>
      <c r="D35" s="83"/>
      <c r="E35" s="83"/>
      <c r="F35" s="67">
        <v>0</v>
      </c>
      <c r="G35" s="67" t="str">
        <f>IF(PERCENTRANK(Table1[Parking Spots Regular], F35) &lt; 1/5, "1", IF(PERCENTRANK(Table1[Parking Spots Regular], F35) &lt; 2/5, "2", IF(PERCENTRANK(Table1[Parking Spots Regular], F35) &lt; 3/5, "3", IF(PERCENTRANK(Table1[Parking Spots Regular], F35) &lt; 4/5, "4", "5"))))</f>
        <v>1</v>
      </c>
      <c r="H35" s="67">
        <v>0</v>
      </c>
      <c r="I35" s="67" t="str">
        <f>IF(PERCENTRANK(Table1[Parking Spots ADA], H35) &lt; 1/5, "1", IF(PERCENTRANK(Table1[Parking Spots ADA], H35) &lt; 2/5, "2", IF(PERCENTRANK(Table1[Parking Spots ADA], H35) &lt; 3/5, "3", IF(PERCENTRANK(Table1[Parking Spots ADA], H35) &lt; 4/5, "4", "5"))))</f>
        <v>1</v>
      </c>
      <c r="J35" s="67">
        <v>0</v>
      </c>
      <c r="K35" s="67">
        <v>0</v>
      </c>
      <c r="L35" s="67">
        <f t="shared" si="3"/>
        <v>0</v>
      </c>
      <c r="M35" s="67" t="str">
        <f>IF(PERCENTRANK(Table1[EVC Stations + Occupied], L35) &lt; 1/5, "1", IF(PERCENTRANK(Table1[EVC Stations + Occupied], L35) &lt; 2/5, "2", IF(PERCENTRANK(Table1[EVC Stations + Occupied], L35) &lt; 3/5, "3", IF(PERCENTRANK(Table1[EVC Stations + Occupied], L35) &lt; 4/5, "4", "5"))))</f>
        <v>1</v>
      </c>
      <c r="N35" s="67"/>
      <c r="O35" s="73"/>
      <c r="P35" s="73"/>
      <c r="Q35" s="73"/>
      <c r="R35" s="67">
        <v>0</v>
      </c>
      <c r="S35" s="88">
        <v>1</v>
      </c>
      <c r="T35" s="21">
        <f>Table1[[#This Row],[Lighting]]+Table1[[#This Row],[Parking Fee]]+Table1[[#This Row],[Utilization from 50% score]]+Table1[[#This Row],[EVC Score]]+Table1[[#This Row],[ADA Spots Score]]+Table1[[#This Row],[Parking Spots Score]]</f>
        <v>4</v>
      </c>
      <c r="U35" s="93" t="str">
        <f>IF(PERCENTRANK(Table1[Parking Score], T35) &lt; 1/5, "1", IF(PERCENTRANK(Table1[Parking Score], T35) &lt; 2/5, "2", IF(PERCENTRANK(Table1[Parking Score], T35) &lt; 3/5, "3", IF(PERCENTRANK(Table1[Parking Score], T35) &lt; 4/5, "4", "5"))))</f>
        <v>1</v>
      </c>
      <c r="V35" s="21" t="str">
        <f>IF(PERCENTRANK(Table1[Parking Score], T35) &lt; 1/5, "LOW", IF(PERCENTRANK(Table1[Parking Score], T35) &lt; 2/5, "MEDIUM-LOW", IF(PERCENTRANK(Table1[Parking Score], T35) &lt; 3/5, "MEDIUM", IF(PERCENTRANK(Table1[Parking Score], T35) &lt; 4/5, "MEDIUM-HIGH", "HIGH"))))</f>
        <v>LOW</v>
      </c>
    </row>
    <row r="36" spans="1:22" x14ac:dyDescent="0.25">
      <c r="A36" s="82" t="s">
        <v>111</v>
      </c>
      <c r="B36" s="83">
        <v>36</v>
      </c>
      <c r="C36" s="83"/>
      <c r="D36" s="83"/>
      <c r="E36" s="83"/>
      <c r="F36" s="67">
        <v>36</v>
      </c>
      <c r="G36" s="67" t="str">
        <f>IF(PERCENTRANK(Table1[Parking Spots Regular], F36) &lt; 1/5, "1", IF(PERCENTRANK(Table1[Parking Spots Regular], F36) &lt; 2/5, "2", IF(PERCENTRANK(Table1[Parking Spots Regular], F36) &lt; 3/5, "3", IF(PERCENTRANK(Table1[Parking Spots Regular], F36) &lt; 4/5, "4", "5"))))</f>
        <v>3</v>
      </c>
      <c r="H36" s="67">
        <v>2</v>
      </c>
      <c r="I36" s="67" t="str">
        <f>IF(PERCENTRANK(Table1[Parking Spots ADA], H36) &lt; 1/5, "1", IF(PERCENTRANK(Table1[Parking Spots ADA], H36) &lt; 2/5, "2", IF(PERCENTRANK(Table1[Parking Spots ADA], H36) &lt; 3/5, "3", IF(PERCENTRANK(Table1[Parking Spots ADA], H36) &lt; 4/5, "4", "5"))))</f>
        <v>3</v>
      </c>
      <c r="J36" s="67">
        <v>0</v>
      </c>
      <c r="K36" s="67">
        <v>0</v>
      </c>
      <c r="L36" s="67">
        <f t="shared" si="3"/>
        <v>0</v>
      </c>
      <c r="M36" s="67" t="str">
        <f>IF(PERCENTRANK(Table1[EVC Stations + Occupied], L36) &lt; 1/5, "1", IF(PERCENTRANK(Table1[EVC Stations + Occupied], L36) &lt; 2/5, "2", IF(PERCENTRANK(Table1[EVC Stations + Occupied], L36) &lt; 3/5, "3", IF(PERCENTRANK(Table1[EVC Stations + Occupied], L36) &lt; 4/5, "4", "5"))))</f>
        <v>1</v>
      </c>
      <c r="N36" s="67">
        <v>32</v>
      </c>
      <c r="O36" s="73">
        <f t="shared" si="2"/>
        <v>0.84210526315789469</v>
      </c>
      <c r="P36" s="73">
        <f>ABS(O36-$X$8)</f>
        <v>0.34210526315789469</v>
      </c>
      <c r="Q36" s="73" t="str">
        <f>IF(PERCENTRANK(Table1[Utilization Rate from 50%], P36) &lt; 1/5, "5", IF(PERCENTRANK(Table1[Utilization Rate from 50%], P36) &lt; 2/5, "4", IF(PERCENTRANK(Table1[Utilization Rate from 50%], P36) &lt; 3/5, "3", IF(PERCENTRANK(Table1[Utilization Rate from 50%], P36) &lt; 4/5, "2", "1"))))</f>
        <v>3</v>
      </c>
      <c r="R36" s="67">
        <v>0</v>
      </c>
      <c r="S36" s="88">
        <v>1</v>
      </c>
      <c r="T36" s="21">
        <f>Table1[[#This Row],[Lighting]]+Table1[[#This Row],[Parking Fee]]+Table1[[#This Row],[Utilization from 50% score]]+Table1[[#This Row],[EVC Score]]+Table1[[#This Row],[ADA Spots Score]]+Table1[[#This Row],[Parking Spots Score]]</f>
        <v>11</v>
      </c>
      <c r="U36" s="93" t="str">
        <f>IF(PERCENTRANK(Table1[Parking Score], T36) &lt; 1/5, "1", IF(PERCENTRANK(Table1[Parking Score], T36) &lt; 2/5, "2", IF(PERCENTRANK(Table1[Parking Score], T36) &lt; 3/5, "3", IF(PERCENTRANK(Table1[Parking Score], T36) &lt; 4/5, "4", "5"))))</f>
        <v>3</v>
      </c>
      <c r="V36" s="21" t="str">
        <f>IF(PERCENTRANK(Table1[Parking Score], T36) &lt; 1/5, "LOW", IF(PERCENTRANK(Table1[Parking Score], T36) &lt; 2/5, "MEDIUM-LOW", IF(PERCENTRANK(Table1[Parking Score], T36) &lt; 3/5, "MEDIUM", IF(PERCENTRANK(Table1[Parking Score], T36) &lt; 4/5, "MEDIUM-HIGH", "HIGH"))))</f>
        <v>MEDIUM</v>
      </c>
    </row>
    <row r="37" spans="1:22" x14ac:dyDescent="0.25">
      <c r="A37" s="82" t="s">
        <v>113</v>
      </c>
      <c r="B37" s="83">
        <v>37</v>
      </c>
      <c r="C37" s="83"/>
      <c r="D37" s="83"/>
      <c r="E37" s="83"/>
      <c r="F37" s="67">
        <v>0</v>
      </c>
      <c r="G37" s="67" t="str">
        <f>IF(PERCENTRANK(Table1[Parking Spots Regular], F37) &lt; 1/5, "1", IF(PERCENTRANK(Table1[Parking Spots Regular], F37) &lt; 2/5, "2", IF(PERCENTRANK(Table1[Parking Spots Regular], F37) &lt; 3/5, "3", IF(PERCENTRANK(Table1[Parking Spots Regular], F37) &lt; 4/5, "4", "5"))))</f>
        <v>1</v>
      </c>
      <c r="H37" s="67">
        <v>0</v>
      </c>
      <c r="I37" s="67" t="str">
        <f>IF(PERCENTRANK(Table1[Parking Spots ADA], H37) &lt; 1/5, "1", IF(PERCENTRANK(Table1[Parking Spots ADA], H37) &lt; 2/5, "2", IF(PERCENTRANK(Table1[Parking Spots ADA], H37) &lt; 3/5, "3", IF(PERCENTRANK(Table1[Parking Spots ADA], H37) &lt; 4/5, "4", "5"))))</f>
        <v>1</v>
      </c>
      <c r="J37" s="67">
        <v>0</v>
      </c>
      <c r="K37" s="67">
        <v>0</v>
      </c>
      <c r="L37" s="67">
        <f t="shared" si="3"/>
        <v>0</v>
      </c>
      <c r="M37" s="67" t="str">
        <f>IF(PERCENTRANK(Table1[EVC Stations + Occupied], L37) &lt; 1/5, "1", IF(PERCENTRANK(Table1[EVC Stations + Occupied], L37) &lt; 2/5, "2", IF(PERCENTRANK(Table1[EVC Stations + Occupied], L37) &lt; 3/5, "3", IF(PERCENTRANK(Table1[EVC Stations + Occupied], L37) &lt; 4/5, "4", "5"))))</f>
        <v>1</v>
      </c>
      <c r="N37" s="67"/>
      <c r="O37" s="73"/>
      <c r="P37" s="73"/>
      <c r="Q37" s="73"/>
      <c r="R37" s="67">
        <v>0</v>
      </c>
      <c r="S37" s="88">
        <v>1</v>
      </c>
      <c r="T37" s="21">
        <f>Table1[[#This Row],[Lighting]]+Table1[[#This Row],[Parking Fee]]+Table1[[#This Row],[Utilization from 50% score]]+Table1[[#This Row],[EVC Score]]+Table1[[#This Row],[ADA Spots Score]]+Table1[[#This Row],[Parking Spots Score]]</f>
        <v>4</v>
      </c>
      <c r="U37" s="93" t="str">
        <f>IF(PERCENTRANK(Table1[Parking Score], T37) &lt; 1/5, "1", IF(PERCENTRANK(Table1[Parking Score], T37) &lt; 2/5, "2", IF(PERCENTRANK(Table1[Parking Score], T37) &lt; 3/5, "3", IF(PERCENTRANK(Table1[Parking Score], T37) &lt; 4/5, "4", "5"))))</f>
        <v>1</v>
      </c>
      <c r="V37" s="21" t="str">
        <f>IF(PERCENTRANK(Table1[Parking Score], T37) &lt; 1/5, "LOW", IF(PERCENTRANK(Table1[Parking Score], T37) &lt; 2/5, "MEDIUM-LOW", IF(PERCENTRANK(Table1[Parking Score], T37) &lt; 3/5, "MEDIUM", IF(PERCENTRANK(Table1[Parking Score], T37) &lt; 4/5, "MEDIUM-HIGH", "HIGH"))))</f>
        <v>LOW</v>
      </c>
    </row>
    <row r="38" spans="1:22" x14ac:dyDescent="0.25">
      <c r="A38" s="82" t="s">
        <v>114</v>
      </c>
      <c r="B38" s="83">
        <v>38</v>
      </c>
      <c r="C38" s="83"/>
      <c r="D38" s="83"/>
      <c r="E38" s="83"/>
      <c r="F38" s="67">
        <v>0</v>
      </c>
      <c r="G38" s="67" t="str">
        <f>IF(PERCENTRANK(Table1[Parking Spots Regular], F38) &lt; 1/5, "1", IF(PERCENTRANK(Table1[Parking Spots Regular], F38) &lt; 2/5, "2", IF(PERCENTRANK(Table1[Parking Spots Regular], F38) &lt; 3/5, "3", IF(PERCENTRANK(Table1[Parking Spots Regular], F38) &lt; 4/5, "4", "5"))))</f>
        <v>1</v>
      </c>
      <c r="H38" s="67">
        <v>0</v>
      </c>
      <c r="I38" s="67" t="str">
        <f>IF(PERCENTRANK(Table1[Parking Spots ADA], H38) &lt; 1/5, "1", IF(PERCENTRANK(Table1[Parking Spots ADA], H38) &lt; 2/5, "2", IF(PERCENTRANK(Table1[Parking Spots ADA], H38) &lt; 3/5, "3", IF(PERCENTRANK(Table1[Parking Spots ADA], H38) &lt; 4/5, "4", "5"))))</f>
        <v>1</v>
      </c>
      <c r="J38" s="67">
        <v>0</v>
      </c>
      <c r="K38" s="67">
        <v>0</v>
      </c>
      <c r="L38" s="67">
        <f t="shared" si="3"/>
        <v>0</v>
      </c>
      <c r="M38" s="67" t="str">
        <f>IF(PERCENTRANK(Table1[EVC Stations + Occupied], L38) &lt; 1/5, "1", IF(PERCENTRANK(Table1[EVC Stations + Occupied], L38) &lt; 2/5, "2", IF(PERCENTRANK(Table1[EVC Stations + Occupied], L38) &lt; 3/5, "3", IF(PERCENTRANK(Table1[EVC Stations + Occupied], L38) &lt; 4/5, "4", "5"))))</f>
        <v>1</v>
      </c>
      <c r="N38" s="67"/>
      <c r="O38" s="73"/>
      <c r="P38" s="73"/>
      <c r="Q38" s="73"/>
      <c r="R38" s="67">
        <v>0</v>
      </c>
      <c r="S38" s="88">
        <v>1</v>
      </c>
      <c r="T38" s="21">
        <f>Table1[[#This Row],[Lighting]]+Table1[[#This Row],[Parking Fee]]+Table1[[#This Row],[Utilization from 50% score]]+Table1[[#This Row],[EVC Score]]+Table1[[#This Row],[ADA Spots Score]]+Table1[[#This Row],[Parking Spots Score]]</f>
        <v>4</v>
      </c>
      <c r="U38" s="93" t="str">
        <f>IF(PERCENTRANK(Table1[Parking Score], T38) &lt; 1/5, "1", IF(PERCENTRANK(Table1[Parking Score], T38) &lt; 2/5, "2", IF(PERCENTRANK(Table1[Parking Score], T38) &lt; 3/5, "3", IF(PERCENTRANK(Table1[Parking Score], T38) &lt; 4/5, "4", "5"))))</f>
        <v>1</v>
      </c>
      <c r="V38" s="21" t="str">
        <f>IF(PERCENTRANK(Table1[Parking Score], T38) &lt; 1/5, "LOW", IF(PERCENTRANK(Table1[Parking Score], T38) &lt; 2/5, "MEDIUM-LOW", IF(PERCENTRANK(Table1[Parking Score], T38) &lt; 3/5, "MEDIUM", IF(PERCENTRANK(Table1[Parking Score], T38) &lt; 4/5, "MEDIUM-HIGH", "HIGH"))))</f>
        <v>LOW</v>
      </c>
    </row>
    <row r="39" spans="1:22" x14ac:dyDescent="0.25">
      <c r="A39" s="82" t="s">
        <v>115</v>
      </c>
      <c r="B39" s="83">
        <v>39</v>
      </c>
      <c r="C39" s="83"/>
      <c r="D39" s="83"/>
      <c r="E39" s="83"/>
      <c r="F39" s="67">
        <v>79</v>
      </c>
      <c r="G39" s="67" t="str">
        <f>IF(PERCENTRANK(Table1[Parking Spots Regular], F39) &lt; 1/5, "1", IF(PERCENTRANK(Table1[Parking Spots Regular], F39) &lt; 2/5, "2", IF(PERCENTRANK(Table1[Parking Spots Regular], F39) &lt; 3/5, "3", IF(PERCENTRANK(Table1[Parking Spots Regular], F39) &lt; 4/5, "4", "5"))))</f>
        <v>3</v>
      </c>
      <c r="H39" s="67">
        <v>6</v>
      </c>
      <c r="I39" s="67" t="str">
        <f>IF(PERCENTRANK(Table1[Parking Spots ADA], H39) &lt; 1/5, "1", IF(PERCENTRANK(Table1[Parking Spots ADA], H39) &lt; 2/5, "2", IF(PERCENTRANK(Table1[Parking Spots ADA], H39) &lt; 3/5, "3", IF(PERCENTRANK(Table1[Parking Spots ADA], H39) &lt; 4/5, "4", "5"))))</f>
        <v>4</v>
      </c>
      <c r="J39" s="67">
        <v>2</v>
      </c>
      <c r="K39" s="67">
        <v>0</v>
      </c>
      <c r="L39" s="67">
        <f t="shared" si="3"/>
        <v>2</v>
      </c>
      <c r="M39" s="67" t="str">
        <f>IF(PERCENTRANK(Table1[EVC Stations + Occupied], L39) &lt; 1/5, "1", IF(PERCENTRANK(Table1[EVC Stations + Occupied], L39) &lt; 2/5, "2", IF(PERCENTRANK(Table1[EVC Stations + Occupied], L39) &lt; 3/5, "3", IF(PERCENTRANK(Table1[EVC Stations + Occupied], L39) &lt; 4/5, "4", "5"))))</f>
        <v>5</v>
      </c>
      <c r="N39" s="67">
        <v>73</v>
      </c>
      <c r="O39" s="73">
        <f t="shared" si="2"/>
        <v>0.85882352941176465</v>
      </c>
      <c r="P39" s="73">
        <f>ABS(O39-$X$8)</f>
        <v>0.35882352941176465</v>
      </c>
      <c r="Q39" s="73" t="str">
        <f>IF(PERCENTRANK(Table1[Utilization Rate from 50%], P39) &lt; 1/5, "5", IF(PERCENTRANK(Table1[Utilization Rate from 50%], P39) &lt; 2/5, "4", IF(PERCENTRANK(Table1[Utilization Rate from 50%], P39) &lt; 3/5, "3", IF(PERCENTRANK(Table1[Utilization Rate from 50%], P39) &lt; 4/5, "2", "1"))))</f>
        <v>3</v>
      </c>
      <c r="R39" s="67">
        <v>0</v>
      </c>
      <c r="S39" s="88">
        <v>1</v>
      </c>
      <c r="T39" s="21">
        <f>Table1[[#This Row],[Lighting]]+Table1[[#This Row],[Parking Fee]]+Table1[[#This Row],[Utilization from 50% score]]+Table1[[#This Row],[EVC Score]]+Table1[[#This Row],[ADA Spots Score]]+Table1[[#This Row],[Parking Spots Score]]</f>
        <v>16</v>
      </c>
      <c r="U39" s="93" t="str">
        <f>IF(PERCENTRANK(Table1[Parking Score], T39) &lt; 1/5, "1", IF(PERCENTRANK(Table1[Parking Score], T39) &lt; 2/5, "2", IF(PERCENTRANK(Table1[Parking Score], T39) &lt; 3/5, "3", IF(PERCENTRANK(Table1[Parking Score], T39) &lt; 4/5, "4", "5"))))</f>
        <v>5</v>
      </c>
      <c r="V39" s="21" t="str">
        <f>IF(PERCENTRANK(Table1[Parking Score], T39) &lt; 1/5, "LOW", IF(PERCENTRANK(Table1[Parking Score], T39) &lt; 2/5, "MEDIUM-LOW", IF(PERCENTRANK(Table1[Parking Score], T39) &lt; 3/5, "MEDIUM", IF(PERCENTRANK(Table1[Parking Score], T39) &lt; 4/5, "MEDIUM-HIGH", "HIGH"))))</f>
        <v>HIGH</v>
      </c>
    </row>
    <row r="40" spans="1:22" x14ac:dyDescent="0.25">
      <c r="A40" s="82" t="s">
        <v>117</v>
      </c>
      <c r="B40" s="83">
        <v>40</v>
      </c>
      <c r="C40" s="83"/>
      <c r="D40" s="83"/>
      <c r="E40" s="83"/>
      <c r="F40" s="67">
        <v>197</v>
      </c>
      <c r="G40" s="67" t="str">
        <f>IF(PERCENTRANK(Table1[Parking Spots Regular], F40) &lt; 1/5, "1", IF(PERCENTRANK(Table1[Parking Spots Regular], F40) &lt; 2/5, "2", IF(PERCENTRANK(Table1[Parking Spots Regular], F40) &lt; 3/5, "3", IF(PERCENTRANK(Table1[Parking Spots Regular], F40) &lt; 4/5, "4", "5"))))</f>
        <v>4</v>
      </c>
      <c r="H40" s="67">
        <v>6</v>
      </c>
      <c r="I40" s="67" t="str">
        <f>IF(PERCENTRANK(Table1[Parking Spots ADA], H40) &lt; 1/5, "1", IF(PERCENTRANK(Table1[Parking Spots ADA], H40) &lt; 2/5, "2", IF(PERCENTRANK(Table1[Parking Spots ADA], H40) &lt; 3/5, "3", IF(PERCENTRANK(Table1[Parking Spots ADA], H40) &lt; 4/5, "4", "5"))))</f>
        <v>4</v>
      </c>
      <c r="J40" s="67">
        <v>2</v>
      </c>
      <c r="K40" s="67">
        <v>0</v>
      </c>
      <c r="L40" s="67">
        <f t="shared" si="3"/>
        <v>2</v>
      </c>
      <c r="M40" s="67" t="str">
        <f>IF(PERCENTRANK(Table1[EVC Stations + Occupied], L40) &lt; 1/5, "1", IF(PERCENTRANK(Table1[EVC Stations + Occupied], L40) &lt; 2/5, "2", IF(PERCENTRANK(Table1[EVC Stations + Occupied], L40) &lt; 3/5, "3", IF(PERCENTRANK(Table1[EVC Stations + Occupied], L40) &lt; 4/5, "4", "5"))))</f>
        <v>5</v>
      </c>
      <c r="N40" s="67">
        <v>106.66666666666667</v>
      </c>
      <c r="O40" s="73">
        <f t="shared" si="2"/>
        <v>0.52545155993431858</v>
      </c>
      <c r="P40" s="73">
        <f>ABS(O40-$X$8)</f>
        <v>2.5451559934318579E-2</v>
      </c>
      <c r="Q40" s="73" t="str">
        <f>IF(PERCENTRANK(Table1[Utilization Rate from 50%], P40) &lt; 1/5, "5", IF(PERCENTRANK(Table1[Utilization Rate from 50%], P40) &lt; 2/5, "4", IF(PERCENTRANK(Table1[Utilization Rate from 50%], P40) &lt; 3/5, "3", IF(PERCENTRANK(Table1[Utilization Rate from 50%], P40) &lt; 4/5, "2", "1"))))</f>
        <v>5</v>
      </c>
      <c r="R40" s="67">
        <v>0</v>
      </c>
      <c r="S40" s="88">
        <v>1</v>
      </c>
      <c r="T40" s="21">
        <f>Table1[[#This Row],[Lighting]]+Table1[[#This Row],[Parking Fee]]+Table1[[#This Row],[Utilization from 50% score]]+Table1[[#This Row],[EVC Score]]+Table1[[#This Row],[ADA Spots Score]]+Table1[[#This Row],[Parking Spots Score]]</f>
        <v>19</v>
      </c>
      <c r="U40" s="93" t="str">
        <f>IF(PERCENTRANK(Table1[Parking Score], T40) &lt; 1/5, "1", IF(PERCENTRANK(Table1[Parking Score], T40) &lt; 2/5, "2", IF(PERCENTRANK(Table1[Parking Score], T40) &lt; 3/5, "3", IF(PERCENTRANK(Table1[Parking Score], T40) &lt; 4/5, "4", "5"))))</f>
        <v>5</v>
      </c>
      <c r="V40" s="21" t="str">
        <f>IF(PERCENTRANK(Table1[Parking Score], T40) &lt; 1/5, "LOW", IF(PERCENTRANK(Table1[Parking Score], T40) &lt; 2/5, "MEDIUM-LOW", IF(PERCENTRANK(Table1[Parking Score], T40) &lt; 3/5, "MEDIUM", IF(PERCENTRANK(Table1[Parking Score], T40) &lt; 4/5, "MEDIUM-HIGH", "HIGH"))))</f>
        <v>HIGH</v>
      </c>
    </row>
    <row r="41" spans="1:22" x14ac:dyDescent="0.25">
      <c r="A41" s="82" t="s">
        <v>119</v>
      </c>
      <c r="B41" s="83">
        <v>41</v>
      </c>
      <c r="C41" s="83"/>
      <c r="D41" s="83"/>
      <c r="E41" s="83"/>
      <c r="F41" s="67">
        <v>341</v>
      </c>
      <c r="G41" s="67" t="str">
        <f>IF(PERCENTRANK(Table1[Parking Spots Regular], F41) &lt; 1/5, "1", IF(PERCENTRANK(Table1[Parking Spots Regular], F41) &lt; 2/5, "2", IF(PERCENTRANK(Table1[Parking Spots Regular], F41) &lt; 3/5, "3", IF(PERCENTRANK(Table1[Parking Spots Regular], F41) &lt; 4/5, "4", "5"))))</f>
        <v>4</v>
      </c>
      <c r="H41" s="67">
        <v>15</v>
      </c>
      <c r="I41" s="67" t="str">
        <f>IF(PERCENTRANK(Table1[Parking Spots ADA], H41) &lt; 1/5, "1", IF(PERCENTRANK(Table1[Parking Spots ADA], H41) &lt; 2/5, "2", IF(PERCENTRANK(Table1[Parking Spots ADA], H41) &lt; 3/5, "3", IF(PERCENTRANK(Table1[Parking Spots ADA], H41) &lt; 4/5, "4", "5"))))</f>
        <v>5</v>
      </c>
      <c r="J41" s="67">
        <v>0</v>
      </c>
      <c r="K41" s="67">
        <v>0</v>
      </c>
      <c r="L41" s="67">
        <f t="shared" si="3"/>
        <v>0</v>
      </c>
      <c r="M41" s="67" t="str">
        <f>IF(PERCENTRANK(Table1[EVC Stations + Occupied], L41) &lt; 1/5, "1", IF(PERCENTRANK(Table1[EVC Stations + Occupied], L41) &lt; 2/5, "2", IF(PERCENTRANK(Table1[EVC Stations + Occupied], L41) &lt; 3/5, "3", IF(PERCENTRANK(Table1[EVC Stations + Occupied], L41) &lt; 4/5, "4", "5"))))</f>
        <v>1</v>
      </c>
      <c r="N41" s="67">
        <v>235.66666666666666</v>
      </c>
      <c r="O41" s="73">
        <f t="shared" si="2"/>
        <v>0.66198501872659177</v>
      </c>
      <c r="P41" s="73">
        <f>ABS(O41-$X$8)</f>
        <v>0.16198501872659177</v>
      </c>
      <c r="Q41" s="73" t="str">
        <f>IF(PERCENTRANK(Table1[Utilization Rate from 50%], P41) &lt; 1/5, "5", IF(PERCENTRANK(Table1[Utilization Rate from 50%], P41) &lt; 2/5, "4", IF(PERCENTRANK(Table1[Utilization Rate from 50%], P41) &lt; 3/5, "3", IF(PERCENTRANK(Table1[Utilization Rate from 50%], P41) &lt; 4/5, "2", "1"))))</f>
        <v>4</v>
      </c>
      <c r="R41" s="67">
        <v>0</v>
      </c>
      <c r="S41" s="88">
        <v>1</v>
      </c>
      <c r="T41" s="21">
        <f>Table1[[#This Row],[Lighting]]+Table1[[#This Row],[Parking Fee]]+Table1[[#This Row],[Utilization from 50% score]]+Table1[[#This Row],[EVC Score]]+Table1[[#This Row],[ADA Spots Score]]+Table1[[#This Row],[Parking Spots Score]]</f>
        <v>15</v>
      </c>
      <c r="U41" s="93" t="str">
        <f>IF(PERCENTRANK(Table1[Parking Score], T41) &lt; 1/5, "1", IF(PERCENTRANK(Table1[Parking Score], T41) &lt; 2/5, "2", IF(PERCENTRANK(Table1[Parking Score], T41) &lt; 3/5, "3", IF(PERCENTRANK(Table1[Parking Score], T41) &lt; 4/5, "4", "5"))))</f>
        <v>5</v>
      </c>
      <c r="V41" s="21" t="str">
        <f>IF(PERCENTRANK(Table1[Parking Score], T41) &lt; 1/5, "LOW", IF(PERCENTRANK(Table1[Parking Score], T41) &lt; 2/5, "MEDIUM-LOW", IF(PERCENTRANK(Table1[Parking Score], T41) &lt; 3/5, "MEDIUM", IF(PERCENTRANK(Table1[Parking Score], T41) &lt; 4/5, "MEDIUM-HIGH", "HIGH"))))</f>
        <v>HIGH</v>
      </c>
    </row>
    <row r="42" spans="1:22" x14ac:dyDescent="0.25">
      <c r="A42" s="82" t="s">
        <v>121</v>
      </c>
      <c r="B42" s="83">
        <v>42</v>
      </c>
      <c r="C42" s="83"/>
      <c r="D42" s="83"/>
      <c r="E42" s="83"/>
      <c r="F42" s="67">
        <v>0</v>
      </c>
      <c r="G42" s="67" t="str">
        <f>IF(PERCENTRANK(Table1[Parking Spots Regular], F42) &lt; 1/5, "1", IF(PERCENTRANK(Table1[Parking Spots Regular], F42) &lt; 2/5, "2", IF(PERCENTRANK(Table1[Parking Spots Regular], F42) &lt; 3/5, "3", IF(PERCENTRANK(Table1[Parking Spots Regular], F42) &lt; 4/5, "4", "5"))))</f>
        <v>1</v>
      </c>
      <c r="H42" s="67">
        <v>0</v>
      </c>
      <c r="I42" s="67" t="str">
        <f>IF(PERCENTRANK(Table1[Parking Spots ADA], H42) &lt; 1/5, "1", IF(PERCENTRANK(Table1[Parking Spots ADA], H42) &lt; 2/5, "2", IF(PERCENTRANK(Table1[Parking Spots ADA], H42) &lt; 3/5, "3", IF(PERCENTRANK(Table1[Parking Spots ADA], H42) &lt; 4/5, "4", "5"))))</f>
        <v>1</v>
      </c>
      <c r="J42" s="67">
        <v>0</v>
      </c>
      <c r="K42" s="67">
        <v>0</v>
      </c>
      <c r="L42" s="67">
        <f t="shared" si="3"/>
        <v>0</v>
      </c>
      <c r="M42" s="67" t="str">
        <f>IF(PERCENTRANK(Table1[EVC Stations + Occupied], L42) &lt; 1/5, "1", IF(PERCENTRANK(Table1[EVC Stations + Occupied], L42) &lt; 2/5, "2", IF(PERCENTRANK(Table1[EVC Stations + Occupied], L42) &lt; 3/5, "3", IF(PERCENTRANK(Table1[EVC Stations + Occupied], L42) &lt; 4/5, "4", "5"))))</f>
        <v>1</v>
      </c>
      <c r="N42" s="67"/>
      <c r="O42" s="73"/>
      <c r="P42" s="73"/>
      <c r="Q42" s="73"/>
      <c r="R42" s="67">
        <v>0</v>
      </c>
      <c r="S42" s="88">
        <v>1</v>
      </c>
      <c r="T42" s="21">
        <f>Table1[[#This Row],[Lighting]]+Table1[[#This Row],[Parking Fee]]+Table1[[#This Row],[Utilization from 50% score]]+Table1[[#This Row],[EVC Score]]+Table1[[#This Row],[ADA Spots Score]]+Table1[[#This Row],[Parking Spots Score]]</f>
        <v>4</v>
      </c>
      <c r="U42" s="93" t="str">
        <f>IF(PERCENTRANK(Table1[Parking Score], T42) &lt; 1/5, "1", IF(PERCENTRANK(Table1[Parking Score], T42) &lt; 2/5, "2", IF(PERCENTRANK(Table1[Parking Score], T42) &lt; 3/5, "3", IF(PERCENTRANK(Table1[Parking Score], T42) &lt; 4/5, "4", "5"))))</f>
        <v>1</v>
      </c>
      <c r="V42" s="21" t="str">
        <f>IF(PERCENTRANK(Table1[Parking Score], T42) &lt; 1/5, "LOW", IF(PERCENTRANK(Table1[Parking Score], T42) &lt; 2/5, "MEDIUM-LOW", IF(PERCENTRANK(Table1[Parking Score], T42) &lt; 3/5, "MEDIUM", IF(PERCENTRANK(Table1[Parking Score], T42) &lt; 4/5, "MEDIUM-HIGH", "HIGH"))))</f>
        <v>LOW</v>
      </c>
    </row>
    <row r="43" spans="1:22" x14ac:dyDescent="0.25">
      <c r="A43" s="82" t="s">
        <v>123</v>
      </c>
      <c r="B43" s="83">
        <v>43</v>
      </c>
      <c r="C43" s="83"/>
      <c r="D43" s="83"/>
      <c r="E43" s="83"/>
      <c r="F43" s="67">
        <v>769</v>
      </c>
      <c r="G43" s="67" t="str">
        <f>IF(PERCENTRANK(Table1[Parking Spots Regular], F43) &lt; 1/5, "1", IF(PERCENTRANK(Table1[Parking Spots Regular], F43) &lt; 2/5, "2", IF(PERCENTRANK(Table1[Parking Spots Regular], F43) &lt; 3/5, "3", IF(PERCENTRANK(Table1[Parking Spots Regular], F43) &lt; 4/5, "4", "5"))))</f>
        <v>5</v>
      </c>
      <c r="H43" s="67">
        <v>17</v>
      </c>
      <c r="I43" s="67" t="str">
        <f>IF(PERCENTRANK(Table1[Parking Spots ADA], H43) &lt; 1/5, "1", IF(PERCENTRANK(Table1[Parking Spots ADA], H43) &lt; 2/5, "2", IF(PERCENTRANK(Table1[Parking Spots ADA], H43) &lt; 3/5, "3", IF(PERCENTRANK(Table1[Parking Spots ADA], H43) &lt; 4/5, "4", "5"))))</f>
        <v>5</v>
      </c>
      <c r="J43" s="67">
        <v>0</v>
      </c>
      <c r="K43" s="67">
        <v>0</v>
      </c>
      <c r="L43" s="67">
        <f t="shared" si="3"/>
        <v>0</v>
      </c>
      <c r="M43" s="67" t="str">
        <f>IF(PERCENTRANK(Table1[EVC Stations + Occupied], L43) &lt; 1/5, "1", IF(PERCENTRANK(Table1[EVC Stations + Occupied], L43) &lt; 2/5, "2", IF(PERCENTRANK(Table1[EVC Stations + Occupied], L43) &lt; 3/5, "3", IF(PERCENTRANK(Table1[EVC Stations + Occupied], L43) &lt; 4/5, "4", "5"))))</f>
        <v>1</v>
      </c>
      <c r="N43" s="67">
        <v>281.66666666666669</v>
      </c>
      <c r="O43" s="73">
        <f t="shared" si="2"/>
        <v>0.35835453774385073</v>
      </c>
      <c r="P43" s="73">
        <f>ABS(O43-$X$8)</f>
        <v>0.14164546225614927</v>
      </c>
      <c r="Q43" s="73" t="str">
        <f>IF(PERCENTRANK(Table1[Utilization Rate from 50%], P43) &lt; 1/5, "5", IF(PERCENTRANK(Table1[Utilization Rate from 50%], P43) &lt; 2/5, "4", IF(PERCENTRANK(Table1[Utilization Rate from 50%], P43) &lt; 3/5, "3", IF(PERCENTRANK(Table1[Utilization Rate from 50%], P43) &lt; 4/5, "2", "1"))))</f>
        <v>4</v>
      </c>
      <c r="R43" s="67">
        <v>0</v>
      </c>
      <c r="S43" s="88">
        <v>1</v>
      </c>
      <c r="T43" s="21">
        <f>Table1[[#This Row],[Lighting]]+Table1[[#This Row],[Parking Fee]]+Table1[[#This Row],[Utilization from 50% score]]+Table1[[#This Row],[EVC Score]]+Table1[[#This Row],[ADA Spots Score]]+Table1[[#This Row],[Parking Spots Score]]</f>
        <v>16</v>
      </c>
      <c r="U43" s="93" t="str">
        <f>IF(PERCENTRANK(Table1[Parking Score], T43) &lt; 1/5, "1", IF(PERCENTRANK(Table1[Parking Score], T43) &lt; 2/5, "2", IF(PERCENTRANK(Table1[Parking Score], T43) &lt; 3/5, "3", IF(PERCENTRANK(Table1[Parking Score], T43) &lt; 4/5, "4", "5"))))</f>
        <v>5</v>
      </c>
      <c r="V43" s="21" t="str">
        <f>IF(PERCENTRANK(Table1[Parking Score], T43) &lt; 1/5, "LOW", IF(PERCENTRANK(Table1[Parking Score], T43) &lt; 2/5, "MEDIUM-LOW", IF(PERCENTRANK(Table1[Parking Score], T43) &lt; 3/5, "MEDIUM", IF(PERCENTRANK(Table1[Parking Score], T43) &lt; 4/5, "MEDIUM-HIGH", "HIGH"))))</f>
        <v>HIGH</v>
      </c>
    </row>
    <row r="44" spans="1:22" x14ac:dyDescent="0.25">
      <c r="A44" s="82" t="s">
        <v>124</v>
      </c>
      <c r="B44" s="83">
        <v>44</v>
      </c>
      <c r="C44" s="83"/>
      <c r="D44" s="83"/>
      <c r="E44" s="83"/>
      <c r="F44" s="67">
        <v>341</v>
      </c>
      <c r="G44" s="67" t="str">
        <f>IF(PERCENTRANK(Table1[Parking Spots Regular], F44) &lt; 1/5, "1", IF(PERCENTRANK(Table1[Parking Spots Regular], F44) &lt; 2/5, "2", IF(PERCENTRANK(Table1[Parking Spots Regular], F44) &lt; 3/5, "3", IF(PERCENTRANK(Table1[Parking Spots Regular], F44) &lt; 4/5, "4", "5"))))</f>
        <v>4</v>
      </c>
      <c r="H44" s="67">
        <v>8</v>
      </c>
      <c r="I44" s="67" t="str">
        <f>IF(PERCENTRANK(Table1[Parking Spots ADA], H44) &lt; 1/5, "1", IF(PERCENTRANK(Table1[Parking Spots ADA], H44) &lt; 2/5, "2", IF(PERCENTRANK(Table1[Parking Spots ADA], H44) &lt; 3/5, "3", IF(PERCENTRANK(Table1[Parking Spots ADA], H44) &lt; 4/5, "4", "5"))))</f>
        <v>4</v>
      </c>
      <c r="J44" s="67">
        <v>0</v>
      </c>
      <c r="K44" s="67">
        <v>0</v>
      </c>
      <c r="L44" s="67">
        <f t="shared" si="3"/>
        <v>0</v>
      </c>
      <c r="M44" s="67" t="str">
        <f>IF(PERCENTRANK(Table1[EVC Stations + Occupied], L44) &lt; 1/5, "1", IF(PERCENTRANK(Table1[EVC Stations + Occupied], L44) &lt; 2/5, "2", IF(PERCENTRANK(Table1[EVC Stations + Occupied], L44) &lt; 3/5, "3", IF(PERCENTRANK(Table1[EVC Stations + Occupied], L44) &lt; 4/5, "4", "5"))))</f>
        <v>1</v>
      </c>
      <c r="N44" s="67">
        <v>39.333333333333336</v>
      </c>
      <c r="O44" s="73">
        <f t="shared" si="2"/>
        <v>0.11270296084049666</v>
      </c>
      <c r="P44" s="73">
        <f>ABS(O44-$X$8)</f>
        <v>0.38729703915950331</v>
      </c>
      <c r="Q44" s="73" t="str">
        <f>IF(PERCENTRANK(Table1[Utilization Rate from 50%], P44) &lt; 1/5, "5", IF(PERCENTRANK(Table1[Utilization Rate from 50%], P44) &lt; 2/5, "4", IF(PERCENTRANK(Table1[Utilization Rate from 50%], P44) &lt; 3/5, "3", IF(PERCENTRANK(Table1[Utilization Rate from 50%], P44) &lt; 4/5, "2", "1"))))</f>
        <v>2</v>
      </c>
      <c r="R44" s="67">
        <v>0</v>
      </c>
      <c r="S44" s="88">
        <v>1</v>
      </c>
      <c r="T44" s="21">
        <f>Table1[[#This Row],[Lighting]]+Table1[[#This Row],[Parking Fee]]+Table1[[#This Row],[Utilization from 50% score]]+Table1[[#This Row],[EVC Score]]+Table1[[#This Row],[ADA Spots Score]]+Table1[[#This Row],[Parking Spots Score]]</f>
        <v>12</v>
      </c>
      <c r="U44" s="93" t="str">
        <f>IF(PERCENTRANK(Table1[Parking Score], T44) &lt; 1/5, "1", IF(PERCENTRANK(Table1[Parking Score], T44) &lt; 2/5, "2", IF(PERCENTRANK(Table1[Parking Score], T44) &lt; 3/5, "3", IF(PERCENTRANK(Table1[Parking Score], T44) &lt; 4/5, "4", "5"))))</f>
        <v>4</v>
      </c>
      <c r="V44" s="21" t="str">
        <f>IF(PERCENTRANK(Table1[Parking Score], T44) &lt; 1/5, "LOW", IF(PERCENTRANK(Table1[Parking Score], T44) &lt; 2/5, "MEDIUM-LOW", IF(PERCENTRANK(Table1[Parking Score], T44) &lt; 3/5, "MEDIUM", IF(PERCENTRANK(Table1[Parking Score], T44) &lt; 4/5, "MEDIUM-HIGH", "HIGH"))))</f>
        <v>MEDIUM-HIGH</v>
      </c>
    </row>
    <row r="45" spans="1:22" x14ac:dyDescent="0.25">
      <c r="A45" s="82" t="s">
        <v>125</v>
      </c>
      <c r="B45" s="83">
        <v>45</v>
      </c>
      <c r="C45" s="83"/>
      <c r="D45" s="83"/>
      <c r="E45" s="83"/>
      <c r="F45" s="67">
        <v>0</v>
      </c>
      <c r="G45" s="67" t="str">
        <f>IF(PERCENTRANK(Table1[Parking Spots Regular], F45) &lt; 1/5, "1", IF(PERCENTRANK(Table1[Parking Spots Regular], F45) &lt; 2/5, "2", IF(PERCENTRANK(Table1[Parking Spots Regular], F45) &lt; 3/5, "3", IF(PERCENTRANK(Table1[Parking Spots Regular], F45) &lt; 4/5, "4", "5"))))</f>
        <v>1</v>
      </c>
      <c r="H45" s="67">
        <v>0</v>
      </c>
      <c r="I45" s="67" t="str">
        <f>IF(PERCENTRANK(Table1[Parking Spots ADA], H45) &lt; 1/5, "1", IF(PERCENTRANK(Table1[Parking Spots ADA], H45) &lt; 2/5, "2", IF(PERCENTRANK(Table1[Parking Spots ADA], H45) &lt; 3/5, "3", IF(PERCENTRANK(Table1[Parking Spots ADA], H45) &lt; 4/5, "4", "5"))))</f>
        <v>1</v>
      </c>
      <c r="J45" s="67">
        <v>0</v>
      </c>
      <c r="K45" s="67">
        <v>0</v>
      </c>
      <c r="L45" s="67">
        <f t="shared" si="3"/>
        <v>0</v>
      </c>
      <c r="M45" s="67" t="str">
        <f>IF(PERCENTRANK(Table1[EVC Stations + Occupied], L45) &lt; 1/5, "1", IF(PERCENTRANK(Table1[EVC Stations + Occupied], L45) &lt; 2/5, "2", IF(PERCENTRANK(Table1[EVC Stations + Occupied], L45) &lt; 3/5, "3", IF(PERCENTRANK(Table1[EVC Stations + Occupied], L45) &lt; 4/5, "4", "5"))))</f>
        <v>1</v>
      </c>
      <c r="N45" s="67"/>
      <c r="O45" s="73"/>
      <c r="P45" s="73"/>
      <c r="Q45" s="73"/>
      <c r="R45" s="67">
        <v>0</v>
      </c>
      <c r="S45" s="88">
        <v>1</v>
      </c>
      <c r="T45" s="21">
        <f>Table1[[#This Row],[Lighting]]+Table1[[#This Row],[Parking Fee]]+Table1[[#This Row],[Utilization from 50% score]]+Table1[[#This Row],[EVC Score]]+Table1[[#This Row],[ADA Spots Score]]+Table1[[#This Row],[Parking Spots Score]]</f>
        <v>4</v>
      </c>
      <c r="U45" s="93" t="str">
        <f>IF(PERCENTRANK(Table1[Parking Score], T45) &lt; 1/5, "1", IF(PERCENTRANK(Table1[Parking Score], T45) &lt; 2/5, "2", IF(PERCENTRANK(Table1[Parking Score], T45) &lt; 3/5, "3", IF(PERCENTRANK(Table1[Parking Score], T45) &lt; 4/5, "4", "5"))))</f>
        <v>1</v>
      </c>
      <c r="V45" s="21" t="str">
        <f>IF(PERCENTRANK(Table1[Parking Score], T45) &lt; 1/5, "LOW", IF(PERCENTRANK(Table1[Parking Score], T45) &lt; 2/5, "MEDIUM-LOW", IF(PERCENTRANK(Table1[Parking Score], T45) &lt; 3/5, "MEDIUM", IF(PERCENTRANK(Table1[Parking Score], T45) &lt; 4/5, "MEDIUM-HIGH", "HIGH"))))</f>
        <v>LOW</v>
      </c>
    </row>
    <row r="46" spans="1:22" x14ac:dyDescent="0.25">
      <c r="A46" s="82" t="s">
        <v>126</v>
      </c>
      <c r="B46" s="83">
        <v>46</v>
      </c>
      <c r="C46" s="83"/>
      <c r="D46" s="83"/>
      <c r="E46" s="83"/>
      <c r="F46" s="67">
        <v>0</v>
      </c>
      <c r="G46" s="67" t="str">
        <f>IF(PERCENTRANK(Table1[Parking Spots Regular], F46) &lt; 1/5, "1", IF(PERCENTRANK(Table1[Parking Spots Regular], F46) &lt; 2/5, "2", IF(PERCENTRANK(Table1[Parking Spots Regular], F46) &lt; 3/5, "3", IF(PERCENTRANK(Table1[Parking Spots Regular], F46) &lt; 4/5, "4", "5"))))</f>
        <v>1</v>
      </c>
      <c r="H46" s="67">
        <v>0</v>
      </c>
      <c r="I46" s="67" t="str">
        <f>IF(PERCENTRANK(Table1[Parking Spots ADA], H46) &lt; 1/5, "1", IF(PERCENTRANK(Table1[Parking Spots ADA], H46) &lt; 2/5, "2", IF(PERCENTRANK(Table1[Parking Spots ADA], H46) &lt; 3/5, "3", IF(PERCENTRANK(Table1[Parking Spots ADA], H46) &lt; 4/5, "4", "5"))))</f>
        <v>1</v>
      </c>
      <c r="J46" s="67">
        <v>0</v>
      </c>
      <c r="K46" s="67">
        <v>0</v>
      </c>
      <c r="L46" s="67">
        <f t="shared" si="3"/>
        <v>0</v>
      </c>
      <c r="M46" s="67" t="str">
        <f>IF(PERCENTRANK(Table1[EVC Stations + Occupied], L46) &lt; 1/5, "1", IF(PERCENTRANK(Table1[EVC Stations + Occupied], L46) &lt; 2/5, "2", IF(PERCENTRANK(Table1[EVC Stations + Occupied], L46) &lt; 3/5, "3", IF(PERCENTRANK(Table1[EVC Stations + Occupied], L46) &lt; 4/5, "4", "5"))))</f>
        <v>1</v>
      </c>
      <c r="N46" s="67"/>
      <c r="O46" s="73"/>
      <c r="P46" s="73"/>
      <c r="Q46" s="73"/>
      <c r="R46" s="67">
        <v>0</v>
      </c>
      <c r="S46" s="88">
        <v>1</v>
      </c>
      <c r="T46" s="21">
        <f>Table1[[#This Row],[Lighting]]+Table1[[#This Row],[Parking Fee]]+Table1[[#This Row],[Utilization from 50% score]]+Table1[[#This Row],[EVC Score]]+Table1[[#This Row],[ADA Spots Score]]+Table1[[#This Row],[Parking Spots Score]]</f>
        <v>4</v>
      </c>
      <c r="U46" s="93" t="str">
        <f>IF(PERCENTRANK(Table1[Parking Score], T46) &lt; 1/5, "1", IF(PERCENTRANK(Table1[Parking Score], T46) &lt; 2/5, "2", IF(PERCENTRANK(Table1[Parking Score], T46) &lt; 3/5, "3", IF(PERCENTRANK(Table1[Parking Score], T46) &lt; 4/5, "4", "5"))))</f>
        <v>1</v>
      </c>
      <c r="V46" s="21" t="str">
        <f>IF(PERCENTRANK(Table1[Parking Score], T46) &lt; 1/5, "LOW", IF(PERCENTRANK(Table1[Parking Score], T46) &lt; 2/5, "MEDIUM-LOW", IF(PERCENTRANK(Table1[Parking Score], T46) &lt; 3/5, "MEDIUM", IF(PERCENTRANK(Table1[Parking Score], T46) &lt; 4/5, "MEDIUM-HIGH", "HIGH"))))</f>
        <v>LOW</v>
      </c>
    </row>
    <row r="47" spans="1:22" x14ac:dyDescent="0.25">
      <c r="A47" s="82" t="s">
        <v>127</v>
      </c>
      <c r="B47" s="83">
        <v>47</v>
      </c>
      <c r="C47" s="83"/>
      <c r="D47" s="83"/>
      <c r="E47" s="83"/>
      <c r="F47" s="67">
        <v>0</v>
      </c>
      <c r="G47" s="67" t="str">
        <f>IF(PERCENTRANK(Table1[Parking Spots Regular], F47) &lt; 1/5, "1", IF(PERCENTRANK(Table1[Parking Spots Regular], F47) &lt; 2/5, "2", IF(PERCENTRANK(Table1[Parking Spots Regular], F47) &lt; 3/5, "3", IF(PERCENTRANK(Table1[Parking Spots Regular], F47) &lt; 4/5, "4", "5"))))</f>
        <v>1</v>
      </c>
      <c r="H47" s="67">
        <v>0</v>
      </c>
      <c r="I47" s="67" t="str">
        <f>IF(PERCENTRANK(Table1[Parking Spots ADA], H47) &lt; 1/5, "1", IF(PERCENTRANK(Table1[Parking Spots ADA], H47) &lt; 2/5, "2", IF(PERCENTRANK(Table1[Parking Spots ADA], H47) &lt; 3/5, "3", IF(PERCENTRANK(Table1[Parking Spots ADA], H47) &lt; 4/5, "4", "5"))))</f>
        <v>1</v>
      </c>
      <c r="J47" s="67">
        <v>0</v>
      </c>
      <c r="K47" s="67">
        <v>0</v>
      </c>
      <c r="L47" s="67">
        <f t="shared" si="3"/>
        <v>0</v>
      </c>
      <c r="M47" s="67" t="str">
        <f>IF(PERCENTRANK(Table1[EVC Stations + Occupied], L47) &lt; 1/5, "1", IF(PERCENTRANK(Table1[EVC Stations + Occupied], L47) &lt; 2/5, "2", IF(PERCENTRANK(Table1[EVC Stations + Occupied], L47) &lt; 3/5, "3", IF(PERCENTRANK(Table1[EVC Stations + Occupied], L47) &lt; 4/5, "4", "5"))))</f>
        <v>1</v>
      </c>
      <c r="N47" s="67"/>
      <c r="O47" s="73"/>
      <c r="P47" s="73"/>
      <c r="Q47" s="73"/>
      <c r="R47" s="67">
        <v>0</v>
      </c>
      <c r="S47" s="88">
        <v>1</v>
      </c>
      <c r="T47" s="21">
        <f>Table1[[#This Row],[Lighting]]+Table1[[#This Row],[Parking Fee]]+Table1[[#This Row],[Utilization from 50% score]]+Table1[[#This Row],[EVC Score]]+Table1[[#This Row],[ADA Spots Score]]+Table1[[#This Row],[Parking Spots Score]]</f>
        <v>4</v>
      </c>
      <c r="U47" s="93" t="str">
        <f>IF(PERCENTRANK(Table1[Parking Score], T47) &lt; 1/5, "1", IF(PERCENTRANK(Table1[Parking Score], T47) &lt; 2/5, "2", IF(PERCENTRANK(Table1[Parking Score], T47) &lt; 3/5, "3", IF(PERCENTRANK(Table1[Parking Score], T47) &lt; 4/5, "4", "5"))))</f>
        <v>1</v>
      </c>
      <c r="V47" s="21" t="str">
        <f>IF(PERCENTRANK(Table1[Parking Score], T47) &lt; 1/5, "LOW", IF(PERCENTRANK(Table1[Parking Score], T47) &lt; 2/5, "MEDIUM-LOW", IF(PERCENTRANK(Table1[Parking Score], T47) &lt; 3/5, "MEDIUM", IF(PERCENTRANK(Table1[Parking Score], T47) &lt; 4/5, "MEDIUM-HIGH", "HIGH"))))</f>
        <v>LOW</v>
      </c>
    </row>
    <row r="48" spans="1:22" x14ac:dyDescent="0.25">
      <c r="A48" s="82" t="s">
        <v>128</v>
      </c>
      <c r="B48" s="83">
        <v>48</v>
      </c>
      <c r="C48" s="83"/>
      <c r="D48" s="83"/>
      <c r="E48" s="83"/>
      <c r="F48" s="67">
        <v>145</v>
      </c>
      <c r="G48" s="67" t="str">
        <f>IF(PERCENTRANK(Table1[Parking Spots Regular], F48) &lt; 1/5, "1", IF(PERCENTRANK(Table1[Parking Spots Regular], F48) &lt; 2/5, "2", IF(PERCENTRANK(Table1[Parking Spots Regular], F48) &lt; 3/5, "3", IF(PERCENTRANK(Table1[Parking Spots Regular], F48) &lt; 4/5, "4", "5"))))</f>
        <v>4</v>
      </c>
      <c r="H48" s="67">
        <v>5</v>
      </c>
      <c r="I48" s="67" t="str">
        <f>IF(PERCENTRANK(Table1[Parking Spots ADA], H48) &lt; 1/5, "1", IF(PERCENTRANK(Table1[Parking Spots ADA], H48) &lt; 2/5, "2", IF(PERCENTRANK(Table1[Parking Spots ADA], H48) &lt; 3/5, "3", IF(PERCENTRANK(Table1[Parking Spots ADA], H48) &lt; 4/5, "4", "5"))))</f>
        <v>3</v>
      </c>
      <c r="J48" s="67">
        <v>0</v>
      </c>
      <c r="K48" s="67">
        <v>0</v>
      </c>
      <c r="L48" s="67">
        <f t="shared" si="3"/>
        <v>0</v>
      </c>
      <c r="M48" s="67" t="str">
        <f>IF(PERCENTRANK(Table1[EVC Stations + Occupied], L48) &lt; 1/5, "1", IF(PERCENTRANK(Table1[EVC Stations + Occupied], L48) &lt; 2/5, "2", IF(PERCENTRANK(Table1[EVC Stations + Occupied], L48) &lt; 3/5, "3", IF(PERCENTRANK(Table1[EVC Stations + Occupied], L48) &lt; 4/5, "4", "5"))))</f>
        <v>1</v>
      </c>
      <c r="N48" s="67">
        <v>31.666666666666668</v>
      </c>
      <c r="O48" s="73">
        <f t="shared" si="2"/>
        <v>0.21111111111111111</v>
      </c>
      <c r="P48" s="73">
        <f t="shared" ref="P48:P54" si="4">ABS(O48-$X$8)</f>
        <v>0.28888888888888886</v>
      </c>
      <c r="Q48" s="73" t="str">
        <f>IF(PERCENTRANK(Table1[Utilization Rate from 50%], P48) &lt; 1/5, "5", IF(PERCENTRANK(Table1[Utilization Rate from 50%], P48) &lt; 2/5, "4", IF(PERCENTRANK(Table1[Utilization Rate from 50%], P48) &lt; 3/5, "3", IF(PERCENTRANK(Table1[Utilization Rate from 50%], P48) &lt; 4/5, "2", "1"))))</f>
        <v>3</v>
      </c>
      <c r="R48" s="67">
        <v>0</v>
      </c>
      <c r="S48" s="88">
        <v>1</v>
      </c>
      <c r="T48" s="21">
        <f>Table1[[#This Row],[Lighting]]+Table1[[#This Row],[Parking Fee]]+Table1[[#This Row],[Utilization from 50% score]]+Table1[[#This Row],[EVC Score]]+Table1[[#This Row],[ADA Spots Score]]+Table1[[#This Row],[Parking Spots Score]]</f>
        <v>12</v>
      </c>
      <c r="U48" s="93" t="str">
        <f>IF(PERCENTRANK(Table1[Parking Score], T48) &lt; 1/5, "1", IF(PERCENTRANK(Table1[Parking Score], T48) &lt; 2/5, "2", IF(PERCENTRANK(Table1[Parking Score], T48) &lt; 3/5, "3", IF(PERCENTRANK(Table1[Parking Score], T48) &lt; 4/5, "4", "5"))))</f>
        <v>4</v>
      </c>
      <c r="V48" s="21" t="str">
        <f>IF(PERCENTRANK(Table1[Parking Score], T48) &lt; 1/5, "LOW", IF(PERCENTRANK(Table1[Parking Score], T48) &lt; 2/5, "MEDIUM-LOW", IF(PERCENTRANK(Table1[Parking Score], T48) &lt; 3/5, "MEDIUM", IF(PERCENTRANK(Table1[Parking Score], T48) &lt; 4/5, "MEDIUM-HIGH", "HIGH"))))</f>
        <v>MEDIUM-HIGH</v>
      </c>
    </row>
    <row r="49" spans="1:22" x14ac:dyDescent="0.25">
      <c r="A49" s="82" t="s">
        <v>130</v>
      </c>
      <c r="B49" s="83">
        <v>49</v>
      </c>
      <c r="C49" s="83"/>
      <c r="D49" s="83"/>
      <c r="E49" s="83"/>
      <c r="F49" s="67">
        <v>168</v>
      </c>
      <c r="G49" s="67" t="str">
        <f>IF(PERCENTRANK(Table1[Parking Spots Regular], F49) &lt; 1/5, "1", IF(PERCENTRANK(Table1[Parking Spots Regular], F49) &lt; 2/5, "2", IF(PERCENTRANK(Table1[Parking Spots Regular], F49) &lt; 3/5, "3", IF(PERCENTRANK(Table1[Parking Spots Regular], F49) &lt; 4/5, "4", "5"))))</f>
        <v>4</v>
      </c>
      <c r="H49" s="67">
        <v>14</v>
      </c>
      <c r="I49" s="67" t="str">
        <f>IF(PERCENTRANK(Table1[Parking Spots ADA], H49) &lt; 1/5, "1", IF(PERCENTRANK(Table1[Parking Spots ADA], H49) &lt; 2/5, "2", IF(PERCENTRANK(Table1[Parking Spots ADA], H49) &lt; 3/5, "3", IF(PERCENTRANK(Table1[Parking Spots ADA], H49) &lt; 4/5, "4", "5"))))</f>
        <v>4</v>
      </c>
      <c r="J49" s="67">
        <v>0</v>
      </c>
      <c r="K49" s="67">
        <v>0</v>
      </c>
      <c r="L49" s="67">
        <f t="shared" si="3"/>
        <v>0</v>
      </c>
      <c r="M49" s="67" t="str">
        <f>IF(PERCENTRANK(Table1[EVC Stations + Occupied], L49) &lt; 1/5, "1", IF(PERCENTRANK(Table1[EVC Stations + Occupied], L49) &lt; 2/5, "2", IF(PERCENTRANK(Table1[EVC Stations + Occupied], L49) &lt; 3/5, "3", IF(PERCENTRANK(Table1[EVC Stations + Occupied], L49) &lt; 4/5, "4", "5"))))</f>
        <v>1</v>
      </c>
      <c r="N49" s="67">
        <v>170</v>
      </c>
      <c r="O49" s="73">
        <f t="shared" si="2"/>
        <v>0.93406593406593408</v>
      </c>
      <c r="P49" s="73">
        <f t="shared" si="4"/>
        <v>0.43406593406593408</v>
      </c>
      <c r="Q49" s="73" t="str">
        <f>IF(PERCENTRANK(Table1[Utilization Rate from 50%], P49) &lt; 1/5, "5", IF(PERCENTRANK(Table1[Utilization Rate from 50%], P49) &lt; 2/5, "4", IF(PERCENTRANK(Table1[Utilization Rate from 50%], P49) &lt; 3/5, "3", IF(PERCENTRANK(Table1[Utilization Rate from 50%], P49) &lt; 4/5, "2", "1"))))</f>
        <v>2</v>
      </c>
      <c r="R49" s="67">
        <v>0</v>
      </c>
      <c r="S49" s="88">
        <v>1</v>
      </c>
      <c r="T49" s="21">
        <f>Table1[[#This Row],[Lighting]]+Table1[[#This Row],[Parking Fee]]+Table1[[#This Row],[Utilization from 50% score]]+Table1[[#This Row],[EVC Score]]+Table1[[#This Row],[ADA Spots Score]]+Table1[[#This Row],[Parking Spots Score]]</f>
        <v>12</v>
      </c>
      <c r="U49" s="93" t="str">
        <f>IF(PERCENTRANK(Table1[Parking Score], T49) &lt; 1/5, "1", IF(PERCENTRANK(Table1[Parking Score], T49) &lt; 2/5, "2", IF(PERCENTRANK(Table1[Parking Score], T49) &lt; 3/5, "3", IF(PERCENTRANK(Table1[Parking Score], T49) &lt; 4/5, "4", "5"))))</f>
        <v>4</v>
      </c>
      <c r="V49" s="21" t="str">
        <f>IF(PERCENTRANK(Table1[Parking Score], T49) &lt; 1/5, "LOW", IF(PERCENTRANK(Table1[Parking Score], T49) &lt; 2/5, "MEDIUM-LOW", IF(PERCENTRANK(Table1[Parking Score], T49) &lt; 3/5, "MEDIUM", IF(PERCENTRANK(Table1[Parking Score], T49) &lt; 4/5, "MEDIUM-HIGH", "HIGH"))))</f>
        <v>MEDIUM-HIGH</v>
      </c>
    </row>
    <row r="50" spans="1:22" x14ac:dyDescent="0.25">
      <c r="A50" s="82" t="s">
        <v>135</v>
      </c>
      <c r="B50" s="83">
        <v>50</v>
      </c>
      <c r="C50" s="83"/>
      <c r="D50" s="83"/>
      <c r="E50" s="83"/>
      <c r="F50" s="67">
        <v>279</v>
      </c>
      <c r="G50" s="67" t="str">
        <f>IF(PERCENTRANK(Table1[Parking Spots Regular], F50) &lt; 1/5, "1", IF(PERCENTRANK(Table1[Parking Spots Regular], F50) &lt; 2/5, "2", IF(PERCENTRANK(Table1[Parking Spots Regular], F50) &lt; 3/5, "3", IF(PERCENTRANK(Table1[Parking Spots Regular], F50) &lt; 4/5, "4", "5"))))</f>
        <v>4</v>
      </c>
      <c r="H50" s="67">
        <v>8</v>
      </c>
      <c r="I50" s="67" t="str">
        <f>IF(PERCENTRANK(Table1[Parking Spots ADA], H50) &lt; 1/5, "1", IF(PERCENTRANK(Table1[Parking Spots ADA], H50) &lt; 2/5, "2", IF(PERCENTRANK(Table1[Parking Spots ADA], H50) &lt; 3/5, "3", IF(PERCENTRANK(Table1[Parking Spots ADA], H50) &lt; 4/5, "4", "5"))))</f>
        <v>4</v>
      </c>
      <c r="J50" s="67">
        <v>0</v>
      </c>
      <c r="K50" s="67">
        <v>0</v>
      </c>
      <c r="L50" s="67">
        <f t="shared" si="3"/>
        <v>0</v>
      </c>
      <c r="M50" s="67" t="str">
        <f>IF(PERCENTRANK(Table1[EVC Stations + Occupied], L50) &lt; 1/5, "1", IF(PERCENTRANK(Table1[EVC Stations + Occupied], L50) &lt; 2/5, "2", IF(PERCENTRANK(Table1[EVC Stations + Occupied], L50) &lt; 3/5, "3", IF(PERCENTRANK(Table1[EVC Stations + Occupied], L50) &lt; 4/5, "4", "5"))))</f>
        <v>1</v>
      </c>
      <c r="N50" s="67">
        <v>278.66666666666669</v>
      </c>
      <c r="O50" s="73">
        <f t="shared" si="2"/>
        <v>0.97096399535423927</v>
      </c>
      <c r="P50" s="73">
        <f t="shared" si="4"/>
        <v>0.47096399535423927</v>
      </c>
      <c r="Q50" s="73" t="str">
        <f>IF(PERCENTRANK(Table1[Utilization Rate from 50%], P50) &lt; 1/5, "5", IF(PERCENTRANK(Table1[Utilization Rate from 50%], P50) &lt; 2/5, "4", IF(PERCENTRANK(Table1[Utilization Rate from 50%], P50) &lt; 3/5, "3", IF(PERCENTRANK(Table1[Utilization Rate from 50%], P50) &lt; 4/5, "2", "1"))))</f>
        <v>2</v>
      </c>
      <c r="R50" s="67">
        <v>0</v>
      </c>
      <c r="S50" s="88">
        <v>1</v>
      </c>
      <c r="T50" s="21">
        <f>Table1[[#This Row],[Lighting]]+Table1[[#This Row],[Parking Fee]]+Table1[[#This Row],[Utilization from 50% score]]+Table1[[#This Row],[EVC Score]]+Table1[[#This Row],[ADA Spots Score]]+Table1[[#This Row],[Parking Spots Score]]</f>
        <v>12</v>
      </c>
      <c r="U50" s="93" t="str">
        <f>IF(PERCENTRANK(Table1[Parking Score], T50) &lt; 1/5, "1", IF(PERCENTRANK(Table1[Parking Score], T50) &lt; 2/5, "2", IF(PERCENTRANK(Table1[Parking Score], T50) &lt; 3/5, "3", IF(PERCENTRANK(Table1[Parking Score], T50) &lt; 4/5, "4", "5"))))</f>
        <v>4</v>
      </c>
      <c r="V50" s="21" t="str">
        <f>IF(PERCENTRANK(Table1[Parking Score], T50) &lt; 1/5, "LOW", IF(PERCENTRANK(Table1[Parking Score], T50) &lt; 2/5, "MEDIUM-LOW", IF(PERCENTRANK(Table1[Parking Score], T50) &lt; 3/5, "MEDIUM", IF(PERCENTRANK(Table1[Parking Score], T50) &lt; 4/5, "MEDIUM-HIGH", "HIGH"))))</f>
        <v>MEDIUM-HIGH</v>
      </c>
    </row>
    <row r="51" spans="1:22" x14ac:dyDescent="0.25">
      <c r="A51" s="82" t="s">
        <v>140</v>
      </c>
      <c r="B51" s="83">
        <v>51</v>
      </c>
      <c r="C51" s="83"/>
      <c r="D51" s="83"/>
      <c r="E51" s="83"/>
      <c r="F51" s="67">
        <v>334</v>
      </c>
      <c r="G51" s="67" t="str">
        <f>IF(PERCENTRANK(Table1[Parking Spots Regular], F51) &lt; 1/5, "1", IF(PERCENTRANK(Table1[Parking Spots Regular], F51) &lt; 2/5, "2", IF(PERCENTRANK(Table1[Parking Spots Regular], F51) &lt; 3/5, "3", IF(PERCENTRANK(Table1[Parking Spots Regular], F51) &lt; 4/5, "4", "5"))))</f>
        <v>4</v>
      </c>
      <c r="H51" s="67">
        <v>14</v>
      </c>
      <c r="I51" s="67" t="str">
        <f>IF(PERCENTRANK(Table1[Parking Spots ADA], H51) &lt; 1/5, "1", IF(PERCENTRANK(Table1[Parking Spots ADA], H51) &lt; 2/5, "2", IF(PERCENTRANK(Table1[Parking Spots ADA], H51) &lt; 3/5, "3", IF(PERCENTRANK(Table1[Parking Spots ADA], H51) &lt; 4/5, "4", "5"))))</f>
        <v>4</v>
      </c>
      <c r="J51" s="67">
        <v>0</v>
      </c>
      <c r="K51" s="67">
        <v>0</v>
      </c>
      <c r="L51" s="67">
        <f t="shared" si="3"/>
        <v>0</v>
      </c>
      <c r="M51" s="67" t="str">
        <f>IF(PERCENTRANK(Table1[EVC Stations + Occupied], L51) &lt; 1/5, "1", IF(PERCENTRANK(Table1[EVC Stations + Occupied], L51) &lt; 2/5, "2", IF(PERCENTRANK(Table1[EVC Stations + Occupied], L51) &lt; 3/5, "3", IF(PERCENTRANK(Table1[EVC Stations + Occupied], L51) &lt; 4/5, "4", "5"))))</f>
        <v>1</v>
      </c>
      <c r="N51" s="67">
        <v>247.66666666666666</v>
      </c>
      <c r="O51" s="73">
        <f t="shared" si="2"/>
        <v>0.71168582375478928</v>
      </c>
      <c r="P51" s="73">
        <f t="shared" si="4"/>
        <v>0.21168582375478928</v>
      </c>
      <c r="Q51" s="73" t="str">
        <f>IF(PERCENTRANK(Table1[Utilization Rate from 50%], P51) &lt; 1/5, "5", IF(PERCENTRANK(Table1[Utilization Rate from 50%], P51) &lt; 2/5, "4", IF(PERCENTRANK(Table1[Utilization Rate from 50%], P51) &lt; 3/5, "3", IF(PERCENTRANK(Table1[Utilization Rate from 50%], P51) &lt; 4/5, "2", "1"))))</f>
        <v>4</v>
      </c>
      <c r="R51" s="67">
        <v>0</v>
      </c>
      <c r="S51" s="88">
        <v>1</v>
      </c>
      <c r="T51" s="21">
        <f>Table1[[#This Row],[Lighting]]+Table1[[#This Row],[Parking Fee]]+Table1[[#This Row],[Utilization from 50% score]]+Table1[[#This Row],[EVC Score]]+Table1[[#This Row],[ADA Spots Score]]+Table1[[#This Row],[Parking Spots Score]]</f>
        <v>14</v>
      </c>
      <c r="U51" s="93" t="str">
        <f>IF(PERCENTRANK(Table1[Parking Score], T51) &lt; 1/5, "1", IF(PERCENTRANK(Table1[Parking Score], T51) &lt; 2/5, "2", IF(PERCENTRANK(Table1[Parking Score], T51) &lt; 3/5, "3", IF(PERCENTRANK(Table1[Parking Score], T51) &lt; 4/5, "4", "5"))))</f>
        <v>4</v>
      </c>
      <c r="V51" s="21" t="str">
        <f>IF(PERCENTRANK(Table1[Parking Score], T51) &lt; 1/5, "LOW", IF(PERCENTRANK(Table1[Parking Score], T51) &lt; 2/5, "MEDIUM-LOW", IF(PERCENTRANK(Table1[Parking Score], T51) &lt; 3/5, "MEDIUM", IF(PERCENTRANK(Table1[Parking Score], T51) &lt; 4/5, "MEDIUM-HIGH", "HIGH"))))</f>
        <v>MEDIUM-HIGH</v>
      </c>
    </row>
    <row r="52" spans="1:22" x14ac:dyDescent="0.25">
      <c r="A52" s="82" t="s">
        <v>143</v>
      </c>
      <c r="B52" s="83">
        <v>52</v>
      </c>
      <c r="C52" s="83"/>
      <c r="D52" s="83"/>
      <c r="E52" s="83"/>
      <c r="F52" s="67">
        <v>348</v>
      </c>
      <c r="G52" s="67" t="str">
        <f>IF(PERCENTRANK(Table1[Parking Spots Regular], F52) &lt; 1/5, "1", IF(PERCENTRANK(Table1[Parking Spots Regular], F52) &lt; 2/5, "2", IF(PERCENTRANK(Table1[Parking Spots Regular], F52) &lt; 3/5, "3", IF(PERCENTRANK(Table1[Parking Spots Regular], F52) &lt; 4/5, "4", "5"))))</f>
        <v>4</v>
      </c>
      <c r="H52" s="67">
        <v>6</v>
      </c>
      <c r="I52" s="67" t="str">
        <f>IF(PERCENTRANK(Table1[Parking Spots ADA], H52) &lt; 1/5, "1", IF(PERCENTRANK(Table1[Parking Spots ADA], H52) &lt; 2/5, "2", IF(PERCENTRANK(Table1[Parking Spots ADA], H52) &lt; 3/5, "3", IF(PERCENTRANK(Table1[Parking Spots ADA], H52) &lt; 4/5, "4", "5"))))</f>
        <v>4</v>
      </c>
      <c r="J52" s="67">
        <v>0</v>
      </c>
      <c r="K52" s="67">
        <v>0</v>
      </c>
      <c r="L52" s="67">
        <f t="shared" si="3"/>
        <v>0</v>
      </c>
      <c r="M52" s="67" t="str">
        <f>IF(PERCENTRANK(Table1[EVC Stations + Occupied], L52) &lt; 1/5, "1", IF(PERCENTRANK(Table1[EVC Stations + Occupied], L52) &lt; 2/5, "2", IF(PERCENTRANK(Table1[EVC Stations + Occupied], L52) &lt; 3/5, "3", IF(PERCENTRANK(Table1[EVC Stations + Occupied], L52) &lt; 4/5, "4", "5"))))</f>
        <v>1</v>
      </c>
      <c r="N52" s="67">
        <v>316.33333333333331</v>
      </c>
      <c r="O52" s="73">
        <f t="shared" si="2"/>
        <v>0.8935969868173258</v>
      </c>
      <c r="P52" s="73">
        <f t="shared" si="4"/>
        <v>0.3935969868173258</v>
      </c>
      <c r="Q52" s="73" t="str">
        <f>IF(PERCENTRANK(Table1[Utilization Rate from 50%], P52) &lt; 1/5, "5", IF(PERCENTRANK(Table1[Utilization Rate from 50%], P52) &lt; 2/5, "4", IF(PERCENTRANK(Table1[Utilization Rate from 50%], P52) &lt; 3/5, "3", IF(PERCENTRANK(Table1[Utilization Rate from 50%], P52) &lt; 4/5, "2", "1"))))</f>
        <v>2</v>
      </c>
      <c r="R52" s="67">
        <v>0</v>
      </c>
      <c r="S52" s="88">
        <v>1</v>
      </c>
      <c r="T52" s="21">
        <f>Table1[[#This Row],[Lighting]]+Table1[[#This Row],[Parking Fee]]+Table1[[#This Row],[Utilization from 50% score]]+Table1[[#This Row],[EVC Score]]+Table1[[#This Row],[ADA Spots Score]]+Table1[[#This Row],[Parking Spots Score]]</f>
        <v>12</v>
      </c>
      <c r="U52" s="93" t="str">
        <f>IF(PERCENTRANK(Table1[Parking Score], T52) &lt; 1/5, "1", IF(PERCENTRANK(Table1[Parking Score], T52) &lt; 2/5, "2", IF(PERCENTRANK(Table1[Parking Score], T52) &lt; 3/5, "3", IF(PERCENTRANK(Table1[Parking Score], T52) &lt; 4/5, "4", "5"))))</f>
        <v>4</v>
      </c>
      <c r="V52" s="21" t="str">
        <f>IF(PERCENTRANK(Table1[Parking Score], T52) &lt; 1/5, "LOW", IF(PERCENTRANK(Table1[Parking Score], T52) &lt; 2/5, "MEDIUM-LOW", IF(PERCENTRANK(Table1[Parking Score], T52) &lt; 3/5, "MEDIUM", IF(PERCENTRANK(Table1[Parking Score], T52) &lt; 4/5, "MEDIUM-HIGH", "HIGH"))))</f>
        <v>MEDIUM-HIGH</v>
      </c>
    </row>
    <row r="53" spans="1:22" x14ac:dyDescent="0.25">
      <c r="A53" s="82" t="s">
        <v>147</v>
      </c>
      <c r="B53" s="83">
        <v>53</v>
      </c>
      <c r="C53" s="83"/>
      <c r="D53" s="83"/>
      <c r="E53" s="83"/>
      <c r="F53" s="67">
        <v>323</v>
      </c>
      <c r="G53" s="67" t="str">
        <f>IF(PERCENTRANK(Table1[Parking Spots Regular], F53) &lt; 1/5, "1", IF(PERCENTRANK(Table1[Parking Spots Regular], F53) &lt; 2/5, "2", IF(PERCENTRANK(Table1[Parking Spots Regular], F53) &lt; 3/5, "3", IF(PERCENTRANK(Table1[Parking Spots Regular], F53) &lt; 4/5, "4", "5"))))</f>
        <v>4</v>
      </c>
      <c r="H53" s="67">
        <v>11</v>
      </c>
      <c r="I53" s="67" t="str">
        <f>IF(PERCENTRANK(Table1[Parking Spots ADA], H53) &lt; 1/5, "1", IF(PERCENTRANK(Table1[Parking Spots ADA], H53) &lt; 2/5, "2", IF(PERCENTRANK(Table1[Parking Spots ADA], H53) &lt; 3/5, "3", IF(PERCENTRANK(Table1[Parking Spots ADA], H53) &lt; 4/5, "4", "5"))))</f>
        <v>4</v>
      </c>
      <c r="J53" s="67">
        <v>0</v>
      </c>
      <c r="K53" s="67">
        <v>0</v>
      </c>
      <c r="L53" s="67">
        <f t="shared" si="3"/>
        <v>0</v>
      </c>
      <c r="M53" s="67" t="str">
        <f>IF(PERCENTRANK(Table1[EVC Stations + Occupied], L53) &lt; 1/5, "1", IF(PERCENTRANK(Table1[EVC Stations + Occupied], L53) &lt; 2/5, "2", IF(PERCENTRANK(Table1[EVC Stations + Occupied], L53) &lt; 3/5, "3", IF(PERCENTRANK(Table1[EVC Stations + Occupied], L53) &lt; 4/5, "4", "5"))))</f>
        <v>1</v>
      </c>
      <c r="N53" s="67">
        <v>316</v>
      </c>
      <c r="O53" s="73">
        <f t="shared" si="2"/>
        <v>0.94610778443113774</v>
      </c>
      <c r="P53" s="73">
        <f t="shared" si="4"/>
        <v>0.44610778443113774</v>
      </c>
      <c r="Q53" s="73" t="str">
        <f>IF(PERCENTRANK(Table1[Utilization Rate from 50%], P53) &lt; 1/5, "5", IF(PERCENTRANK(Table1[Utilization Rate from 50%], P53) &lt; 2/5, "4", IF(PERCENTRANK(Table1[Utilization Rate from 50%], P53) &lt; 3/5, "3", IF(PERCENTRANK(Table1[Utilization Rate from 50%], P53) &lt; 4/5, "2", "1"))))</f>
        <v>2</v>
      </c>
      <c r="R53" s="67">
        <v>0</v>
      </c>
      <c r="S53" s="88">
        <v>1</v>
      </c>
      <c r="T53" s="21">
        <f>Table1[[#This Row],[Lighting]]+Table1[[#This Row],[Parking Fee]]+Table1[[#This Row],[Utilization from 50% score]]+Table1[[#This Row],[EVC Score]]+Table1[[#This Row],[ADA Spots Score]]+Table1[[#This Row],[Parking Spots Score]]</f>
        <v>12</v>
      </c>
      <c r="U53" s="93" t="str">
        <f>IF(PERCENTRANK(Table1[Parking Score], T53) &lt; 1/5, "1", IF(PERCENTRANK(Table1[Parking Score], T53) &lt; 2/5, "2", IF(PERCENTRANK(Table1[Parking Score], T53) &lt; 3/5, "3", IF(PERCENTRANK(Table1[Parking Score], T53) &lt; 4/5, "4", "5"))))</f>
        <v>4</v>
      </c>
      <c r="V53" s="21" t="str">
        <f>IF(PERCENTRANK(Table1[Parking Score], T53) &lt; 1/5, "LOW", IF(PERCENTRANK(Table1[Parking Score], T53) &lt; 2/5, "MEDIUM-LOW", IF(PERCENTRANK(Table1[Parking Score], T53) &lt; 3/5, "MEDIUM", IF(PERCENTRANK(Table1[Parking Score], T53) &lt; 4/5, "MEDIUM-HIGH", "HIGH"))))</f>
        <v>MEDIUM-HIGH</v>
      </c>
    </row>
    <row r="54" spans="1:22" x14ac:dyDescent="0.25">
      <c r="A54" s="82" t="s">
        <v>149</v>
      </c>
      <c r="B54" s="83">
        <v>54</v>
      </c>
      <c r="C54" s="83"/>
      <c r="D54" s="83"/>
      <c r="E54" s="83"/>
      <c r="F54" s="67">
        <v>795</v>
      </c>
      <c r="G54" s="67" t="str">
        <f>IF(PERCENTRANK(Table1[Parking Spots Regular], F54) &lt; 1/5, "1", IF(PERCENTRANK(Table1[Parking Spots Regular], F54) &lt; 2/5, "2", IF(PERCENTRANK(Table1[Parking Spots Regular], F54) &lt; 3/5, "3", IF(PERCENTRANK(Table1[Parking Spots Regular], F54) &lt; 4/5, "4", "5"))))</f>
        <v>5</v>
      </c>
      <c r="H54" s="67">
        <v>44</v>
      </c>
      <c r="I54" s="67" t="str">
        <f>IF(PERCENTRANK(Table1[Parking Spots ADA], H54) &lt; 1/5, "1", IF(PERCENTRANK(Table1[Parking Spots ADA], H54) &lt; 2/5, "2", IF(PERCENTRANK(Table1[Parking Spots ADA], H54) &lt; 3/5, "3", IF(PERCENTRANK(Table1[Parking Spots ADA], H54) &lt; 4/5, "4", "5"))))</f>
        <v>5</v>
      </c>
      <c r="J54" s="67">
        <v>0</v>
      </c>
      <c r="K54" s="67">
        <v>0</v>
      </c>
      <c r="L54" s="67">
        <f t="shared" si="3"/>
        <v>0</v>
      </c>
      <c r="M54" s="67" t="str">
        <f>IF(PERCENTRANK(Table1[EVC Stations + Occupied], L54) &lt; 1/5, "1", IF(PERCENTRANK(Table1[EVC Stations + Occupied], L54) &lt; 2/5, "2", IF(PERCENTRANK(Table1[EVC Stations + Occupied], L54) &lt; 3/5, "3", IF(PERCENTRANK(Table1[EVC Stations + Occupied], L54) &lt; 4/5, "4", "5"))))</f>
        <v>1</v>
      </c>
      <c r="N54" s="67">
        <v>1074.6666666666667</v>
      </c>
      <c r="O54" s="73">
        <f t="shared" si="2"/>
        <v>1.2808899483512119</v>
      </c>
      <c r="P54" s="73">
        <f t="shared" si="4"/>
        <v>0.78088994835121195</v>
      </c>
      <c r="Q54" s="73" t="str">
        <f>IF(PERCENTRANK(Table1[Utilization Rate from 50%], P54) &lt; 1/5, "5", IF(PERCENTRANK(Table1[Utilization Rate from 50%], P54) &lt; 2/5, "4", IF(PERCENTRANK(Table1[Utilization Rate from 50%], P54) &lt; 3/5, "3", IF(PERCENTRANK(Table1[Utilization Rate from 50%], P54) &lt; 4/5, "2", "1"))))</f>
        <v>1</v>
      </c>
      <c r="R54" s="67">
        <v>0</v>
      </c>
      <c r="S54" s="88">
        <v>1</v>
      </c>
      <c r="T54" s="21">
        <f>Table1[[#This Row],[Lighting]]+Table1[[#This Row],[Parking Fee]]+Table1[[#This Row],[Utilization from 50% score]]+Table1[[#This Row],[EVC Score]]+Table1[[#This Row],[ADA Spots Score]]+Table1[[#This Row],[Parking Spots Score]]</f>
        <v>13</v>
      </c>
      <c r="U54" s="93" t="str">
        <f>IF(PERCENTRANK(Table1[Parking Score], T54) &lt; 1/5, "1", IF(PERCENTRANK(Table1[Parking Score], T54) &lt; 2/5, "2", IF(PERCENTRANK(Table1[Parking Score], T54) &lt; 3/5, "3", IF(PERCENTRANK(Table1[Parking Score], T54) &lt; 4/5, "4", "5"))))</f>
        <v>4</v>
      </c>
      <c r="V54" s="21" t="str">
        <f>IF(PERCENTRANK(Table1[Parking Score], T54) &lt; 1/5, "LOW", IF(PERCENTRANK(Table1[Parking Score], T54) &lt; 2/5, "MEDIUM-LOW", IF(PERCENTRANK(Table1[Parking Score], T54) &lt; 3/5, "MEDIUM", IF(PERCENTRANK(Table1[Parking Score], T54) &lt; 4/5, "MEDIUM-HIGH", "HIGH"))))</f>
        <v>MEDIUM-HIGH</v>
      </c>
    </row>
    <row r="55" spans="1:22" x14ac:dyDescent="0.25">
      <c r="A55" s="82" t="s">
        <v>248</v>
      </c>
      <c r="B55" s="83">
        <v>55</v>
      </c>
      <c r="C55" s="83"/>
      <c r="D55" s="83"/>
      <c r="E55" s="83"/>
      <c r="F55" s="67">
        <v>0</v>
      </c>
      <c r="G55" s="67" t="str">
        <f>IF(PERCENTRANK(Table1[Parking Spots Regular], F55) &lt; 1/5, "1", IF(PERCENTRANK(Table1[Parking Spots Regular], F55) &lt; 2/5, "2", IF(PERCENTRANK(Table1[Parking Spots Regular], F55) &lt; 3/5, "3", IF(PERCENTRANK(Table1[Parking Spots Regular], F55) &lt; 4/5, "4", "5"))))</f>
        <v>1</v>
      </c>
      <c r="H55" s="67">
        <v>0</v>
      </c>
      <c r="I55" s="67" t="str">
        <f>IF(PERCENTRANK(Table1[Parking Spots ADA], H55) &lt; 1/5, "1", IF(PERCENTRANK(Table1[Parking Spots ADA], H55) &lt; 2/5, "2", IF(PERCENTRANK(Table1[Parking Spots ADA], H55) &lt; 3/5, "3", IF(PERCENTRANK(Table1[Parking Spots ADA], H55) &lt; 4/5, "4", "5"))))</f>
        <v>1</v>
      </c>
      <c r="J55" s="67">
        <v>5</v>
      </c>
      <c r="K55" s="67">
        <v>5</v>
      </c>
      <c r="L55" s="67">
        <f t="shared" si="3"/>
        <v>10</v>
      </c>
      <c r="M55" s="67" t="str">
        <f>IF(PERCENTRANK(Table1[EVC Stations + Occupied], L55) &lt; 1/5, "1", IF(PERCENTRANK(Table1[EVC Stations + Occupied], L55) &lt; 2/5, "2", IF(PERCENTRANK(Table1[EVC Stations + Occupied], L55) &lt; 3/5, "3", IF(PERCENTRANK(Table1[EVC Stations + Occupied], L55) &lt; 4/5, "4", "5"))))</f>
        <v>5</v>
      </c>
      <c r="N55" s="67">
        <v>2285.5</v>
      </c>
      <c r="O55" s="73"/>
      <c r="P55" s="73"/>
      <c r="Q55" s="73"/>
      <c r="R55" s="67">
        <v>1</v>
      </c>
      <c r="S55" s="88">
        <v>1</v>
      </c>
      <c r="T55" s="21">
        <f>Table1[[#This Row],[Lighting]]+Table1[[#This Row],[Parking Fee]]+Table1[[#This Row],[Utilization from 50% score]]+Table1[[#This Row],[EVC Score]]+Table1[[#This Row],[ADA Spots Score]]+Table1[[#This Row],[Parking Spots Score]]</f>
        <v>9</v>
      </c>
      <c r="U55" s="93" t="str">
        <f>IF(PERCENTRANK(Table1[Parking Score], T55) &lt; 1/5, "1", IF(PERCENTRANK(Table1[Parking Score], T55) &lt; 2/5, "2", IF(PERCENTRANK(Table1[Parking Score], T55) &lt; 3/5, "3", IF(PERCENTRANK(Table1[Parking Score], T55) &lt; 4/5, "4", "5"))))</f>
        <v>3</v>
      </c>
      <c r="V55" s="21" t="str">
        <f>IF(PERCENTRANK(Table1[Parking Score], T55) &lt; 1/5, "LOW", IF(PERCENTRANK(Table1[Parking Score], T55) &lt; 2/5, "MEDIUM-LOW", IF(PERCENTRANK(Table1[Parking Score], T55) &lt; 3/5, "MEDIUM", IF(PERCENTRANK(Table1[Parking Score], T55) &lt; 4/5, "MEDIUM-HIGH", "HIGH"))))</f>
        <v>MEDIUM</v>
      </c>
    </row>
    <row r="56" spans="1:22" x14ac:dyDescent="0.25">
      <c r="A56" s="82" t="s">
        <v>153</v>
      </c>
      <c r="B56" s="83">
        <v>57</v>
      </c>
      <c r="C56" s="83"/>
      <c r="D56" s="83"/>
      <c r="E56" s="83"/>
      <c r="F56" s="67">
        <v>1920</v>
      </c>
      <c r="G56" s="67" t="str">
        <f>IF(PERCENTRANK(Table1[Parking Spots Regular], F56) &lt; 1/5, "1", IF(PERCENTRANK(Table1[Parking Spots Regular], F56) &lt; 2/5, "2", IF(PERCENTRANK(Table1[Parking Spots Regular], F56) &lt; 3/5, "3", IF(PERCENTRANK(Table1[Parking Spots Regular], F56) &lt; 4/5, "4", "5"))))</f>
        <v>5</v>
      </c>
      <c r="H56" s="67">
        <v>56</v>
      </c>
      <c r="I56" s="67" t="str">
        <f>IF(PERCENTRANK(Table1[Parking Spots ADA], H56) &lt; 1/5, "1", IF(PERCENTRANK(Table1[Parking Spots ADA], H56) &lt; 2/5, "2", IF(PERCENTRANK(Table1[Parking Spots ADA], H56) &lt; 3/5, "3", IF(PERCENTRANK(Table1[Parking Spots ADA], H56) &lt; 4/5, "4", "5"))))</f>
        <v>5</v>
      </c>
      <c r="J56" s="67">
        <v>2</v>
      </c>
      <c r="K56" s="67">
        <v>0</v>
      </c>
      <c r="L56" s="67">
        <f t="shared" si="3"/>
        <v>2</v>
      </c>
      <c r="M56" s="67" t="str">
        <f>IF(PERCENTRANK(Table1[EVC Stations + Occupied], L56) &lt; 1/5, "1", IF(PERCENTRANK(Table1[EVC Stations + Occupied], L56) &lt; 2/5, "2", IF(PERCENTRANK(Table1[EVC Stations + Occupied], L56) &lt; 3/5, "3", IF(PERCENTRANK(Table1[EVC Stations + Occupied], L56) &lt; 4/5, "4", "5"))))</f>
        <v>5</v>
      </c>
      <c r="N56" s="67">
        <v>1864.6666666666667</v>
      </c>
      <c r="O56" s="73">
        <f t="shared" si="2"/>
        <v>0.94365721997300944</v>
      </c>
      <c r="P56" s="73">
        <f>ABS(O56-$X$8)</f>
        <v>0.44365721997300944</v>
      </c>
      <c r="Q56" s="73" t="str">
        <f>IF(PERCENTRANK(Table1[Utilization Rate from 50%], P56) &lt; 1/5, "5", IF(PERCENTRANK(Table1[Utilization Rate from 50%], P56) &lt; 2/5, "4", IF(PERCENTRANK(Table1[Utilization Rate from 50%], P56) &lt; 3/5, "3", IF(PERCENTRANK(Table1[Utilization Rate from 50%], P56) &lt; 4/5, "2", "1"))))</f>
        <v>2</v>
      </c>
      <c r="R56" s="67">
        <v>0</v>
      </c>
      <c r="S56" s="88">
        <v>1</v>
      </c>
      <c r="T56" s="21">
        <f>Table1[[#This Row],[Lighting]]+Table1[[#This Row],[Parking Fee]]+Table1[[#This Row],[Utilization from 50% score]]+Table1[[#This Row],[EVC Score]]+Table1[[#This Row],[ADA Spots Score]]+Table1[[#This Row],[Parking Spots Score]]</f>
        <v>18</v>
      </c>
      <c r="U56" s="93" t="str">
        <f>IF(PERCENTRANK(Table1[Parking Score], T56) &lt; 1/5, "1", IF(PERCENTRANK(Table1[Parking Score], T56) &lt; 2/5, "2", IF(PERCENTRANK(Table1[Parking Score], T56) &lt; 3/5, "3", IF(PERCENTRANK(Table1[Parking Score], T56) &lt; 4/5, "4", "5"))))</f>
        <v>5</v>
      </c>
      <c r="V56" s="21" t="str">
        <f>IF(PERCENTRANK(Table1[Parking Score], T56) &lt; 1/5, "LOW", IF(PERCENTRANK(Table1[Parking Score], T56) &lt; 2/5, "MEDIUM-LOW", IF(PERCENTRANK(Table1[Parking Score], T56) &lt; 3/5, "MEDIUM", IF(PERCENTRANK(Table1[Parking Score], T56) &lt; 4/5, "MEDIUM-HIGH", "HIGH"))))</f>
        <v>HIGH</v>
      </c>
    </row>
    <row r="57" spans="1:22" x14ac:dyDescent="0.25">
      <c r="A57" s="82" t="s">
        <v>156</v>
      </c>
      <c r="B57" s="83">
        <v>58</v>
      </c>
      <c r="C57" s="83"/>
      <c r="D57" s="83"/>
      <c r="E57" s="83"/>
      <c r="F57" s="67">
        <v>618</v>
      </c>
      <c r="G57" s="67" t="str">
        <f>IF(PERCENTRANK(Table1[Parking Spots Regular], F57) &lt; 1/5, "1", IF(PERCENTRANK(Table1[Parking Spots Regular], F57) &lt; 2/5, "2", IF(PERCENTRANK(Table1[Parking Spots Regular], F57) &lt; 3/5, "3", IF(PERCENTRANK(Table1[Parking Spots Regular], F57) &lt; 4/5, "4", "5"))))</f>
        <v>5</v>
      </c>
      <c r="H57" s="67">
        <v>14</v>
      </c>
      <c r="I57" s="67" t="str">
        <f>IF(PERCENTRANK(Table1[Parking Spots ADA], H57) &lt; 1/5, "1", IF(PERCENTRANK(Table1[Parking Spots ADA], H57) &lt; 2/5, "2", IF(PERCENTRANK(Table1[Parking Spots ADA], H57) &lt; 3/5, "3", IF(PERCENTRANK(Table1[Parking Spots ADA], H57) &lt; 4/5, "4", "5"))))</f>
        <v>4</v>
      </c>
      <c r="J57" s="67">
        <v>0</v>
      </c>
      <c r="K57" s="67">
        <v>0</v>
      </c>
      <c r="L57" s="67">
        <f t="shared" si="3"/>
        <v>0</v>
      </c>
      <c r="M57" s="67" t="str">
        <f>IF(PERCENTRANK(Table1[EVC Stations + Occupied], L57) &lt; 1/5, "1", IF(PERCENTRANK(Table1[EVC Stations + Occupied], L57) &lt; 2/5, "2", IF(PERCENTRANK(Table1[EVC Stations + Occupied], L57) &lt; 3/5, "3", IF(PERCENTRANK(Table1[EVC Stations + Occupied], L57) &lt; 4/5, "4", "5"))))</f>
        <v>1</v>
      </c>
      <c r="N57" s="67">
        <v>496.33333333333331</v>
      </c>
      <c r="O57" s="73">
        <f t="shared" si="2"/>
        <v>0.78533755274261596</v>
      </c>
      <c r="P57" s="73">
        <f>ABS(O57-$X$8)</f>
        <v>0.28533755274261596</v>
      </c>
      <c r="Q57" s="73" t="str">
        <f>IF(PERCENTRANK(Table1[Utilization Rate from 50%], P57) &lt; 1/5, "5", IF(PERCENTRANK(Table1[Utilization Rate from 50%], P57) &lt; 2/5, "4", IF(PERCENTRANK(Table1[Utilization Rate from 50%], P57) &lt; 3/5, "3", IF(PERCENTRANK(Table1[Utilization Rate from 50%], P57) &lt; 4/5, "2", "1"))))</f>
        <v>3</v>
      </c>
      <c r="R57" s="67">
        <v>0</v>
      </c>
      <c r="S57" s="88">
        <v>1</v>
      </c>
      <c r="T57" s="21">
        <f>Table1[[#This Row],[Lighting]]+Table1[[#This Row],[Parking Fee]]+Table1[[#This Row],[Utilization from 50% score]]+Table1[[#This Row],[EVC Score]]+Table1[[#This Row],[ADA Spots Score]]+Table1[[#This Row],[Parking Spots Score]]</f>
        <v>14</v>
      </c>
      <c r="U57" s="93" t="str">
        <f>IF(PERCENTRANK(Table1[Parking Score], T57) &lt; 1/5, "1", IF(PERCENTRANK(Table1[Parking Score], T57) &lt; 2/5, "2", IF(PERCENTRANK(Table1[Parking Score], T57) &lt; 3/5, "3", IF(PERCENTRANK(Table1[Parking Score], T57) &lt; 4/5, "4", "5"))))</f>
        <v>4</v>
      </c>
      <c r="V57" s="21" t="str">
        <f>IF(PERCENTRANK(Table1[Parking Score], T57) &lt; 1/5, "LOW", IF(PERCENTRANK(Table1[Parking Score], T57) &lt; 2/5, "MEDIUM-LOW", IF(PERCENTRANK(Table1[Parking Score], T57) &lt; 3/5, "MEDIUM", IF(PERCENTRANK(Table1[Parking Score], T57) &lt; 4/5, "MEDIUM-HIGH", "HIGH"))))</f>
        <v>MEDIUM-HIGH</v>
      </c>
    </row>
    <row r="58" spans="1:22" x14ac:dyDescent="0.25">
      <c r="A58" s="82" t="s">
        <v>160</v>
      </c>
      <c r="B58" s="83">
        <v>59</v>
      </c>
      <c r="C58" s="83"/>
      <c r="D58" s="83"/>
      <c r="E58" s="83"/>
      <c r="F58" s="67">
        <v>257</v>
      </c>
      <c r="G58" s="67" t="str">
        <f>IF(PERCENTRANK(Table1[Parking Spots Regular], F58) &lt; 1/5, "1", IF(PERCENTRANK(Table1[Parking Spots Regular], F58) &lt; 2/5, "2", IF(PERCENTRANK(Table1[Parking Spots Regular], F58) &lt; 3/5, "3", IF(PERCENTRANK(Table1[Parking Spots Regular], F58) &lt; 4/5, "4", "5"))))</f>
        <v>4</v>
      </c>
      <c r="H58" s="67">
        <v>10</v>
      </c>
      <c r="I58" s="67" t="str">
        <f>IF(PERCENTRANK(Table1[Parking Spots ADA], H58) &lt; 1/5, "1", IF(PERCENTRANK(Table1[Parking Spots ADA], H58) &lt; 2/5, "2", IF(PERCENTRANK(Table1[Parking Spots ADA], H58) &lt; 3/5, "3", IF(PERCENTRANK(Table1[Parking Spots ADA], H58) &lt; 4/5, "4", "5"))))</f>
        <v>4</v>
      </c>
      <c r="J58" s="67">
        <v>0</v>
      </c>
      <c r="K58" s="67">
        <v>0</v>
      </c>
      <c r="L58" s="67">
        <f t="shared" si="3"/>
        <v>0</v>
      </c>
      <c r="M58" s="67" t="str">
        <f>IF(PERCENTRANK(Table1[EVC Stations + Occupied], L58) &lt; 1/5, "1", IF(PERCENTRANK(Table1[EVC Stations + Occupied], L58) &lt; 2/5, "2", IF(PERCENTRANK(Table1[EVC Stations + Occupied], L58) &lt; 3/5, "3", IF(PERCENTRANK(Table1[EVC Stations + Occupied], L58) &lt; 4/5, "4", "5"))))</f>
        <v>1</v>
      </c>
      <c r="N58" s="67">
        <v>283.66666666666669</v>
      </c>
      <c r="O58" s="73">
        <f t="shared" si="2"/>
        <v>1.0624219725343322</v>
      </c>
      <c r="P58" s="73">
        <f>ABS(O58-$X$8)</f>
        <v>0.56242197253433224</v>
      </c>
      <c r="Q58" s="73" t="str">
        <f>IF(PERCENTRANK(Table1[Utilization Rate from 50%], P58) &lt; 1/5, "5", IF(PERCENTRANK(Table1[Utilization Rate from 50%], P58) &lt; 2/5, "4", IF(PERCENTRANK(Table1[Utilization Rate from 50%], P58) &lt; 3/5, "3", IF(PERCENTRANK(Table1[Utilization Rate from 50%], P58) &lt; 4/5, "2", "1"))))</f>
        <v>1</v>
      </c>
      <c r="R58" s="67">
        <v>0</v>
      </c>
      <c r="S58" s="88">
        <v>1</v>
      </c>
      <c r="T58" s="21">
        <f>Table1[[#This Row],[Lighting]]+Table1[[#This Row],[Parking Fee]]+Table1[[#This Row],[Utilization from 50% score]]+Table1[[#This Row],[EVC Score]]+Table1[[#This Row],[ADA Spots Score]]+Table1[[#This Row],[Parking Spots Score]]</f>
        <v>11</v>
      </c>
      <c r="U58" s="93" t="str">
        <f>IF(PERCENTRANK(Table1[Parking Score], T58) &lt; 1/5, "1", IF(PERCENTRANK(Table1[Parking Score], T58) &lt; 2/5, "2", IF(PERCENTRANK(Table1[Parking Score], T58) &lt; 3/5, "3", IF(PERCENTRANK(Table1[Parking Score], T58) &lt; 4/5, "4", "5"))))</f>
        <v>3</v>
      </c>
      <c r="V58" s="21" t="str">
        <f>IF(PERCENTRANK(Table1[Parking Score], T58) &lt; 1/5, "LOW", IF(PERCENTRANK(Table1[Parking Score], T58) &lt; 2/5, "MEDIUM-LOW", IF(PERCENTRANK(Table1[Parking Score], T58) &lt; 3/5, "MEDIUM", IF(PERCENTRANK(Table1[Parking Score], T58) &lt; 4/5, "MEDIUM-HIGH", "HIGH"))))</f>
        <v>MEDIUM</v>
      </c>
    </row>
    <row r="59" spans="1:22" x14ac:dyDescent="0.25">
      <c r="A59" s="82" t="s">
        <v>162</v>
      </c>
      <c r="B59" s="83">
        <v>60</v>
      </c>
      <c r="C59" s="83"/>
      <c r="D59" s="83"/>
      <c r="E59" s="83"/>
      <c r="F59" s="67">
        <v>0</v>
      </c>
      <c r="G59" s="67" t="str">
        <f>IF(PERCENTRANK(Table1[Parking Spots Regular], F59) &lt; 1/5, "1", IF(PERCENTRANK(Table1[Parking Spots Regular], F59) &lt; 2/5, "2", IF(PERCENTRANK(Table1[Parking Spots Regular], F59) &lt; 3/5, "3", IF(PERCENTRANK(Table1[Parking Spots Regular], F59) &lt; 4/5, "4", "5"))))</f>
        <v>1</v>
      </c>
      <c r="H59" s="67">
        <v>0</v>
      </c>
      <c r="I59" s="67" t="str">
        <f>IF(PERCENTRANK(Table1[Parking Spots ADA], H59) &lt; 1/5, "1", IF(PERCENTRANK(Table1[Parking Spots ADA], H59) &lt; 2/5, "2", IF(PERCENTRANK(Table1[Parking Spots ADA], H59) &lt; 3/5, "3", IF(PERCENTRANK(Table1[Parking Spots ADA], H59) &lt; 4/5, "4", "5"))))</f>
        <v>1</v>
      </c>
      <c r="J59" s="67">
        <v>0</v>
      </c>
      <c r="K59" s="67">
        <v>0</v>
      </c>
      <c r="L59" s="67">
        <f t="shared" si="3"/>
        <v>0</v>
      </c>
      <c r="M59" s="67" t="str">
        <f>IF(PERCENTRANK(Table1[EVC Stations + Occupied], L59) &lt; 1/5, "1", IF(PERCENTRANK(Table1[EVC Stations + Occupied], L59) &lt; 2/5, "2", IF(PERCENTRANK(Table1[EVC Stations + Occupied], L59) &lt; 3/5, "3", IF(PERCENTRANK(Table1[EVC Stations + Occupied], L59) &lt; 4/5, "4", "5"))))</f>
        <v>1</v>
      </c>
      <c r="N59" s="67"/>
      <c r="O59" s="73"/>
      <c r="P59" s="73"/>
      <c r="Q59" s="73"/>
      <c r="R59" s="67">
        <v>1</v>
      </c>
      <c r="S59" s="88">
        <v>1</v>
      </c>
      <c r="T59" s="21">
        <f>Table1[[#This Row],[Lighting]]+Table1[[#This Row],[Parking Fee]]+Table1[[#This Row],[Utilization from 50% score]]+Table1[[#This Row],[EVC Score]]+Table1[[#This Row],[ADA Spots Score]]+Table1[[#This Row],[Parking Spots Score]]</f>
        <v>5</v>
      </c>
      <c r="U59" s="93" t="str">
        <f>IF(PERCENTRANK(Table1[Parking Score], T59) &lt; 1/5, "1", IF(PERCENTRANK(Table1[Parking Score], T59) &lt; 2/5, "2", IF(PERCENTRANK(Table1[Parking Score], T59) &lt; 3/5, "3", IF(PERCENTRANK(Table1[Parking Score], T59) &lt; 4/5, "4", "5"))))</f>
        <v>2</v>
      </c>
      <c r="V59" s="21" t="str">
        <f>IF(PERCENTRANK(Table1[Parking Score], T59) &lt; 1/5, "LOW", IF(PERCENTRANK(Table1[Parking Score], T59) &lt; 2/5, "MEDIUM-LOW", IF(PERCENTRANK(Table1[Parking Score], T59) &lt; 3/5, "MEDIUM", IF(PERCENTRANK(Table1[Parking Score], T59) &lt; 4/5, "MEDIUM-HIGH", "HIGH"))))</f>
        <v>MEDIUM-LOW</v>
      </c>
    </row>
    <row r="60" spans="1:22" x14ac:dyDescent="0.25">
      <c r="A60" s="82" t="s">
        <v>169</v>
      </c>
      <c r="B60" s="83">
        <v>63</v>
      </c>
      <c r="C60" s="83"/>
      <c r="D60" s="83"/>
      <c r="E60" s="83"/>
      <c r="F60" s="67">
        <v>32</v>
      </c>
      <c r="G60" s="67" t="str">
        <f>IF(PERCENTRANK(Table1[Parking Spots Regular], F60) &lt; 1/5, "1", IF(PERCENTRANK(Table1[Parking Spots Regular], F60) &lt; 2/5, "2", IF(PERCENTRANK(Table1[Parking Spots Regular], F60) &lt; 3/5, "3", IF(PERCENTRANK(Table1[Parking Spots Regular], F60) &lt; 4/5, "4", "5"))))</f>
        <v>3</v>
      </c>
      <c r="H60" s="67">
        <v>2</v>
      </c>
      <c r="I60" s="67" t="str">
        <f>IF(PERCENTRANK(Table1[Parking Spots ADA], H60) &lt; 1/5, "1", IF(PERCENTRANK(Table1[Parking Spots ADA], H60) &lt; 2/5, "2", IF(PERCENTRANK(Table1[Parking Spots ADA], H60) &lt; 3/5, "3", IF(PERCENTRANK(Table1[Parking Spots ADA], H60) &lt; 4/5, "4", "5"))))</f>
        <v>3</v>
      </c>
      <c r="J60" s="67">
        <v>0</v>
      </c>
      <c r="K60" s="67">
        <v>0</v>
      </c>
      <c r="L60" s="67">
        <f t="shared" si="3"/>
        <v>0</v>
      </c>
      <c r="M60" s="67" t="str">
        <f>IF(PERCENTRANK(Table1[EVC Stations + Occupied], L60) &lt; 1/5, "1", IF(PERCENTRANK(Table1[EVC Stations + Occupied], L60) &lt; 2/5, "2", IF(PERCENTRANK(Table1[EVC Stations + Occupied], L60) &lt; 3/5, "3", IF(PERCENTRANK(Table1[EVC Stations + Occupied], L60) &lt; 4/5, "4", "5"))))</f>
        <v>1</v>
      </c>
      <c r="N60" s="67">
        <v>7.333333333333333</v>
      </c>
      <c r="O60" s="73">
        <f t="shared" si="2"/>
        <v>0.2156862745098039</v>
      </c>
      <c r="P60" s="73">
        <f t="shared" ref="P60:P65" si="5">ABS(O60-$X$8)</f>
        <v>0.28431372549019607</v>
      </c>
      <c r="Q60" s="73" t="str">
        <f>IF(PERCENTRANK(Table1[Utilization Rate from 50%], P60) &lt; 1/5, "5", IF(PERCENTRANK(Table1[Utilization Rate from 50%], P60) &lt; 2/5, "4", IF(PERCENTRANK(Table1[Utilization Rate from 50%], P60) &lt; 3/5, "3", IF(PERCENTRANK(Table1[Utilization Rate from 50%], P60) &lt; 4/5, "2", "1"))))</f>
        <v>3</v>
      </c>
      <c r="R60" s="67">
        <v>0</v>
      </c>
      <c r="S60" s="88">
        <v>0</v>
      </c>
      <c r="T60" s="21">
        <f>Table1[[#This Row],[Lighting]]+Table1[[#This Row],[Parking Fee]]+Table1[[#This Row],[Utilization from 50% score]]+Table1[[#This Row],[EVC Score]]+Table1[[#This Row],[ADA Spots Score]]+Table1[[#This Row],[Parking Spots Score]]</f>
        <v>10</v>
      </c>
      <c r="U60" s="93" t="str">
        <f>IF(PERCENTRANK(Table1[Parking Score], T60) &lt; 1/5, "1", IF(PERCENTRANK(Table1[Parking Score], T60) &lt; 2/5, "2", IF(PERCENTRANK(Table1[Parking Score], T60) &lt; 3/5, "3", IF(PERCENTRANK(Table1[Parking Score], T60) &lt; 4/5, "4", "5"))))</f>
        <v>3</v>
      </c>
      <c r="V60" s="21" t="str">
        <f>IF(PERCENTRANK(Table1[Parking Score], T60) &lt; 1/5, "LOW", IF(PERCENTRANK(Table1[Parking Score], T60) &lt; 2/5, "MEDIUM-LOW", IF(PERCENTRANK(Table1[Parking Score], T60) &lt; 3/5, "MEDIUM", IF(PERCENTRANK(Table1[Parking Score], T60) &lt; 4/5, "MEDIUM-HIGH", "HIGH"))))</f>
        <v>MEDIUM</v>
      </c>
    </row>
    <row r="61" spans="1:22" x14ac:dyDescent="0.25">
      <c r="A61" s="82" t="s">
        <v>171</v>
      </c>
      <c r="B61" s="83">
        <v>64</v>
      </c>
      <c r="C61" s="83"/>
      <c r="D61" s="83"/>
      <c r="E61" s="83"/>
      <c r="F61" s="67">
        <v>842</v>
      </c>
      <c r="G61" s="67" t="str">
        <f>IF(PERCENTRANK(Table1[Parking Spots Regular], F61) &lt; 1/5, "1", IF(PERCENTRANK(Table1[Parking Spots Regular], F61) &lt; 2/5, "2", IF(PERCENTRANK(Table1[Parking Spots Regular], F61) &lt; 3/5, "3", IF(PERCENTRANK(Table1[Parking Spots Regular], F61) &lt; 4/5, "4", "5"))))</f>
        <v>5</v>
      </c>
      <c r="H61" s="67">
        <v>18</v>
      </c>
      <c r="I61" s="67" t="str">
        <f>IF(PERCENTRANK(Table1[Parking Spots ADA], H61) &lt; 1/5, "1", IF(PERCENTRANK(Table1[Parking Spots ADA], H61) &lt; 2/5, "2", IF(PERCENTRANK(Table1[Parking Spots ADA], H61) &lt; 3/5, "3", IF(PERCENTRANK(Table1[Parking Spots ADA], H61) &lt; 4/5, "4", "5"))))</f>
        <v>5</v>
      </c>
      <c r="J61" s="67">
        <v>2</v>
      </c>
      <c r="K61" s="67">
        <v>0</v>
      </c>
      <c r="L61" s="67">
        <f t="shared" si="3"/>
        <v>2</v>
      </c>
      <c r="M61" s="67" t="str">
        <f>IF(PERCENTRANK(Table1[EVC Stations + Occupied], L61) &lt; 1/5, "1", IF(PERCENTRANK(Table1[EVC Stations + Occupied], L61) &lt; 2/5, "2", IF(PERCENTRANK(Table1[EVC Stations + Occupied], L61) &lt; 3/5, "3", IF(PERCENTRANK(Table1[EVC Stations + Occupied], L61) &lt; 4/5, "4", "5"))))</f>
        <v>5</v>
      </c>
      <c r="N61" s="67">
        <v>507.33333333333331</v>
      </c>
      <c r="O61" s="73">
        <f t="shared" si="2"/>
        <v>0.58992248062015507</v>
      </c>
      <c r="P61" s="73">
        <f t="shared" si="5"/>
        <v>8.9922480620155065E-2</v>
      </c>
      <c r="Q61" s="73" t="str">
        <f>IF(PERCENTRANK(Table1[Utilization Rate from 50%], P61) &lt; 1/5, "5", IF(PERCENTRANK(Table1[Utilization Rate from 50%], P61) &lt; 2/5, "4", IF(PERCENTRANK(Table1[Utilization Rate from 50%], P61) &lt; 3/5, "3", IF(PERCENTRANK(Table1[Utilization Rate from 50%], P61) &lt; 4/5, "2", "1"))))</f>
        <v>5</v>
      </c>
      <c r="R61" s="67">
        <v>0</v>
      </c>
      <c r="S61" s="88">
        <v>1</v>
      </c>
      <c r="T61" s="21">
        <f>Table1[[#This Row],[Lighting]]+Table1[[#This Row],[Parking Fee]]+Table1[[#This Row],[Utilization from 50% score]]+Table1[[#This Row],[EVC Score]]+Table1[[#This Row],[ADA Spots Score]]+Table1[[#This Row],[Parking Spots Score]]</f>
        <v>21</v>
      </c>
      <c r="U61" s="93" t="str">
        <f>IF(PERCENTRANK(Table1[Parking Score], T61) &lt; 1/5, "1", IF(PERCENTRANK(Table1[Parking Score], T61) &lt; 2/5, "2", IF(PERCENTRANK(Table1[Parking Score], T61) &lt; 3/5, "3", IF(PERCENTRANK(Table1[Parking Score], T61) &lt; 4/5, "4", "5"))))</f>
        <v>5</v>
      </c>
      <c r="V61" s="21" t="str">
        <f>IF(PERCENTRANK(Table1[Parking Score], T61) &lt; 1/5, "LOW", IF(PERCENTRANK(Table1[Parking Score], T61) &lt; 2/5, "MEDIUM-LOW", IF(PERCENTRANK(Table1[Parking Score], T61) &lt; 3/5, "MEDIUM", IF(PERCENTRANK(Table1[Parking Score], T61) &lt; 4/5, "MEDIUM-HIGH", "HIGH"))))</f>
        <v>HIGH</v>
      </c>
    </row>
    <row r="62" spans="1:22" x14ac:dyDescent="0.25">
      <c r="A62" s="82" t="s">
        <v>175</v>
      </c>
      <c r="B62" s="83">
        <v>65</v>
      </c>
      <c r="C62" s="83"/>
      <c r="D62" s="83"/>
      <c r="E62" s="83"/>
      <c r="F62" s="67">
        <v>32</v>
      </c>
      <c r="G62" s="67" t="str">
        <f>IF(PERCENTRANK(Table1[Parking Spots Regular], F62) &lt; 1/5, "1", IF(PERCENTRANK(Table1[Parking Spots Regular], F62) &lt; 2/5, "2", IF(PERCENTRANK(Table1[Parking Spots Regular], F62) &lt; 3/5, "3", IF(PERCENTRANK(Table1[Parking Spots Regular], F62) &lt; 4/5, "4", "5"))))</f>
        <v>3</v>
      </c>
      <c r="H62" s="67">
        <v>0</v>
      </c>
      <c r="I62" s="67" t="str">
        <f>IF(PERCENTRANK(Table1[Parking Spots ADA], H62) &lt; 1/5, "1", IF(PERCENTRANK(Table1[Parking Spots ADA], H62) &lt; 2/5, "2", IF(PERCENTRANK(Table1[Parking Spots ADA], H62) &lt; 3/5, "3", IF(PERCENTRANK(Table1[Parking Spots ADA], H62) &lt; 4/5, "4", "5"))))</f>
        <v>1</v>
      </c>
      <c r="J62" s="67">
        <v>0</v>
      </c>
      <c r="K62" s="67">
        <v>0</v>
      </c>
      <c r="L62" s="67">
        <f t="shared" si="3"/>
        <v>0</v>
      </c>
      <c r="M62" s="67" t="str">
        <f>IF(PERCENTRANK(Table1[EVC Stations + Occupied], L62) &lt; 1/5, "1", IF(PERCENTRANK(Table1[EVC Stations + Occupied], L62) &lt; 2/5, "2", IF(PERCENTRANK(Table1[EVC Stations + Occupied], L62) &lt; 3/5, "3", IF(PERCENTRANK(Table1[EVC Stations + Occupied], L62) &lt; 4/5, "4", "5"))))</f>
        <v>1</v>
      </c>
      <c r="N62" s="67">
        <v>12.666666666666666</v>
      </c>
      <c r="O62" s="73">
        <f t="shared" si="2"/>
        <v>0.39583333333333331</v>
      </c>
      <c r="P62" s="73">
        <f t="shared" si="5"/>
        <v>0.10416666666666669</v>
      </c>
      <c r="Q62" s="73" t="str">
        <f>IF(PERCENTRANK(Table1[Utilization Rate from 50%], P62) &lt; 1/5, "5", IF(PERCENTRANK(Table1[Utilization Rate from 50%], P62) &lt; 2/5, "4", IF(PERCENTRANK(Table1[Utilization Rate from 50%], P62) &lt; 3/5, "3", IF(PERCENTRANK(Table1[Utilization Rate from 50%], P62) &lt; 4/5, "2", "1"))))</f>
        <v>5</v>
      </c>
      <c r="R62" s="67">
        <v>0</v>
      </c>
      <c r="S62" s="88">
        <v>0</v>
      </c>
      <c r="T62" s="21">
        <f>Table1[[#This Row],[Lighting]]+Table1[[#This Row],[Parking Fee]]+Table1[[#This Row],[Utilization from 50% score]]+Table1[[#This Row],[EVC Score]]+Table1[[#This Row],[ADA Spots Score]]+Table1[[#This Row],[Parking Spots Score]]</f>
        <v>10</v>
      </c>
      <c r="U62" s="93" t="str">
        <f>IF(PERCENTRANK(Table1[Parking Score], T62) &lt; 1/5, "1", IF(PERCENTRANK(Table1[Parking Score], T62) &lt; 2/5, "2", IF(PERCENTRANK(Table1[Parking Score], T62) &lt; 3/5, "3", IF(PERCENTRANK(Table1[Parking Score], T62) &lt; 4/5, "4", "5"))))</f>
        <v>3</v>
      </c>
      <c r="V62" s="21" t="str">
        <f>IF(PERCENTRANK(Table1[Parking Score], T62) &lt; 1/5, "LOW", IF(PERCENTRANK(Table1[Parking Score], T62) &lt; 2/5, "MEDIUM-LOW", IF(PERCENTRANK(Table1[Parking Score], T62) &lt; 3/5, "MEDIUM", IF(PERCENTRANK(Table1[Parking Score], T62) &lt; 4/5, "MEDIUM-HIGH", "HIGH"))))</f>
        <v>MEDIUM</v>
      </c>
    </row>
    <row r="63" spans="1:22" x14ac:dyDescent="0.25">
      <c r="A63" s="82" t="s">
        <v>177</v>
      </c>
      <c r="B63" s="83">
        <v>66</v>
      </c>
      <c r="C63" s="83"/>
      <c r="D63" s="83"/>
      <c r="E63" s="83"/>
      <c r="F63" s="67">
        <v>363</v>
      </c>
      <c r="G63" s="67" t="str">
        <f>IF(PERCENTRANK(Table1[Parking Spots Regular], F63) &lt; 1/5, "1", IF(PERCENTRANK(Table1[Parking Spots Regular], F63) &lt; 2/5, "2", IF(PERCENTRANK(Table1[Parking Spots Regular], F63) &lt; 3/5, "3", IF(PERCENTRANK(Table1[Parking Spots Regular], F63) &lt; 4/5, "4", "5"))))</f>
        <v>5</v>
      </c>
      <c r="H63" s="67">
        <v>30</v>
      </c>
      <c r="I63" s="67" t="str">
        <f>IF(PERCENTRANK(Table1[Parking Spots ADA], H63) &lt; 1/5, "1", IF(PERCENTRANK(Table1[Parking Spots ADA], H63) &lt; 2/5, "2", IF(PERCENTRANK(Table1[Parking Spots ADA], H63) &lt; 3/5, "3", IF(PERCENTRANK(Table1[Parking Spots ADA], H63) &lt; 4/5, "4", "5"))))</f>
        <v>5</v>
      </c>
      <c r="J63" s="67">
        <v>0</v>
      </c>
      <c r="K63" s="67">
        <v>0</v>
      </c>
      <c r="L63" s="67">
        <f t="shared" si="3"/>
        <v>0</v>
      </c>
      <c r="M63" s="67" t="str">
        <f>IF(PERCENTRANK(Table1[EVC Stations + Occupied], L63) &lt; 1/5, "1", IF(PERCENTRANK(Table1[EVC Stations + Occupied], L63) &lt; 2/5, "2", IF(PERCENTRANK(Table1[EVC Stations + Occupied], L63) &lt; 3/5, "3", IF(PERCENTRANK(Table1[EVC Stations + Occupied], L63) &lt; 4/5, "4", "5"))))</f>
        <v>1</v>
      </c>
      <c r="N63" s="67">
        <v>246.66666666666666</v>
      </c>
      <c r="O63" s="73">
        <f t="shared" si="2"/>
        <v>0.6276505513146734</v>
      </c>
      <c r="P63" s="73">
        <f t="shared" si="5"/>
        <v>0.1276505513146734</v>
      </c>
      <c r="Q63" s="73" t="str">
        <f>IF(PERCENTRANK(Table1[Utilization Rate from 50%], P63) &lt; 1/5, "5", IF(PERCENTRANK(Table1[Utilization Rate from 50%], P63) &lt; 2/5, "4", IF(PERCENTRANK(Table1[Utilization Rate from 50%], P63) &lt; 3/5, "3", IF(PERCENTRANK(Table1[Utilization Rate from 50%], P63) &lt; 4/5, "2", "1"))))</f>
        <v>5</v>
      </c>
      <c r="R63" s="67">
        <v>0</v>
      </c>
      <c r="S63" s="88">
        <v>1</v>
      </c>
      <c r="T63" s="21">
        <f>Table1[[#This Row],[Lighting]]+Table1[[#This Row],[Parking Fee]]+Table1[[#This Row],[Utilization from 50% score]]+Table1[[#This Row],[EVC Score]]+Table1[[#This Row],[ADA Spots Score]]+Table1[[#This Row],[Parking Spots Score]]</f>
        <v>17</v>
      </c>
      <c r="U63" s="93" t="str">
        <f>IF(PERCENTRANK(Table1[Parking Score], T63) &lt; 1/5, "1", IF(PERCENTRANK(Table1[Parking Score], T63) &lt; 2/5, "2", IF(PERCENTRANK(Table1[Parking Score], T63) &lt; 3/5, "3", IF(PERCENTRANK(Table1[Parking Score], T63) &lt; 4/5, "4", "5"))))</f>
        <v>5</v>
      </c>
      <c r="V63" s="21" t="str">
        <f>IF(PERCENTRANK(Table1[Parking Score], T63) &lt; 1/5, "LOW", IF(PERCENTRANK(Table1[Parking Score], T63) &lt; 2/5, "MEDIUM-LOW", IF(PERCENTRANK(Table1[Parking Score], T63) &lt; 3/5, "MEDIUM", IF(PERCENTRANK(Table1[Parking Score], T63) &lt; 4/5, "MEDIUM-HIGH", "HIGH"))))</f>
        <v>HIGH</v>
      </c>
    </row>
    <row r="64" spans="1:22" x14ac:dyDescent="0.25">
      <c r="A64" s="82" t="s">
        <v>181</v>
      </c>
      <c r="B64" s="83">
        <v>68</v>
      </c>
      <c r="C64" s="83"/>
      <c r="D64" s="83"/>
      <c r="E64" s="83"/>
      <c r="F64" s="67">
        <v>470</v>
      </c>
      <c r="G64" s="67" t="str">
        <f>IF(PERCENTRANK(Table1[Parking Spots Regular], F64) &lt; 1/5, "1", IF(PERCENTRANK(Table1[Parking Spots Regular], F64) &lt; 2/5, "2", IF(PERCENTRANK(Table1[Parking Spots Regular], F64) &lt; 3/5, "3", IF(PERCENTRANK(Table1[Parking Spots Regular], F64) &lt; 4/5, "4", "5"))))</f>
        <v>5</v>
      </c>
      <c r="H64" s="67">
        <v>14</v>
      </c>
      <c r="I64" s="67" t="str">
        <f>IF(PERCENTRANK(Table1[Parking Spots ADA], H64) &lt; 1/5, "1", IF(PERCENTRANK(Table1[Parking Spots ADA], H64) &lt; 2/5, "2", IF(PERCENTRANK(Table1[Parking Spots ADA], H64) &lt; 3/5, "3", IF(PERCENTRANK(Table1[Parking Spots ADA], H64) &lt; 4/5, "4", "5"))))</f>
        <v>4</v>
      </c>
      <c r="J64" s="67">
        <v>0</v>
      </c>
      <c r="K64" s="67">
        <v>0</v>
      </c>
      <c r="L64" s="67">
        <f t="shared" si="3"/>
        <v>0</v>
      </c>
      <c r="M64" s="67" t="str">
        <f>IF(PERCENTRANK(Table1[EVC Stations + Occupied], L64) &lt; 1/5, "1", IF(PERCENTRANK(Table1[EVC Stations + Occupied], L64) &lt; 2/5, "2", IF(PERCENTRANK(Table1[EVC Stations + Occupied], L64) &lt; 3/5, "3", IF(PERCENTRANK(Table1[EVC Stations + Occupied], L64) &lt; 4/5, "4", "5"))))</f>
        <v>1</v>
      </c>
      <c r="N64" s="67">
        <v>497</v>
      </c>
      <c r="O64" s="73">
        <f t="shared" si="2"/>
        <v>1.0268595041322315</v>
      </c>
      <c r="P64" s="73">
        <f t="shared" si="5"/>
        <v>0.52685950413223148</v>
      </c>
      <c r="Q64" s="73" t="str">
        <f>IF(PERCENTRANK(Table1[Utilization Rate from 50%], P64) &lt; 1/5, "5", IF(PERCENTRANK(Table1[Utilization Rate from 50%], P64) &lt; 2/5, "4", IF(PERCENTRANK(Table1[Utilization Rate from 50%], P64) &lt; 3/5, "3", IF(PERCENTRANK(Table1[Utilization Rate from 50%], P64) &lt; 4/5, "2", "1"))))</f>
        <v>1</v>
      </c>
      <c r="R64" s="67">
        <v>0</v>
      </c>
      <c r="S64" s="88">
        <v>1</v>
      </c>
      <c r="T64" s="21">
        <f>Table1[[#This Row],[Lighting]]+Table1[[#This Row],[Parking Fee]]+Table1[[#This Row],[Utilization from 50% score]]+Table1[[#This Row],[EVC Score]]+Table1[[#This Row],[ADA Spots Score]]+Table1[[#This Row],[Parking Spots Score]]</f>
        <v>12</v>
      </c>
      <c r="U64" s="93" t="str">
        <f>IF(PERCENTRANK(Table1[Parking Score], T64) &lt; 1/5, "1", IF(PERCENTRANK(Table1[Parking Score], T64) &lt; 2/5, "2", IF(PERCENTRANK(Table1[Parking Score], T64) &lt; 3/5, "3", IF(PERCENTRANK(Table1[Parking Score], T64) &lt; 4/5, "4", "5"))))</f>
        <v>4</v>
      </c>
      <c r="V64" s="21" t="str">
        <f>IF(PERCENTRANK(Table1[Parking Score], T64) &lt; 1/5, "LOW", IF(PERCENTRANK(Table1[Parking Score], T64) &lt; 2/5, "MEDIUM-LOW", IF(PERCENTRANK(Table1[Parking Score], T64) &lt; 3/5, "MEDIUM", IF(PERCENTRANK(Table1[Parking Score], T64) &lt; 4/5, "MEDIUM-HIGH", "HIGH"))))</f>
        <v>MEDIUM-HIGH</v>
      </c>
    </row>
    <row r="65" spans="1:22" x14ac:dyDescent="0.25">
      <c r="A65" s="14" t="s">
        <v>184</v>
      </c>
      <c r="B65" s="83">
        <v>69</v>
      </c>
      <c r="C65" s="83"/>
      <c r="D65" s="83"/>
      <c r="E65" s="83"/>
      <c r="F65" s="67">
        <v>667</v>
      </c>
      <c r="G65" s="67" t="str">
        <f>IF(PERCENTRANK(Table1[Parking Spots Regular], F65) &lt; 1/5, "1", IF(PERCENTRANK(Table1[Parking Spots Regular], F65) &lt; 2/5, "2", IF(PERCENTRANK(Table1[Parking Spots Regular], F65) &lt; 3/5, "3", IF(PERCENTRANK(Table1[Parking Spots Regular], F65) &lt; 4/5, "4", "5"))))</f>
        <v>5</v>
      </c>
      <c r="H65" s="67">
        <v>15</v>
      </c>
      <c r="I65" s="67" t="str">
        <f>IF(PERCENTRANK(Table1[Parking Spots ADA], H65) &lt; 1/5, "1", IF(PERCENTRANK(Table1[Parking Spots ADA], H65) &lt; 2/5, "2", IF(PERCENTRANK(Table1[Parking Spots ADA], H65) &lt; 3/5, "3", IF(PERCENTRANK(Table1[Parking Spots ADA], H65) &lt; 4/5, "4", "5"))))</f>
        <v>5</v>
      </c>
      <c r="J65" s="67">
        <v>0</v>
      </c>
      <c r="K65" s="67">
        <v>0</v>
      </c>
      <c r="L65" s="67">
        <f t="shared" si="3"/>
        <v>0</v>
      </c>
      <c r="M65" s="67" t="str">
        <f>IF(PERCENTRANK(Table1[EVC Stations + Occupied], L65) &lt; 1/5, "1", IF(PERCENTRANK(Table1[EVC Stations + Occupied], L65) &lt; 2/5, "2", IF(PERCENTRANK(Table1[EVC Stations + Occupied], L65) &lt; 3/5, "3", IF(PERCENTRANK(Table1[EVC Stations + Occupied], L65) &lt; 4/5, "4", "5"))))</f>
        <v>1</v>
      </c>
      <c r="N65" s="67">
        <v>250.66666666666666</v>
      </c>
      <c r="O65" s="73">
        <f t="shared" si="2"/>
        <v>0.3675464320625611</v>
      </c>
      <c r="P65" s="73">
        <f t="shared" si="5"/>
        <v>0.1324535679374389</v>
      </c>
      <c r="Q65" s="73" t="str">
        <f>IF(PERCENTRANK(Table1[Utilization Rate from 50%], P65) &lt; 1/5, "5", IF(PERCENTRANK(Table1[Utilization Rate from 50%], P65) &lt; 2/5, "4", IF(PERCENTRANK(Table1[Utilization Rate from 50%], P65) &lt; 3/5, "3", IF(PERCENTRANK(Table1[Utilization Rate from 50%], P65) &lt; 4/5, "2", "1"))))</f>
        <v>5</v>
      </c>
      <c r="R65" s="67">
        <v>0</v>
      </c>
      <c r="S65" s="88">
        <v>1</v>
      </c>
      <c r="T65" s="21">
        <f>Table1[[#This Row],[Lighting]]+Table1[[#This Row],[Parking Fee]]+Table1[[#This Row],[Utilization from 50% score]]+Table1[[#This Row],[EVC Score]]+Table1[[#This Row],[ADA Spots Score]]+Table1[[#This Row],[Parking Spots Score]]</f>
        <v>17</v>
      </c>
      <c r="U65" s="93" t="str">
        <f>IF(PERCENTRANK(Table1[Parking Score], T65) &lt; 1/5, "1", IF(PERCENTRANK(Table1[Parking Score], T65) &lt; 2/5, "2", IF(PERCENTRANK(Table1[Parking Score], T65) &lt; 3/5, "3", IF(PERCENTRANK(Table1[Parking Score], T65) &lt; 4/5, "4", "5"))))</f>
        <v>5</v>
      </c>
      <c r="V65" s="21" t="str">
        <f>IF(PERCENTRANK(Table1[Parking Score], T65) &lt; 1/5, "LOW", IF(PERCENTRANK(Table1[Parking Score], T65) &lt; 2/5, "MEDIUM-LOW", IF(PERCENTRANK(Table1[Parking Score], T65) &lt; 3/5, "MEDIUM", IF(PERCENTRANK(Table1[Parking Score], T65) &lt; 4/5, "MEDIUM-HIGH", "HIGH"))))</f>
        <v>HIGH</v>
      </c>
    </row>
    <row r="66" spans="1:22" x14ac:dyDescent="0.25">
      <c r="A66" s="14" t="s">
        <v>186</v>
      </c>
      <c r="B66" s="83">
        <v>70</v>
      </c>
      <c r="C66" s="83"/>
      <c r="D66" s="83"/>
      <c r="E66" s="83"/>
      <c r="F66" s="67">
        <v>0</v>
      </c>
      <c r="G66" s="67" t="str">
        <f>IF(PERCENTRANK(Table1[Parking Spots Regular], F66) &lt; 1/5, "1", IF(PERCENTRANK(Table1[Parking Spots Regular], F66) &lt; 2/5, "2", IF(PERCENTRANK(Table1[Parking Spots Regular], F66) &lt; 3/5, "3", IF(PERCENTRANK(Table1[Parking Spots Regular], F66) &lt; 4/5, "4", "5"))))</f>
        <v>1</v>
      </c>
      <c r="H66" s="67">
        <v>0</v>
      </c>
      <c r="I66" s="67" t="str">
        <f>IF(PERCENTRANK(Table1[Parking Spots ADA], H66) &lt; 1/5, "1", IF(PERCENTRANK(Table1[Parking Spots ADA], H66) &lt; 2/5, "2", IF(PERCENTRANK(Table1[Parking Spots ADA], H66) &lt; 3/5, "3", IF(PERCENTRANK(Table1[Parking Spots ADA], H66) &lt; 4/5, "4", "5"))))</f>
        <v>1</v>
      </c>
      <c r="J66" s="67">
        <v>0</v>
      </c>
      <c r="K66" s="67">
        <v>0</v>
      </c>
      <c r="L66" s="67">
        <f t="shared" ref="L66:L97" si="6">J66+K66</f>
        <v>0</v>
      </c>
      <c r="M66" s="67" t="str">
        <f>IF(PERCENTRANK(Table1[EVC Stations + Occupied], L66) &lt; 1/5, "1", IF(PERCENTRANK(Table1[EVC Stations + Occupied], L66) &lt; 2/5, "2", IF(PERCENTRANK(Table1[EVC Stations + Occupied], L66) &lt; 3/5, "3", IF(PERCENTRANK(Table1[EVC Stations + Occupied], L66) &lt; 4/5, "4", "5"))))</f>
        <v>1</v>
      </c>
      <c r="N66" s="67"/>
      <c r="O66" s="73"/>
      <c r="P66" s="73"/>
      <c r="Q66" s="73"/>
      <c r="R66" s="67">
        <v>1</v>
      </c>
      <c r="S66" s="88">
        <v>1</v>
      </c>
      <c r="T66" s="21">
        <f>Table1[[#This Row],[Lighting]]+Table1[[#This Row],[Parking Fee]]+Table1[[#This Row],[Utilization from 50% score]]+Table1[[#This Row],[EVC Score]]+Table1[[#This Row],[ADA Spots Score]]+Table1[[#This Row],[Parking Spots Score]]</f>
        <v>5</v>
      </c>
      <c r="U66" s="93" t="str">
        <f>IF(PERCENTRANK(Table1[Parking Score], T66) &lt; 1/5, "1", IF(PERCENTRANK(Table1[Parking Score], T66) &lt; 2/5, "2", IF(PERCENTRANK(Table1[Parking Score], T66) &lt; 3/5, "3", IF(PERCENTRANK(Table1[Parking Score], T66) &lt; 4/5, "4", "5"))))</f>
        <v>2</v>
      </c>
      <c r="V66" s="21" t="str">
        <f>IF(PERCENTRANK(Table1[Parking Score], T66) &lt; 1/5, "LOW", IF(PERCENTRANK(Table1[Parking Score], T66) &lt; 2/5, "MEDIUM-LOW", IF(PERCENTRANK(Table1[Parking Score], T66) &lt; 3/5, "MEDIUM", IF(PERCENTRANK(Table1[Parking Score], T66) &lt; 4/5, "MEDIUM-HIGH", "HIGH"))))</f>
        <v>MEDIUM-LOW</v>
      </c>
    </row>
    <row r="67" spans="1:22" x14ac:dyDescent="0.25">
      <c r="A67" s="14" t="s">
        <v>188</v>
      </c>
      <c r="B67" s="83">
        <v>71</v>
      </c>
      <c r="C67" s="83"/>
      <c r="D67" s="83"/>
      <c r="E67" s="83"/>
      <c r="F67" s="67">
        <v>0</v>
      </c>
      <c r="G67" s="67" t="str">
        <f>IF(PERCENTRANK(Table1[Parking Spots Regular], F67) &lt; 1/5, "1", IF(PERCENTRANK(Table1[Parking Spots Regular], F67) &lt; 2/5, "2", IF(PERCENTRANK(Table1[Parking Spots Regular], F67) &lt; 3/5, "3", IF(PERCENTRANK(Table1[Parking Spots Regular], F67) &lt; 4/5, "4", "5"))))</f>
        <v>1</v>
      </c>
      <c r="H67" s="67">
        <v>0</v>
      </c>
      <c r="I67" s="67" t="str">
        <f>IF(PERCENTRANK(Table1[Parking Spots ADA], H67) &lt; 1/5, "1", IF(PERCENTRANK(Table1[Parking Spots ADA], H67) &lt; 2/5, "2", IF(PERCENTRANK(Table1[Parking Spots ADA], H67) &lt; 3/5, "3", IF(PERCENTRANK(Table1[Parking Spots ADA], H67) &lt; 4/5, "4", "5"))))</f>
        <v>1</v>
      </c>
      <c r="J67" s="67">
        <v>0</v>
      </c>
      <c r="K67" s="67">
        <v>0</v>
      </c>
      <c r="L67" s="67">
        <f t="shared" si="6"/>
        <v>0</v>
      </c>
      <c r="M67" s="67" t="str">
        <f>IF(PERCENTRANK(Table1[EVC Stations + Occupied], L67) &lt; 1/5, "1", IF(PERCENTRANK(Table1[EVC Stations + Occupied], L67) &lt; 2/5, "2", IF(PERCENTRANK(Table1[EVC Stations + Occupied], L67) &lt; 3/5, "3", IF(PERCENTRANK(Table1[EVC Stations + Occupied], L67) &lt; 4/5, "4", "5"))))</f>
        <v>1</v>
      </c>
      <c r="N67" s="67"/>
      <c r="O67" s="73"/>
      <c r="P67" s="73"/>
      <c r="Q67" s="73"/>
      <c r="R67" s="67">
        <v>1</v>
      </c>
      <c r="S67" s="88">
        <v>1</v>
      </c>
      <c r="T67" s="21">
        <f>Table1[[#This Row],[Lighting]]+Table1[[#This Row],[Parking Fee]]+Table1[[#This Row],[Utilization from 50% score]]+Table1[[#This Row],[EVC Score]]+Table1[[#This Row],[ADA Spots Score]]+Table1[[#This Row],[Parking Spots Score]]</f>
        <v>5</v>
      </c>
      <c r="U67" s="93" t="str">
        <f>IF(PERCENTRANK(Table1[Parking Score], T67) &lt; 1/5, "1", IF(PERCENTRANK(Table1[Parking Score], T67) &lt; 2/5, "2", IF(PERCENTRANK(Table1[Parking Score], T67) &lt; 3/5, "3", IF(PERCENTRANK(Table1[Parking Score], T67) &lt; 4/5, "4", "5"))))</f>
        <v>2</v>
      </c>
      <c r="V67" s="21" t="str">
        <f>IF(PERCENTRANK(Table1[Parking Score], T67) &lt; 1/5, "LOW", IF(PERCENTRANK(Table1[Parking Score], T67) &lt; 2/5, "MEDIUM-LOW", IF(PERCENTRANK(Table1[Parking Score], T67) &lt; 3/5, "MEDIUM", IF(PERCENTRANK(Table1[Parking Score], T67) &lt; 4/5, "MEDIUM-HIGH", "HIGH"))))</f>
        <v>MEDIUM-LOW</v>
      </c>
    </row>
    <row r="68" spans="1:22" x14ac:dyDescent="0.25">
      <c r="A68" s="14" t="s">
        <v>192</v>
      </c>
      <c r="B68" s="83">
        <v>72</v>
      </c>
      <c r="C68" s="83"/>
      <c r="D68" s="83"/>
      <c r="E68" s="83"/>
      <c r="F68" s="67">
        <v>108</v>
      </c>
      <c r="G68" s="67" t="str">
        <f>IF(PERCENTRANK(Table1[Parking Spots Regular], F68) &lt; 1/5, "1", IF(PERCENTRANK(Table1[Parking Spots Regular], F68) &lt; 2/5, "2", IF(PERCENTRANK(Table1[Parking Spots Regular], F68) &lt; 3/5, "3", IF(PERCENTRANK(Table1[Parking Spots Regular], F68) &lt; 4/5, "4", "5"))))</f>
        <v>3</v>
      </c>
      <c r="H68" s="67">
        <v>4</v>
      </c>
      <c r="I68" s="67" t="str">
        <f>IF(PERCENTRANK(Table1[Parking Spots ADA], H68) &lt; 1/5, "1", IF(PERCENTRANK(Table1[Parking Spots ADA], H68) &lt; 2/5, "2", IF(PERCENTRANK(Table1[Parking Spots ADA], H68) &lt; 3/5, "3", IF(PERCENTRANK(Table1[Parking Spots ADA], H68) &lt; 4/5, "4", "5"))))</f>
        <v>3</v>
      </c>
      <c r="J68" s="67">
        <v>0</v>
      </c>
      <c r="K68" s="67">
        <v>0</v>
      </c>
      <c r="L68" s="67">
        <f t="shared" si="6"/>
        <v>0</v>
      </c>
      <c r="M68" s="67" t="str">
        <f>IF(PERCENTRANK(Table1[EVC Stations + Occupied], L68) &lt; 1/5, "1", IF(PERCENTRANK(Table1[EVC Stations + Occupied], L68) &lt; 2/5, "2", IF(PERCENTRANK(Table1[EVC Stations + Occupied], L68) &lt; 3/5, "3", IF(PERCENTRANK(Table1[EVC Stations + Occupied], L68) &lt; 4/5, "4", "5"))))</f>
        <v>1</v>
      </c>
      <c r="N68" s="67">
        <v>136</v>
      </c>
      <c r="O68" s="73">
        <f t="shared" si="2"/>
        <v>1.2142857142857142</v>
      </c>
      <c r="P68" s="73">
        <f t="shared" ref="P68:P78" si="7">ABS(O68-$X$8)</f>
        <v>0.71428571428571419</v>
      </c>
      <c r="Q68" s="73" t="str">
        <f>IF(PERCENTRANK(Table1[Utilization Rate from 50%], P68) &lt; 1/5, "5", IF(PERCENTRANK(Table1[Utilization Rate from 50%], P68) &lt; 2/5, "4", IF(PERCENTRANK(Table1[Utilization Rate from 50%], P68) &lt; 3/5, "3", IF(PERCENTRANK(Table1[Utilization Rate from 50%], P68) &lt; 4/5, "2", "1"))))</f>
        <v>1</v>
      </c>
      <c r="R68" s="67">
        <v>0</v>
      </c>
      <c r="S68" s="88">
        <v>1</v>
      </c>
      <c r="T68" s="21">
        <f>Table1[[#This Row],[Lighting]]+Table1[[#This Row],[Parking Fee]]+Table1[[#This Row],[Utilization from 50% score]]+Table1[[#This Row],[EVC Score]]+Table1[[#This Row],[ADA Spots Score]]+Table1[[#This Row],[Parking Spots Score]]</f>
        <v>9</v>
      </c>
      <c r="U68" s="93" t="str">
        <f>IF(PERCENTRANK(Table1[Parking Score], T68) &lt; 1/5, "1", IF(PERCENTRANK(Table1[Parking Score], T68) &lt; 2/5, "2", IF(PERCENTRANK(Table1[Parking Score], T68) &lt; 3/5, "3", IF(PERCENTRANK(Table1[Parking Score], T68) &lt; 4/5, "4", "5"))))</f>
        <v>3</v>
      </c>
      <c r="V68" s="21" t="str">
        <f>IF(PERCENTRANK(Table1[Parking Score], T68) &lt; 1/5, "LOW", IF(PERCENTRANK(Table1[Parking Score], T68) &lt; 2/5, "MEDIUM-LOW", IF(PERCENTRANK(Table1[Parking Score], T68) &lt; 3/5, "MEDIUM", IF(PERCENTRANK(Table1[Parking Score], T68) &lt; 4/5, "MEDIUM-HIGH", "HIGH"))))</f>
        <v>MEDIUM</v>
      </c>
    </row>
    <row r="69" spans="1:22" x14ac:dyDescent="0.25">
      <c r="A69" s="82" t="s">
        <v>198</v>
      </c>
      <c r="B69" s="83">
        <v>75</v>
      </c>
      <c r="C69" s="83"/>
      <c r="D69" s="83"/>
      <c r="E69" s="83"/>
      <c r="F69" s="67">
        <v>84</v>
      </c>
      <c r="G69" s="67" t="str">
        <f>IF(PERCENTRANK(Table1[Parking Spots Regular], F69) &lt; 1/5, "1", IF(PERCENTRANK(Table1[Parking Spots Regular], F69) &lt; 2/5, "2", IF(PERCENTRANK(Table1[Parking Spots Regular], F69) &lt; 3/5, "3", IF(PERCENTRANK(Table1[Parking Spots Regular], F69) &lt; 4/5, "4", "5"))))</f>
        <v>3</v>
      </c>
      <c r="H69" s="67">
        <v>4</v>
      </c>
      <c r="I69" s="67" t="str">
        <f>IF(PERCENTRANK(Table1[Parking Spots ADA], H69) &lt; 1/5, "1", IF(PERCENTRANK(Table1[Parking Spots ADA], H69) &lt; 2/5, "2", IF(PERCENTRANK(Table1[Parking Spots ADA], H69) &lt; 3/5, "3", IF(PERCENTRANK(Table1[Parking Spots ADA], H69) &lt; 4/5, "4", "5"))))</f>
        <v>3</v>
      </c>
      <c r="J69" s="67">
        <v>0</v>
      </c>
      <c r="K69" s="67">
        <v>0</v>
      </c>
      <c r="L69" s="67">
        <f t="shared" si="6"/>
        <v>0</v>
      </c>
      <c r="M69" s="67" t="str">
        <f>IF(PERCENTRANK(Table1[EVC Stations + Occupied], L69) &lt; 1/5, "1", IF(PERCENTRANK(Table1[EVC Stations + Occupied], L69) &lt; 2/5, "2", IF(PERCENTRANK(Table1[EVC Stations + Occupied], L69) &lt; 3/5, "3", IF(PERCENTRANK(Table1[EVC Stations + Occupied], L69) &lt; 4/5, "4", "5"))))</f>
        <v>1</v>
      </c>
      <c r="N69" s="67">
        <v>90.333333333333329</v>
      </c>
      <c r="O69" s="73">
        <f t="shared" ref="O69:O83" si="8">N69/(F69+H69)</f>
        <v>1.0265151515151514</v>
      </c>
      <c r="P69" s="73">
        <f t="shared" si="7"/>
        <v>0.52651515151515138</v>
      </c>
      <c r="Q69" s="73" t="str">
        <f>IF(PERCENTRANK(Table1[Utilization Rate from 50%], P69) &lt; 1/5, "5", IF(PERCENTRANK(Table1[Utilization Rate from 50%], P69) &lt; 2/5, "4", IF(PERCENTRANK(Table1[Utilization Rate from 50%], P69) &lt; 3/5, "3", IF(PERCENTRANK(Table1[Utilization Rate from 50%], P69) &lt; 4/5, "2", "1"))))</f>
        <v>1</v>
      </c>
      <c r="R69" s="67">
        <v>0</v>
      </c>
      <c r="S69" s="88">
        <v>1</v>
      </c>
      <c r="T69" s="21">
        <f>Table1[[#This Row],[Lighting]]+Table1[[#This Row],[Parking Fee]]+Table1[[#This Row],[Utilization from 50% score]]+Table1[[#This Row],[EVC Score]]+Table1[[#This Row],[ADA Spots Score]]+Table1[[#This Row],[Parking Spots Score]]</f>
        <v>9</v>
      </c>
      <c r="U69" s="93" t="str">
        <f>IF(PERCENTRANK(Table1[Parking Score], T69) &lt; 1/5, "1", IF(PERCENTRANK(Table1[Parking Score], T69) &lt; 2/5, "2", IF(PERCENTRANK(Table1[Parking Score], T69) &lt; 3/5, "3", IF(PERCENTRANK(Table1[Parking Score], T69) &lt; 4/5, "4", "5"))))</f>
        <v>3</v>
      </c>
      <c r="V69" s="21" t="str">
        <f>IF(PERCENTRANK(Table1[Parking Score], T69) &lt; 1/5, "LOW", IF(PERCENTRANK(Table1[Parking Score], T69) &lt; 2/5, "MEDIUM-LOW", IF(PERCENTRANK(Table1[Parking Score], T69) &lt; 3/5, "MEDIUM", IF(PERCENTRANK(Table1[Parking Score], T69) &lt; 4/5, "MEDIUM-HIGH", "HIGH"))))</f>
        <v>MEDIUM</v>
      </c>
    </row>
    <row r="70" spans="1:22" x14ac:dyDescent="0.25">
      <c r="A70" s="82" t="s">
        <v>200</v>
      </c>
      <c r="B70" s="83">
        <v>76</v>
      </c>
      <c r="C70" s="83"/>
      <c r="D70" s="83"/>
      <c r="E70" s="83"/>
      <c r="F70" s="67">
        <v>626</v>
      </c>
      <c r="G70" s="67" t="str">
        <f>IF(PERCENTRANK(Table1[Parking Spots Regular], F70) &lt; 1/5, "1", IF(PERCENTRANK(Table1[Parking Spots Regular], F70) &lt; 2/5, "2", IF(PERCENTRANK(Table1[Parking Spots Regular], F70) &lt; 3/5, "3", IF(PERCENTRANK(Table1[Parking Spots Regular], F70) &lt; 4/5, "4", "5"))))</f>
        <v>5</v>
      </c>
      <c r="H70" s="67">
        <v>20</v>
      </c>
      <c r="I70" s="67" t="str">
        <f>IF(PERCENTRANK(Table1[Parking Spots ADA], H70) &lt; 1/5, "1", IF(PERCENTRANK(Table1[Parking Spots ADA], H70) &lt; 2/5, "2", IF(PERCENTRANK(Table1[Parking Spots ADA], H70) &lt; 3/5, "3", IF(PERCENTRANK(Table1[Parking Spots ADA], H70) &lt; 4/5, "4", "5"))))</f>
        <v>5</v>
      </c>
      <c r="J70" s="67">
        <v>0</v>
      </c>
      <c r="K70" s="67">
        <v>0</v>
      </c>
      <c r="L70" s="67">
        <f t="shared" si="6"/>
        <v>0</v>
      </c>
      <c r="M70" s="67" t="str">
        <f>IF(PERCENTRANK(Table1[EVC Stations + Occupied], L70) &lt; 1/5, "1", IF(PERCENTRANK(Table1[EVC Stations + Occupied], L70) &lt; 2/5, "2", IF(PERCENTRANK(Table1[EVC Stations + Occupied], L70) &lt; 3/5, "3", IF(PERCENTRANK(Table1[EVC Stations + Occupied], L70) &lt; 4/5, "4", "5"))))</f>
        <v>1</v>
      </c>
      <c r="N70" s="67">
        <v>445</v>
      </c>
      <c r="O70" s="73">
        <f t="shared" si="8"/>
        <v>0.68885448916408665</v>
      </c>
      <c r="P70" s="73">
        <f t="shared" si="7"/>
        <v>0.18885448916408665</v>
      </c>
      <c r="Q70" s="73" t="str">
        <f>IF(PERCENTRANK(Table1[Utilization Rate from 50%], P70) &lt; 1/5, "5", IF(PERCENTRANK(Table1[Utilization Rate from 50%], P70) &lt; 2/5, "4", IF(PERCENTRANK(Table1[Utilization Rate from 50%], P70) &lt; 3/5, "3", IF(PERCENTRANK(Table1[Utilization Rate from 50%], P70) &lt; 4/5, "2", "1"))))</f>
        <v>4</v>
      </c>
      <c r="R70" s="67">
        <v>0</v>
      </c>
      <c r="S70" s="88">
        <v>1</v>
      </c>
      <c r="T70" s="21">
        <f>Table1[[#This Row],[Lighting]]+Table1[[#This Row],[Parking Fee]]+Table1[[#This Row],[Utilization from 50% score]]+Table1[[#This Row],[EVC Score]]+Table1[[#This Row],[ADA Spots Score]]+Table1[[#This Row],[Parking Spots Score]]</f>
        <v>16</v>
      </c>
      <c r="U70" s="93" t="str">
        <f>IF(PERCENTRANK(Table1[Parking Score], T70) &lt; 1/5, "1", IF(PERCENTRANK(Table1[Parking Score], T70) &lt; 2/5, "2", IF(PERCENTRANK(Table1[Parking Score], T70) &lt; 3/5, "3", IF(PERCENTRANK(Table1[Parking Score], T70) &lt; 4/5, "4", "5"))))</f>
        <v>5</v>
      </c>
      <c r="V70" s="21" t="str">
        <f>IF(PERCENTRANK(Table1[Parking Score], T70) &lt; 1/5, "LOW", IF(PERCENTRANK(Table1[Parking Score], T70) &lt; 2/5, "MEDIUM-LOW", IF(PERCENTRANK(Table1[Parking Score], T70) &lt; 3/5, "MEDIUM", IF(PERCENTRANK(Table1[Parking Score], T70) &lt; 4/5, "MEDIUM-HIGH", "HIGH"))))</f>
        <v>HIGH</v>
      </c>
    </row>
    <row r="71" spans="1:22" x14ac:dyDescent="0.25">
      <c r="A71" s="82" t="s">
        <v>204</v>
      </c>
      <c r="B71" s="83">
        <v>77</v>
      </c>
      <c r="C71" s="83"/>
      <c r="D71" s="83"/>
      <c r="E71" s="83"/>
      <c r="F71" s="67">
        <v>499</v>
      </c>
      <c r="G71" s="67" t="str">
        <f>IF(PERCENTRANK(Table1[Parking Spots Regular], F71) &lt; 1/5, "1", IF(PERCENTRANK(Table1[Parking Spots Regular], F71) &lt; 2/5, "2", IF(PERCENTRANK(Table1[Parking Spots Regular], F71) &lt; 3/5, "3", IF(PERCENTRANK(Table1[Parking Spots Regular], F71) &lt; 4/5, "4", "5"))))</f>
        <v>5</v>
      </c>
      <c r="H71" s="67">
        <v>15</v>
      </c>
      <c r="I71" s="67" t="str">
        <f>IF(PERCENTRANK(Table1[Parking Spots ADA], H71) &lt; 1/5, "1", IF(PERCENTRANK(Table1[Parking Spots ADA], H71) &lt; 2/5, "2", IF(PERCENTRANK(Table1[Parking Spots ADA], H71) &lt; 3/5, "3", IF(PERCENTRANK(Table1[Parking Spots ADA], H71) &lt; 4/5, "4", "5"))))</f>
        <v>5</v>
      </c>
      <c r="J71" s="67">
        <v>0</v>
      </c>
      <c r="K71" s="67">
        <v>0</v>
      </c>
      <c r="L71" s="67">
        <f t="shared" si="6"/>
        <v>0</v>
      </c>
      <c r="M71" s="67" t="str">
        <f>IF(PERCENTRANK(Table1[EVC Stations + Occupied], L71) &lt; 1/5, "1", IF(PERCENTRANK(Table1[EVC Stations + Occupied], L71) &lt; 2/5, "2", IF(PERCENTRANK(Table1[EVC Stations + Occupied], L71) &lt; 3/5, "3", IF(PERCENTRANK(Table1[EVC Stations + Occupied], L71) &lt; 4/5, "4", "5"))))</f>
        <v>1</v>
      </c>
      <c r="N71" s="67">
        <v>341</v>
      </c>
      <c r="O71" s="73">
        <f t="shared" si="8"/>
        <v>0.66342412451361865</v>
      </c>
      <c r="P71" s="73">
        <f t="shared" si="7"/>
        <v>0.16342412451361865</v>
      </c>
      <c r="Q71" s="73" t="str">
        <f>IF(PERCENTRANK(Table1[Utilization Rate from 50%], P71) &lt; 1/5, "5", IF(PERCENTRANK(Table1[Utilization Rate from 50%], P71) &lt; 2/5, "4", IF(PERCENTRANK(Table1[Utilization Rate from 50%], P71) &lt; 3/5, "3", IF(PERCENTRANK(Table1[Utilization Rate from 50%], P71) &lt; 4/5, "2", "1"))))</f>
        <v>4</v>
      </c>
      <c r="R71" s="67">
        <v>0</v>
      </c>
      <c r="S71" s="88">
        <v>1</v>
      </c>
      <c r="T71" s="21">
        <f>Table1[[#This Row],[Lighting]]+Table1[[#This Row],[Parking Fee]]+Table1[[#This Row],[Utilization from 50% score]]+Table1[[#This Row],[EVC Score]]+Table1[[#This Row],[ADA Spots Score]]+Table1[[#This Row],[Parking Spots Score]]</f>
        <v>16</v>
      </c>
      <c r="U71" s="93" t="str">
        <f>IF(PERCENTRANK(Table1[Parking Score], T71) &lt; 1/5, "1", IF(PERCENTRANK(Table1[Parking Score], T71) &lt; 2/5, "2", IF(PERCENTRANK(Table1[Parking Score], T71) &lt; 3/5, "3", IF(PERCENTRANK(Table1[Parking Score], T71) &lt; 4/5, "4", "5"))))</f>
        <v>5</v>
      </c>
      <c r="V71" s="21" t="str">
        <f>IF(PERCENTRANK(Table1[Parking Score], T71) &lt; 1/5, "LOW", IF(PERCENTRANK(Table1[Parking Score], T71) &lt; 2/5, "MEDIUM-LOW", IF(PERCENTRANK(Table1[Parking Score], T71) &lt; 3/5, "MEDIUM", IF(PERCENTRANK(Table1[Parking Score], T71) &lt; 4/5, "MEDIUM-HIGH", "HIGH"))))</f>
        <v>HIGH</v>
      </c>
    </row>
    <row r="72" spans="1:22" x14ac:dyDescent="0.25">
      <c r="A72" s="82" t="s">
        <v>208</v>
      </c>
      <c r="B72" s="83">
        <v>78</v>
      </c>
      <c r="C72" s="83"/>
      <c r="D72" s="83"/>
      <c r="E72" s="83"/>
      <c r="F72" s="67">
        <v>89</v>
      </c>
      <c r="G72" s="67" t="str">
        <f>IF(PERCENTRANK(Table1[Parking Spots Regular], F72) &lt; 1/5, "1", IF(PERCENTRANK(Table1[Parking Spots Regular], F72) &lt; 2/5, "2", IF(PERCENTRANK(Table1[Parking Spots Regular], F72) &lt; 3/5, "3", IF(PERCENTRANK(Table1[Parking Spots Regular], F72) &lt; 4/5, "4", "5"))))</f>
        <v>3</v>
      </c>
      <c r="H72" s="67">
        <v>4</v>
      </c>
      <c r="I72" s="67" t="str">
        <f>IF(PERCENTRANK(Table1[Parking Spots ADA], H72) &lt; 1/5, "1", IF(PERCENTRANK(Table1[Parking Spots ADA], H72) &lt; 2/5, "2", IF(PERCENTRANK(Table1[Parking Spots ADA], H72) &lt; 3/5, "3", IF(PERCENTRANK(Table1[Parking Spots ADA], H72) &lt; 4/5, "4", "5"))))</f>
        <v>3</v>
      </c>
      <c r="J72" s="67">
        <v>0</v>
      </c>
      <c r="K72" s="67">
        <v>0</v>
      </c>
      <c r="L72" s="67">
        <f t="shared" si="6"/>
        <v>0</v>
      </c>
      <c r="M72" s="67" t="str">
        <f>IF(PERCENTRANK(Table1[EVC Stations + Occupied], L72) &lt; 1/5, "1", IF(PERCENTRANK(Table1[EVC Stations + Occupied], L72) &lt; 2/5, "2", IF(PERCENTRANK(Table1[EVC Stations + Occupied], L72) &lt; 3/5, "3", IF(PERCENTRANK(Table1[EVC Stations + Occupied], L72) &lt; 4/5, "4", "5"))))</f>
        <v>1</v>
      </c>
      <c r="N72" s="67">
        <v>8.6666666666666661</v>
      </c>
      <c r="O72" s="73">
        <f t="shared" si="8"/>
        <v>9.3189964157706084E-2</v>
      </c>
      <c r="P72" s="73">
        <f t="shared" si="7"/>
        <v>0.40681003584229392</v>
      </c>
      <c r="Q72" s="73" t="str">
        <f>IF(PERCENTRANK(Table1[Utilization Rate from 50%], P72) &lt; 1/5, "5", IF(PERCENTRANK(Table1[Utilization Rate from 50%], P72) &lt; 2/5, "4", IF(PERCENTRANK(Table1[Utilization Rate from 50%], P72) &lt; 3/5, "3", IF(PERCENTRANK(Table1[Utilization Rate from 50%], P72) &lt; 4/5, "2", "1"))))</f>
        <v>2</v>
      </c>
      <c r="R72" s="67">
        <v>1</v>
      </c>
      <c r="S72" s="88">
        <v>1</v>
      </c>
      <c r="T72" s="21">
        <f>Table1[[#This Row],[Lighting]]+Table1[[#This Row],[Parking Fee]]+Table1[[#This Row],[Utilization from 50% score]]+Table1[[#This Row],[EVC Score]]+Table1[[#This Row],[ADA Spots Score]]+Table1[[#This Row],[Parking Spots Score]]</f>
        <v>11</v>
      </c>
      <c r="U72" s="93" t="str">
        <f>IF(PERCENTRANK(Table1[Parking Score], T72) &lt; 1/5, "1", IF(PERCENTRANK(Table1[Parking Score], T72) &lt; 2/5, "2", IF(PERCENTRANK(Table1[Parking Score], T72) &lt; 3/5, "3", IF(PERCENTRANK(Table1[Parking Score], T72) &lt; 4/5, "4", "5"))))</f>
        <v>3</v>
      </c>
      <c r="V72" s="21" t="str">
        <f>IF(PERCENTRANK(Table1[Parking Score], T72) &lt; 1/5, "LOW", IF(PERCENTRANK(Table1[Parking Score], T72) &lt; 2/5, "MEDIUM-LOW", IF(PERCENTRANK(Table1[Parking Score], T72) &lt; 3/5, "MEDIUM", IF(PERCENTRANK(Table1[Parking Score], T72) &lt; 4/5, "MEDIUM-HIGH", "HIGH"))))</f>
        <v>MEDIUM</v>
      </c>
    </row>
    <row r="73" spans="1:22" x14ac:dyDescent="0.25">
      <c r="A73" s="82" t="s">
        <v>212</v>
      </c>
      <c r="B73" s="83">
        <v>79</v>
      </c>
      <c r="C73" s="83"/>
      <c r="D73" s="83"/>
      <c r="E73" s="83"/>
      <c r="F73" s="67">
        <v>791</v>
      </c>
      <c r="G73" s="67" t="str">
        <f>IF(PERCENTRANK(Table1[Parking Spots Regular], F73) &lt; 1/5, "1", IF(PERCENTRANK(Table1[Parking Spots Regular], F73) &lt; 2/5, "2", IF(PERCENTRANK(Table1[Parking Spots Regular], F73) &lt; 3/5, "3", IF(PERCENTRANK(Table1[Parking Spots Regular], F73) &lt; 4/5, "4", "5"))))</f>
        <v>5</v>
      </c>
      <c r="H73" s="67">
        <v>23</v>
      </c>
      <c r="I73" s="67" t="str">
        <f>IF(PERCENTRANK(Table1[Parking Spots ADA], H73) &lt; 1/5, "1", IF(PERCENTRANK(Table1[Parking Spots ADA], H73) &lt; 2/5, "2", IF(PERCENTRANK(Table1[Parking Spots ADA], H73) &lt; 3/5, "3", IF(PERCENTRANK(Table1[Parking Spots ADA], H73) &lt; 4/5, "4", "5"))))</f>
        <v>5</v>
      </c>
      <c r="J73" s="67">
        <v>0</v>
      </c>
      <c r="K73" s="67">
        <v>0</v>
      </c>
      <c r="L73" s="67">
        <f t="shared" si="6"/>
        <v>0</v>
      </c>
      <c r="M73" s="67" t="str">
        <f>IF(PERCENTRANK(Table1[EVC Stations + Occupied], L73) &lt; 1/5, "1", IF(PERCENTRANK(Table1[EVC Stations + Occupied], L73) &lt; 2/5, "2", IF(PERCENTRANK(Table1[EVC Stations + Occupied], L73) &lt; 3/5, "3", IF(PERCENTRANK(Table1[EVC Stations + Occupied], L73) &lt; 4/5, "4", "5"))))</f>
        <v>1</v>
      </c>
      <c r="N73" s="67">
        <v>596.66666666666663</v>
      </c>
      <c r="O73" s="73">
        <f t="shared" si="8"/>
        <v>0.73300573300573291</v>
      </c>
      <c r="P73" s="73">
        <f t="shared" si="7"/>
        <v>0.23300573300573291</v>
      </c>
      <c r="Q73" s="73" t="str">
        <f>IF(PERCENTRANK(Table1[Utilization Rate from 50%], P73) &lt; 1/5, "5", IF(PERCENTRANK(Table1[Utilization Rate from 50%], P73) &lt; 2/5, "4", IF(PERCENTRANK(Table1[Utilization Rate from 50%], P73) &lt; 3/5, "3", IF(PERCENTRANK(Table1[Utilization Rate from 50%], P73) &lt; 4/5, "2", "1"))))</f>
        <v>4</v>
      </c>
      <c r="R73" s="67">
        <v>0</v>
      </c>
      <c r="S73" s="88">
        <v>1</v>
      </c>
      <c r="T73" s="21">
        <f>Table1[[#This Row],[Lighting]]+Table1[[#This Row],[Parking Fee]]+Table1[[#This Row],[Utilization from 50% score]]+Table1[[#This Row],[EVC Score]]+Table1[[#This Row],[ADA Spots Score]]+Table1[[#This Row],[Parking Spots Score]]</f>
        <v>16</v>
      </c>
      <c r="U73" s="93" t="str">
        <f>IF(PERCENTRANK(Table1[Parking Score], T73) &lt; 1/5, "1", IF(PERCENTRANK(Table1[Parking Score], T73) &lt; 2/5, "2", IF(PERCENTRANK(Table1[Parking Score], T73) &lt; 3/5, "3", IF(PERCENTRANK(Table1[Parking Score], T73) &lt; 4/5, "4", "5"))))</f>
        <v>5</v>
      </c>
      <c r="V73" s="21" t="str">
        <f>IF(PERCENTRANK(Table1[Parking Score], T73) &lt; 1/5, "LOW", IF(PERCENTRANK(Table1[Parking Score], T73) &lt; 2/5, "MEDIUM-LOW", IF(PERCENTRANK(Table1[Parking Score], T73) &lt; 3/5, "MEDIUM", IF(PERCENTRANK(Table1[Parking Score], T73) &lt; 4/5, "MEDIUM-HIGH", "HIGH"))))</f>
        <v>HIGH</v>
      </c>
    </row>
    <row r="74" spans="1:22" x14ac:dyDescent="0.25">
      <c r="A74" s="82" t="s">
        <v>214</v>
      </c>
      <c r="B74" s="83">
        <v>80</v>
      </c>
      <c r="C74" s="83"/>
      <c r="D74" s="83"/>
      <c r="E74" s="83"/>
      <c r="F74" s="67">
        <v>16</v>
      </c>
      <c r="G74" s="67" t="str">
        <f>IF(PERCENTRANK(Table1[Parking Spots Regular], F74) &lt; 1/5, "1", IF(PERCENTRANK(Table1[Parking Spots Regular], F74) &lt; 2/5, "2", IF(PERCENTRANK(Table1[Parking Spots Regular], F74) &lt; 3/5, "3", IF(PERCENTRANK(Table1[Parking Spots Regular], F74) &lt; 4/5, "4", "5"))))</f>
        <v>3</v>
      </c>
      <c r="H74" s="67">
        <v>0</v>
      </c>
      <c r="I74" s="67" t="str">
        <f>IF(PERCENTRANK(Table1[Parking Spots ADA], H74) &lt; 1/5, "1", IF(PERCENTRANK(Table1[Parking Spots ADA], H74) &lt; 2/5, "2", IF(PERCENTRANK(Table1[Parking Spots ADA], H74) &lt; 3/5, "3", IF(PERCENTRANK(Table1[Parking Spots ADA], H74) &lt; 4/5, "4", "5"))))</f>
        <v>1</v>
      </c>
      <c r="J74" s="67">
        <v>0</v>
      </c>
      <c r="K74" s="67">
        <v>0</v>
      </c>
      <c r="L74" s="67">
        <f t="shared" si="6"/>
        <v>0</v>
      </c>
      <c r="M74" s="67" t="str">
        <f>IF(PERCENTRANK(Table1[EVC Stations + Occupied], L74) &lt; 1/5, "1", IF(PERCENTRANK(Table1[EVC Stations + Occupied], L74) &lt; 2/5, "2", IF(PERCENTRANK(Table1[EVC Stations + Occupied], L74) &lt; 3/5, "3", IF(PERCENTRANK(Table1[EVC Stations + Occupied], L74) &lt; 4/5, "4", "5"))))</f>
        <v>1</v>
      </c>
      <c r="N74" s="67">
        <v>17</v>
      </c>
      <c r="O74" s="73">
        <f t="shared" si="8"/>
        <v>1.0625</v>
      </c>
      <c r="P74" s="73">
        <f t="shared" si="7"/>
        <v>0.5625</v>
      </c>
      <c r="Q74" s="73" t="str">
        <f>IF(PERCENTRANK(Table1[Utilization Rate from 50%], P74) &lt; 1/5, "5", IF(PERCENTRANK(Table1[Utilization Rate from 50%], P74) &lt; 2/5, "4", IF(PERCENTRANK(Table1[Utilization Rate from 50%], P74) &lt; 3/5, "3", IF(PERCENTRANK(Table1[Utilization Rate from 50%], P74) &lt; 4/5, "2", "1"))))</f>
        <v>1</v>
      </c>
      <c r="R74" s="67">
        <v>0</v>
      </c>
      <c r="S74" s="88">
        <v>1</v>
      </c>
      <c r="T74" s="21">
        <f>Table1[[#This Row],[Lighting]]+Table1[[#This Row],[Parking Fee]]+Table1[[#This Row],[Utilization from 50% score]]+Table1[[#This Row],[EVC Score]]+Table1[[#This Row],[ADA Spots Score]]+Table1[[#This Row],[Parking Spots Score]]</f>
        <v>7</v>
      </c>
      <c r="U74" s="93" t="str">
        <f>IF(PERCENTRANK(Table1[Parking Score], T74) &lt; 1/5, "1", IF(PERCENTRANK(Table1[Parking Score], T74) &lt; 2/5, "2", IF(PERCENTRANK(Table1[Parking Score], T74) &lt; 3/5, "3", IF(PERCENTRANK(Table1[Parking Score], T74) &lt; 4/5, "4", "5"))))</f>
        <v>2</v>
      </c>
      <c r="V74" s="21" t="str">
        <f>IF(PERCENTRANK(Table1[Parking Score], T74) &lt; 1/5, "LOW", IF(PERCENTRANK(Table1[Parking Score], T74) &lt; 2/5, "MEDIUM-LOW", IF(PERCENTRANK(Table1[Parking Score], T74) &lt; 3/5, "MEDIUM", IF(PERCENTRANK(Table1[Parking Score], T74) &lt; 4/5, "MEDIUM-HIGH", "HIGH"))))</f>
        <v>MEDIUM-LOW</v>
      </c>
    </row>
    <row r="75" spans="1:22" x14ac:dyDescent="0.25">
      <c r="A75" s="82" t="s">
        <v>218</v>
      </c>
      <c r="B75" s="83">
        <v>81</v>
      </c>
      <c r="C75" s="83"/>
      <c r="D75" s="83"/>
      <c r="E75" s="83"/>
      <c r="F75" s="67">
        <v>73</v>
      </c>
      <c r="G75" s="67" t="str">
        <f>IF(PERCENTRANK(Table1[Parking Spots Regular], F75) &lt; 1/5, "1", IF(PERCENTRANK(Table1[Parking Spots Regular], F75) &lt; 2/5, "2", IF(PERCENTRANK(Table1[Parking Spots Regular], F75) &lt; 3/5, "3", IF(PERCENTRANK(Table1[Parking Spots Regular], F75) &lt; 4/5, "4", "5"))))</f>
        <v>3</v>
      </c>
      <c r="H75" s="67">
        <v>2</v>
      </c>
      <c r="I75" s="67" t="str">
        <f>IF(PERCENTRANK(Table1[Parking Spots ADA], H75) &lt; 1/5, "1", IF(PERCENTRANK(Table1[Parking Spots ADA], H75) &lt; 2/5, "2", IF(PERCENTRANK(Table1[Parking Spots ADA], H75) &lt; 3/5, "3", IF(PERCENTRANK(Table1[Parking Spots ADA], H75) &lt; 4/5, "4", "5"))))</f>
        <v>3</v>
      </c>
      <c r="J75" s="67">
        <v>0</v>
      </c>
      <c r="K75" s="67">
        <v>0</v>
      </c>
      <c r="L75" s="67">
        <f t="shared" si="6"/>
        <v>0</v>
      </c>
      <c r="M75" s="67" t="str">
        <f>IF(PERCENTRANK(Table1[EVC Stations + Occupied], L75) &lt; 1/5, "1", IF(PERCENTRANK(Table1[EVC Stations + Occupied], L75) &lt; 2/5, "2", IF(PERCENTRANK(Table1[EVC Stations + Occupied], L75) &lt; 3/5, "3", IF(PERCENTRANK(Table1[EVC Stations + Occupied], L75) &lt; 4/5, "4", "5"))))</f>
        <v>1</v>
      </c>
      <c r="N75" s="67">
        <v>69.333333333333329</v>
      </c>
      <c r="O75" s="73">
        <f t="shared" si="8"/>
        <v>0.9244444444444444</v>
      </c>
      <c r="P75" s="73">
        <f t="shared" si="7"/>
        <v>0.4244444444444444</v>
      </c>
      <c r="Q75" s="73" t="str">
        <f>IF(PERCENTRANK(Table1[Utilization Rate from 50%], P75) &lt; 1/5, "5", IF(PERCENTRANK(Table1[Utilization Rate from 50%], P75) &lt; 2/5, "4", IF(PERCENTRANK(Table1[Utilization Rate from 50%], P75) &lt; 3/5, "3", IF(PERCENTRANK(Table1[Utilization Rate from 50%], P75) &lt; 4/5, "2", "1"))))</f>
        <v>2</v>
      </c>
      <c r="R75" s="67">
        <v>0</v>
      </c>
      <c r="S75" s="88">
        <v>1</v>
      </c>
      <c r="T75" s="21">
        <f>Table1[[#This Row],[Lighting]]+Table1[[#This Row],[Parking Fee]]+Table1[[#This Row],[Utilization from 50% score]]+Table1[[#This Row],[EVC Score]]+Table1[[#This Row],[ADA Spots Score]]+Table1[[#This Row],[Parking Spots Score]]</f>
        <v>10</v>
      </c>
      <c r="U75" s="93" t="str">
        <f>IF(PERCENTRANK(Table1[Parking Score], T75) &lt; 1/5, "1", IF(PERCENTRANK(Table1[Parking Score], T75) &lt; 2/5, "2", IF(PERCENTRANK(Table1[Parking Score], T75) &lt; 3/5, "3", IF(PERCENTRANK(Table1[Parking Score], T75) &lt; 4/5, "4", "5"))))</f>
        <v>3</v>
      </c>
      <c r="V75" s="21" t="str">
        <f>IF(PERCENTRANK(Table1[Parking Score], T75) &lt; 1/5, "LOW", IF(PERCENTRANK(Table1[Parking Score], T75) &lt; 2/5, "MEDIUM-LOW", IF(PERCENTRANK(Table1[Parking Score], T75) &lt; 3/5, "MEDIUM", IF(PERCENTRANK(Table1[Parking Score], T75) &lt; 4/5, "MEDIUM-HIGH", "HIGH"))))</f>
        <v>MEDIUM</v>
      </c>
    </row>
    <row r="76" spans="1:22" x14ac:dyDescent="0.25">
      <c r="A76" s="82" t="s">
        <v>220</v>
      </c>
      <c r="B76" s="83">
        <v>82</v>
      </c>
      <c r="C76" s="83"/>
      <c r="D76" s="83"/>
      <c r="E76" s="83"/>
      <c r="F76" s="67">
        <v>16</v>
      </c>
      <c r="G76" s="67" t="str">
        <f>IF(PERCENTRANK(Table1[Parking Spots Regular], F76) &lt; 1/5, "1", IF(PERCENTRANK(Table1[Parking Spots Regular], F76) &lt; 2/5, "2", IF(PERCENTRANK(Table1[Parking Spots Regular], F76) &lt; 3/5, "3", IF(PERCENTRANK(Table1[Parking Spots Regular], F76) &lt; 4/5, "4", "5"))))</f>
        <v>3</v>
      </c>
      <c r="H76" s="67">
        <v>0</v>
      </c>
      <c r="I76" s="67" t="str">
        <f>IF(PERCENTRANK(Table1[Parking Spots ADA], H76) &lt; 1/5, "1", IF(PERCENTRANK(Table1[Parking Spots ADA], H76) &lt; 2/5, "2", IF(PERCENTRANK(Table1[Parking Spots ADA], H76) &lt; 3/5, "3", IF(PERCENTRANK(Table1[Parking Spots ADA], H76) &lt; 4/5, "4", "5"))))</f>
        <v>1</v>
      </c>
      <c r="J76" s="67">
        <v>0</v>
      </c>
      <c r="K76" s="67">
        <v>0</v>
      </c>
      <c r="L76" s="67">
        <f t="shared" si="6"/>
        <v>0</v>
      </c>
      <c r="M76" s="67" t="str">
        <f>IF(PERCENTRANK(Table1[EVC Stations + Occupied], L76) &lt; 1/5, "1", IF(PERCENTRANK(Table1[EVC Stations + Occupied], L76) &lt; 2/5, "2", IF(PERCENTRANK(Table1[EVC Stations + Occupied], L76) &lt; 3/5, "3", IF(PERCENTRANK(Table1[EVC Stations + Occupied], L76) &lt; 4/5, "4", "5"))))</f>
        <v>1</v>
      </c>
      <c r="N76" s="67">
        <v>11.666666666666666</v>
      </c>
      <c r="O76" s="73">
        <f t="shared" si="8"/>
        <v>0.72916666666666663</v>
      </c>
      <c r="P76" s="73">
        <f t="shared" si="7"/>
        <v>0.22916666666666663</v>
      </c>
      <c r="Q76" s="73" t="str">
        <f>IF(PERCENTRANK(Table1[Utilization Rate from 50%], P76) &lt; 1/5, "5", IF(PERCENTRANK(Table1[Utilization Rate from 50%], P76) &lt; 2/5, "4", IF(PERCENTRANK(Table1[Utilization Rate from 50%], P76) &lt; 3/5, "3", IF(PERCENTRANK(Table1[Utilization Rate from 50%], P76) &lt; 4/5, "2", "1"))))</f>
        <v>4</v>
      </c>
      <c r="R76" s="67">
        <v>0</v>
      </c>
      <c r="S76" s="88">
        <v>1</v>
      </c>
      <c r="T76" s="21">
        <f>Table1[[#This Row],[Lighting]]+Table1[[#This Row],[Parking Fee]]+Table1[[#This Row],[Utilization from 50% score]]+Table1[[#This Row],[EVC Score]]+Table1[[#This Row],[ADA Spots Score]]+Table1[[#This Row],[Parking Spots Score]]</f>
        <v>10</v>
      </c>
      <c r="U76" s="93" t="str">
        <f>IF(PERCENTRANK(Table1[Parking Score], T76) &lt; 1/5, "1", IF(PERCENTRANK(Table1[Parking Score], T76) &lt; 2/5, "2", IF(PERCENTRANK(Table1[Parking Score], T76) &lt; 3/5, "3", IF(PERCENTRANK(Table1[Parking Score], T76) &lt; 4/5, "4", "5"))))</f>
        <v>3</v>
      </c>
      <c r="V76" s="21" t="str">
        <f>IF(PERCENTRANK(Table1[Parking Score], T76) &lt; 1/5, "LOW", IF(PERCENTRANK(Table1[Parking Score], T76) &lt; 2/5, "MEDIUM-LOW", IF(PERCENTRANK(Table1[Parking Score], T76) &lt; 3/5, "MEDIUM", IF(PERCENTRANK(Table1[Parking Score], T76) &lt; 4/5, "MEDIUM-HIGH", "HIGH"))))</f>
        <v>MEDIUM</v>
      </c>
    </row>
    <row r="77" spans="1:22" x14ac:dyDescent="0.25">
      <c r="A77" s="82" t="s">
        <v>222</v>
      </c>
      <c r="B77" s="83">
        <v>83</v>
      </c>
      <c r="C77" s="83"/>
      <c r="D77" s="83"/>
      <c r="E77" s="83"/>
      <c r="F77" s="67">
        <v>672</v>
      </c>
      <c r="G77" s="67" t="str">
        <f>IF(PERCENTRANK(Table1[Parking Spots Regular], F77) &lt; 1/5, "1", IF(PERCENTRANK(Table1[Parking Spots Regular], F77) &lt; 2/5, "2", IF(PERCENTRANK(Table1[Parking Spots Regular], F77) &lt; 3/5, "3", IF(PERCENTRANK(Table1[Parking Spots Regular], F77) &lt; 4/5, "4", "5"))))</f>
        <v>5</v>
      </c>
      <c r="H77" s="67">
        <v>22</v>
      </c>
      <c r="I77" s="67" t="str">
        <f>IF(PERCENTRANK(Table1[Parking Spots ADA], H77) &lt; 1/5, "1", IF(PERCENTRANK(Table1[Parking Spots ADA], H77) &lt; 2/5, "2", IF(PERCENTRANK(Table1[Parking Spots ADA], H77) &lt; 3/5, "3", IF(PERCENTRANK(Table1[Parking Spots ADA], H77) &lt; 4/5, "4", "5"))))</f>
        <v>5</v>
      </c>
      <c r="J77" s="67">
        <v>0</v>
      </c>
      <c r="K77" s="67">
        <v>0</v>
      </c>
      <c r="L77" s="67">
        <f t="shared" si="6"/>
        <v>0</v>
      </c>
      <c r="M77" s="67" t="str">
        <f>IF(PERCENTRANK(Table1[EVC Stations + Occupied], L77) &lt; 1/5, "1", IF(PERCENTRANK(Table1[EVC Stations + Occupied], L77) &lt; 2/5, "2", IF(PERCENTRANK(Table1[EVC Stations + Occupied], L77) &lt; 3/5, "3", IF(PERCENTRANK(Table1[EVC Stations + Occupied], L77) &lt; 4/5, "4", "5"))))</f>
        <v>1</v>
      </c>
      <c r="N77" s="67">
        <v>683.33333333333337</v>
      </c>
      <c r="O77" s="73">
        <f t="shared" si="8"/>
        <v>0.98463016330451492</v>
      </c>
      <c r="P77" s="73">
        <f t="shared" si="7"/>
        <v>0.48463016330451492</v>
      </c>
      <c r="Q77" s="73" t="str">
        <f>IF(PERCENTRANK(Table1[Utilization Rate from 50%], P77) &lt; 1/5, "5", IF(PERCENTRANK(Table1[Utilization Rate from 50%], P77) &lt; 2/5, "4", IF(PERCENTRANK(Table1[Utilization Rate from 50%], P77) &lt; 3/5, "3", IF(PERCENTRANK(Table1[Utilization Rate from 50%], P77) &lt; 4/5, "2", "1"))))</f>
        <v>1</v>
      </c>
      <c r="R77" s="67">
        <v>0</v>
      </c>
      <c r="S77" s="88">
        <v>1</v>
      </c>
      <c r="T77" s="21">
        <f>Table1[[#This Row],[Lighting]]+Table1[[#This Row],[Parking Fee]]+Table1[[#This Row],[Utilization from 50% score]]+Table1[[#This Row],[EVC Score]]+Table1[[#This Row],[ADA Spots Score]]+Table1[[#This Row],[Parking Spots Score]]</f>
        <v>13</v>
      </c>
      <c r="U77" s="93" t="str">
        <f>IF(PERCENTRANK(Table1[Parking Score], T77) &lt; 1/5, "1", IF(PERCENTRANK(Table1[Parking Score], T77) &lt; 2/5, "2", IF(PERCENTRANK(Table1[Parking Score], T77) &lt; 3/5, "3", IF(PERCENTRANK(Table1[Parking Score], T77) &lt; 4/5, "4", "5"))))</f>
        <v>4</v>
      </c>
      <c r="V77" s="21" t="str">
        <f>IF(PERCENTRANK(Table1[Parking Score], T77) &lt; 1/5, "LOW", IF(PERCENTRANK(Table1[Parking Score], T77) &lt; 2/5, "MEDIUM-LOW", IF(PERCENTRANK(Table1[Parking Score], T77) &lt; 3/5, "MEDIUM", IF(PERCENTRANK(Table1[Parking Score], T77) &lt; 4/5, "MEDIUM-HIGH", "HIGH"))))</f>
        <v>MEDIUM-HIGH</v>
      </c>
    </row>
    <row r="78" spans="1:22" x14ac:dyDescent="0.25">
      <c r="A78" s="82" t="s">
        <v>224</v>
      </c>
      <c r="B78" s="83">
        <v>84</v>
      </c>
      <c r="C78" s="83"/>
      <c r="D78" s="83"/>
      <c r="E78" s="83"/>
      <c r="F78" s="67">
        <v>343</v>
      </c>
      <c r="G78" s="67" t="str">
        <f>IF(PERCENTRANK(Table1[Parking Spots Regular], F78) &lt; 1/5, "1", IF(PERCENTRANK(Table1[Parking Spots Regular], F78) &lt; 2/5, "2", IF(PERCENTRANK(Table1[Parking Spots Regular], F78) &lt; 3/5, "3", IF(PERCENTRANK(Table1[Parking Spots Regular], F78) &lt; 4/5, "4", "5"))))</f>
        <v>4</v>
      </c>
      <c r="H78" s="67">
        <v>8</v>
      </c>
      <c r="I78" s="67" t="str">
        <f>IF(PERCENTRANK(Table1[Parking Spots ADA], H78) &lt; 1/5, "1", IF(PERCENTRANK(Table1[Parking Spots ADA], H78) &lt; 2/5, "2", IF(PERCENTRANK(Table1[Parking Spots ADA], H78) &lt; 3/5, "3", IF(PERCENTRANK(Table1[Parking Spots ADA], H78) &lt; 4/5, "4", "5"))))</f>
        <v>4</v>
      </c>
      <c r="J78" s="67">
        <v>0</v>
      </c>
      <c r="K78" s="67">
        <v>0</v>
      </c>
      <c r="L78" s="67">
        <f t="shared" si="6"/>
        <v>0</v>
      </c>
      <c r="M78" s="67" t="str">
        <f>IF(PERCENTRANK(Table1[EVC Stations + Occupied], L78) &lt; 1/5, "1", IF(PERCENTRANK(Table1[EVC Stations + Occupied], L78) &lt; 2/5, "2", IF(PERCENTRANK(Table1[EVC Stations + Occupied], L78) &lt; 3/5, "3", IF(PERCENTRANK(Table1[EVC Stations + Occupied], L78) &lt; 4/5, "4", "5"))))</f>
        <v>1</v>
      </c>
      <c r="N78" s="67">
        <v>229.66666666666666</v>
      </c>
      <c r="O78" s="73">
        <f t="shared" si="8"/>
        <v>0.65432098765432101</v>
      </c>
      <c r="P78" s="73">
        <f t="shared" si="7"/>
        <v>0.15432098765432101</v>
      </c>
      <c r="Q78" s="73" t="str">
        <f>IF(PERCENTRANK(Table1[Utilization Rate from 50%], P78) &lt; 1/5, "5", IF(PERCENTRANK(Table1[Utilization Rate from 50%], P78) &lt; 2/5, "4", IF(PERCENTRANK(Table1[Utilization Rate from 50%], P78) &lt; 3/5, "3", IF(PERCENTRANK(Table1[Utilization Rate from 50%], P78) &lt; 4/5, "2", "1"))))</f>
        <v>4</v>
      </c>
      <c r="R78" s="67">
        <v>0</v>
      </c>
      <c r="S78" s="88">
        <v>1</v>
      </c>
      <c r="T78" s="21">
        <f>Table1[[#This Row],[Lighting]]+Table1[[#This Row],[Parking Fee]]+Table1[[#This Row],[Utilization from 50% score]]+Table1[[#This Row],[EVC Score]]+Table1[[#This Row],[ADA Spots Score]]+Table1[[#This Row],[Parking Spots Score]]</f>
        <v>14</v>
      </c>
      <c r="U78" s="93" t="str">
        <f>IF(PERCENTRANK(Table1[Parking Score], T78) &lt; 1/5, "1", IF(PERCENTRANK(Table1[Parking Score], T78) &lt; 2/5, "2", IF(PERCENTRANK(Table1[Parking Score], T78) &lt; 3/5, "3", IF(PERCENTRANK(Table1[Parking Score], T78) &lt; 4/5, "4", "5"))))</f>
        <v>4</v>
      </c>
      <c r="V78" s="21" t="str">
        <f>IF(PERCENTRANK(Table1[Parking Score], T78) &lt; 1/5, "LOW", IF(PERCENTRANK(Table1[Parking Score], T78) &lt; 2/5, "MEDIUM-LOW", IF(PERCENTRANK(Table1[Parking Score], T78) &lt; 3/5, "MEDIUM", IF(PERCENTRANK(Table1[Parking Score], T78) &lt; 4/5, "MEDIUM-HIGH", "HIGH"))))</f>
        <v>MEDIUM-HIGH</v>
      </c>
    </row>
    <row r="79" spans="1:22" x14ac:dyDescent="0.25">
      <c r="A79" s="82" t="s">
        <v>227</v>
      </c>
      <c r="B79" s="83">
        <v>85</v>
      </c>
      <c r="C79" s="83"/>
      <c r="D79" s="83"/>
      <c r="E79" s="83"/>
      <c r="F79" s="67">
        <v>0</v>
      </c>
      <c r="G79" s="67" t="str">
        <f>IF(PERCENTRANK(Table1[Parking Spots Regular], F79) &lt; 1/5, "1", IF(PERCENTRANK(Table1[Parking Spots Regular], F79) &lt; 2/5, "2", IF(PERCENTRANK(Table1[Parking Spots Regular], F79) &lt; 3/5, "3", IF(PERCENTRANK(Table1[Parking Spots Regular], F79) &lt; 4/5, "4", "5"))))</f>
        <v>1</v>
      </c>
      <c r="H79" s="67">
        <v>0</v>
      </c>
      <c r="I79" s="67" t="str">
        <f>IF(PERCENTRANK(Table1[Parking Spots ADA], H79) &lt; 1/5, "1", IF(PERCENTRANK(Table1[Parking Spots ADA], H79) &lt; 2/5, "2", IF(PERCENTRANK(Table1[Parking Spots ADA], H79) &lt; 3/5, "3", IF(PERCENTRANK(Table1[Parking Spots ADA], H79) &lt; 4/5, "4", "5"))))</f>
        <v>1</v>
      </c>
      <c r="J79" s="67">
        <v>0</v>
      </c>
      <c r="K79" s="67">
        <v>0</v>
      </c>
      <c r="L79" s="67">
        <f t="shared" si="6"/>
        <v>0</v>
      </c>
      <c r="M79" s="67" t="str">
        <f>IF(PERCENTRANK(Table1[EVC Stations + Occupied], L79) &lt; 1/5, "1", IF(PERCENTRANK(Table1[EVC Stations + Occupied], L79) &lt; 2/5, "2", IF(PERCENTRANK(Table1[EVC Stations + Occupied], L79) &lt; 3/5, "3", IF(PERCENTRANK(Table1[EVC Stations + Occupied], L79) &lt; 4/5, "4", "5"))))</f>
        <v>1</v>
      </c>
      <c r="N79" s="67"/>
      <c r="O79" s="73"/>
      <c r="P79" s="73"/>
      <c r="Q79" s="73"/>
      <c r="R79" s="67">
        <v>0</v>
      </c>
      <c r="S79" s="88">
        <v>1</v>
      </c>
      <c r="T79" s="21">
        <f>Table1[[#This Row],[Lighting]]+Table1[[#This Row],[Parking Fee]]+Table1[[#This Row],[Utilization from 50% score]]+Table1[[#This Row],[EVC Score]]+Table1[[#This Row],[ADA Spots Score]]+Table1[[#This Row],[Parking Spots Score]]</f>
        <v>4</v>
      </c>
      <c r="U79" s="93" t="str">
        <f>IF(PERCENTRANK(Table1[Parking Score], T79) &lt; 1/5, "1", IF(PERCENTRANK(Table1[Parking Score], T79) &lt; 2/5, "2", IF(PERCENTRANK(Table1[Parking Score], T79) &lt; 3/5, "3", IF(PERCENTRANK(Table1[Parking Score], T79) &lt; 4/5, "4", "5"))))</f>
        <v>1</v>
      </c>
      <c r="V79" s="21" t="str">
        <f>IF(PERCENTRANK(Table1[Parking Score], T79) &lt; 1/5, "LOW", IF(PERCENTRANK(Table1[Parking Score], T79) &lt; 2/5, "MEDIUM-LOW", IF(PERCENTRANK(Table1[Parking Score], T79) &lt; 3/5, "MEDIUM", IF(PERCENTRANK(Table1[Parking Score], T79) &lt; 4/5, "MEDIUM-HIGH", "HIGH"))))</f>
        <v>LOW</v>
      </c>
    </row>
    <row r="80" spans="1:22" x14ac:dyDescent="0.25">
      <c r="A80" s="82" t="s">
        <v>229</v>
      </c>
      <c r="B80" s="83">
        <v>86</v>
      </c>
      <c r="C80" s="83"/>
      <c r="D80" s="83"/>
      <c r="E80" s="83"/>
      <c r="F80" s="67">
        <v>27</v>
      </c>
      <c r="G80" s="67" t="str">
        <f>IF(PERCENTRANK(Table1[Parking Spots Regular], F80) &lt; 1/5, "1", IF(PERCENTRANK(Table1[Parking Spots Regular], F80) &lt; 2/5, "2", IF(PERCENTRANK(Table1[Parking Spots Regular], F80) &lt; 3/5, "3", IF(PERCENTRANK(Table1[Parking Spots Regular], F80) &lt; 4/5, "4", "5"))))</f>
        <v>3</v>
      </c>
      <c r="H80" s="67">
        <v>0</v>
      </c>
      <c r="I80" s="67" t="str">
        <f>IF(PERCENTRANK(Table1[Parking Spots ADA], H80) &lt; 1/5, "1", IF(PERCENTRANK(Table1[Parking Spots ADA], H80) &lt; 2/5, "2", IF(PERCENTRANK(Table1[Parking Spots ADA], H80) &lt; 3/5, "3", IF(PERCENTRANK(Table1[Parking Spots ADA], H80) &lt; 4/5, "4", "5"))))</f>
        <v>1</v>
      </c>
      <c r="J80" s="67">
        <v>0</v>
      </c>
      <c r="K80" s="67">
        <v>0</v>
      </c>
      <c r="L80" s="67">
        <f t="shared" si="6"/>
        <v>0</v>
      </c>
      <c r="M80" s="67" t="str">
        <f>IF(PERCENTRANK(Table1[EVC Stations + Occupied], L80) &lt; 1/5, "1", IF(PERCENTRANK(Table1[EVC Stations + Occupied], L80) &lt; 2/5, "2", IF(PERCENTRANK(Table1[EVC Stations + Occupied], L80) &lt; 3/5, "3", IF(PERCENTRANK(Table1[EVC Stations + Occupied], L80) &lt; 4/5, "4", "5"))))</f>
        <v>1</v>
      </c>
      <c r="N80" s="67">
        <v>32.333333333333336</v>
      </c>
      <c r="O80" s="73">
        <f t="shared" si="8"/>
        <v>1.1975308641975309</v>
      </c>
      <c r="P80" s="73">
        <f>ABS(O80-$X$8)</f>
        <v>0.69753086419753085</v>
      </c>
      <c r="Q80" s="73" t="str">
        <f>IF(PERCENTRANK(Table1[Utilization Rate from 50%], P80) &lt; 1/5, "5", IF(PERCENTRANK(Table1[Utilization Rate from 50%], P80) &lt; 2/5, "4", IF(PERCENTRANK(Table1[Utilization Rate from 50%], P80) &lt; 3/5, "3", IF(PERCENTRANK(Table1[Utilization Rate from 50%], P80) &lt; 4/5, "2", "1"))))</f>
        <v>1</v>
      </c>
      <c r="R80" s="67">
        <v>0</v>
      </c>
      <c r="S80" s="88">
        <v>1</v>
      </c>
      <c r="T80" s="21">
        <f>Table1[[#This Row],[Lighting]]+Table1[[#This Row],[Parking Fee]]+Table1[[#This Row],[Utilization from 50% score]]+Table1[[#This Row],[EVC Score]]+Table1[[#This Row],[ADA Spots Score]]+Table1[[#This Row],[Parking Spots Score]]</f>
        <v>7</v>
      </c>
      <c r="U80" s="93" t="str">
        <f>IF(PERCENTRANK(Table1[Parking Score], T80) &lt; 1/5, "1", IF(PERCENTRANK(Table1[Parking Score], T80) &lt; 2/5, "2", IF(PERCENTRANK(Table1[Parking Score], T80) &lt; 3/5, "3", IF(PERCENTRANK(Table1[Parking Score], T80) &lt; 4/5, "4", "5"))))</f>
        <v>2</v>
      </c>
      <c r="V80" s="21" t="str">
        <f>IF(PERCENTRANK(Table1[Parking Score], T80) &lt; 1/5, "LOW", IF(PERCENTRANK(Table1[Parking Score], T80) &lt; 2/5, "MEDIUM-LOW", IF(PERCENTRANK(Table1[Parking Score], T80) &lt; 3/5, "MEDIUM", IF(PERCENTRANK(Table1[Parking Score], T80) &lt; 4/5, "MEDIUM-HIGH", "HIGH"))))</f>
        <v>MEDIUM-LOW</v>
      </c>
    </row>
    <row r="81" spans="1:22" x14ac:dyDescent="0.25">
      <c r="A81" s="82" t="s">
        <v>231</v>
      </c>
      <c r="B81" s="83">
        <v>87</v>
      </c>
      <c r="C81" s="83"/>
      <c r="D81" s="83"/>
      <c r="E81" s="83"/>
      <c r="F81" s="67">
        <v>0</v>
      </c>
      <c r="G81" s="67" t="str">
        <f>IF(PERCENTRANK(Table1[Parking Spots Regular], F81) &lt; 1/5, "1", IF(PERCENTRANK(Table1[Parking Spots Regular], F81) &lt; 2/5, "2", IF(PERCENTRANK(Table1[Parking Spots Regular], F81) &lt; 3/5, "3", IF(PERCENTRANK(Table1[Parking Spots Regular], F81) &lt; 4/5, "4", "5"))))</f>
        <v>1</v>
      </c>
      <c r="H81" s="67">
        <v>0</v>
      </c>
      <c r="I81" s="67" t="str">
        <f>IF(PERCENTRANK(Table1[Parking Spots ADA], H81) &lt; 1/5, "1", IF(PERCENTRANK(Table1[Parking Spots ADA], H81) &lt; 2/5, "2", IF(PERCENTRANK(Table1[Parking Spots ADA], H81) &lt; 3/5, "3", IF(PERCENTRANK(Table1[Parking Spots ADA], H81) &lt; 4/5, "4", "5"))))</f>
        <v>1</v>
      </c>
      <c r="J81" s="67">
        <v>0</v>
      </c>
      <c r="K81" s="67">
        <v>0</v>
      </c>
      <c r="L81" s="67">
        <f t="shared" si="6"/>
        <v>0</v>
      </c>
      <c r="M81" s="67" t="str">
        <f>IF(PERCENTRANK(Table1[EVC Stations + Occupied], L81) &lt; 1/5, "1", IF(PERCENTRANK(Table1[EVC Stations + Occupied], L81) &lt; 2/5, "2", IF(PERCENTRANK(Table1[EVC Stations + Occupied], L81) &lt; 3/5, "3", IF(PERCENTRANK(Table1[EVC Stations + Occupied], L81) &lt; 4/5, "4", "5"))))</f>
        <v>1</v>
      </c>
      <c r="N81" s="67"/>
      <c r="O81" s="73"/>
      <c r="P81" s="73"/>
      <c r="Q81" s="73"/>
      <c r="R81" s="67">
        <v>1</v>
      </c>
      <c r="S81" s="88">
        <v>1</v>
      </c>
      <c r="T81" s="21">
        <f>Table1[[#This Row],[Lighting]]+Table1[[#This Row],[Parking Fee]]+Table1[[#This Row],[Utilization from 50% score]]+Table1[[#This Row],[EVC Score]]+Table1[[#This Row],[ADA Spots Score]]+Table1[[#This Row],[Parking Spots Score]]</f>
        <v>5</v>
      </c>
      <c r="U81" s="93" t="str">
        <f>IF(PERCENTRANK(Table1[Parking Score], T81) &lt; 1/5, "1", IF(PERCENTRANK(Table1[Parking Score], T81) &lt; 2/5, "2", IF(PERCENTRANK(Table1[Parking Score], T81) &lt; 3/5, "3", IF(PERCENTRANK(Table1[Parking Score], T81) &lt; 4/5, "4", "5"))))</f>
        <v>2</v>
      </c>
      <c r="V81" s="21" t="str">
        <f>IF(PERCENTRANK(Table1[Parking Score], T81) &lt; 1/5, "LOW", IF(PERCENTRANK(Table1[Parking Score], T81) &lt; 2/5, "MEDIUM-LOW", IF(PERCENTRANK(Table1[Parking Score], T81) &lt; 3/5, "MEDIUM", IF(PERCENTRANK(Table1[Parking Score], T81) &lt; 4/5, "MEDIUM-HIGH", "HIGH"))))</f>
        <v>MEDIUM-LOW</v>
      </c>
    </row>
    <row r="82" spans="1:22" x14ac:dyDescent="0.25">
      <c r="A82" s="82" t="s">
        <v>234</v>
      </c>
      <c r="B82" s="83">
        <v>88</v>
      </c>
      <c r="C82" s="83"/>
      <c r="D82" s="83"/>
      <c r="E82" s="83"/>
      <c r="F82" s="67">
        <v>41</v>
      </c>
      <c r="G82" s="67" t="str">
        <f>IF(PERCENTRANK(Table1[Parking Spots Regular], F82) &lt; 1/5, "1", IF(PERCENTRANK(Table1[Parking Spots Regular], F82) &lt; 2/5, "2", IF(PERCENTRANK(Table1[Parking Spots Regular], F82) &lt; 3/5, "3", IF(PERCENTRANK(Table1[Parking Spots Regular], F82) &lt; 4/5, "4", "5"))))</f>
        <v>3</v>
      </c>
      <c r="H82" s="67">
        <v>1</v>
      </c>
      <c r="I82" s="67" t="str">
        <f>IF(PERCENTRANK(Table1[Parking Spots ADA], H82) &lt; 1/5, "1", IF(PERCENTRANK(Table1[Parking Spots ADA], H82) &lt; 2/5, "2", IF(PERCENTRANK(Table1[Parking Spots ADA], H82) &lt; 3/5, "3", IF(PERCENTRANK(Table1[Parking Spots ADA], H82) &lt; 4/5, "4", "5"))))</f>
        <v>3</v>
      </c>
      <c r="J82" s="67">
        <v>0</v>
      </c>
      <c r="K82" s="67">
        <v>0</v>
      </c>
      <c r="L82" s="67">
        <f t="shared" si="6"/>
        <v>0</v>
      </c>
      <c r="M82" s="67" t="str">
        <f>IF(PERCENTRANK(Table1[EVC Stations + Occupied], L82) &lt; 1/5, "1", IF(PERCENTRANK(Table1[EVC Stations + Occupied], L82) &lt; 2/5, "2", IF(PERCENTRANK(Table1[EVC Stations + Occupied], L82) &lt; 3/5, "3", IF(PERCENTRANK(Table1[EVC Stations + Occupied], L82) &lt; 4/5, "4", "5"))))</f>
        <v>1</v>
      </c>
      <c r="N82" s="67">
        <v>35.666666666666664</v>
      </c>
      <c r="O82" s="73">
        <f t="shared" si="8"/>
        <v>0.84920634920634919</v>
      </c>
      <c r="P82" s="73">
        <f>ABS(O82-$X$8)</f>
        <v>0.34920634920634919</v>
      </c>
      <c r="Q82" s="73" t="str">
        <f>IF(PERCENTRANK(Table1[Utilization Rate from 50%], P82) &lt; 1/5, "5", IF(PERCENTRANK(Table1[Utilization Rate from 50%], P82) &lt; 2/5, "4", IF(PERCENTRANK(Table1[Utilization Rate from 50%], P82) &lt; 3/5, "3", IF(PERCENTRANK(Table1[Utilization Rate from 50%], P82) &lt; 4/5, "2", "1"))))</f>
        <v>3</v>
      </c>
      <c r="R82" s="67">
        <v>0</v>
      </c>
      <c r="S82" s="88">
        <v>1</v>
      </c>
      <c r="T82" s="21">
        <f>Table1[[#This Row],[Lighting]]+Table1[[#This Row],[Parking Fee]]+Table1[[#This Row],[Utilization from 50% score]]+Table1[[#This Row],[EVC Score]]+Table1[[#This Row],[ADA Spots Score]]+Table1[[#This Row],[Parking Spots Score]]</f>
        <v>11</v>
      </c>
      <c r="U82" s="93" t="str">
        <f>IF(PERCENTRANK(Table1[Parking Score], T82) &lt; 1/5, "1", IF(PERCENTRANK(Table1[Parking Score], T82) &lt; 2/5, "2", IF(PERCENTRANK(Table1[Parking Score], T82) &lt; 3/5, "3", IF(PERCENTRANK(Table1[Parking Score], T82) &lt; 4/5, "4", "5"))))</f>
        <v>3</v>
      </c>
      <c r="V82" s="21" t="str">
        <f>IF(PERCENTRANK(Table1[Parking Score], T82) &lt; 1/5, "LOW", IF(PERCENTRANK(Table1[Parking Score], T82) &lt; 2/5, "MEDIUM-LOW", IF(PERCENTRANK(Table1[Parking Score], T82) &lt; 3/5, "MEDIUM", IF(PERCENTRANK(Table1[Parking Score], T82) &lt; 4/5, "MEDIUM-HIGH", "HIGH"))))</f>
        <v>MEDIUM</v>
      </c>
    </row>
    <row r="83" spans="1:22" x14ac:dyDescent="0.25">
      <c r="A83" s="82" t="s">
        <v>236</v>
      </c>
      <c r="B83" s="83">
        <v>89</v>
      </c>
      <c r="C83" s="83"/>
      <c r="D83" s="83"/>
      <c r="E83" s="83"/>
      <c r="F83" s="67">
        <v>102</v>
      </c>
      <c r="G83" s="67" t="str">
        <f>IF(PERCENTRANK(Table1[Parking Spots Regular], F83) &lt; 1/5, "1", IF(PERCENTRANK(Table1[Parking Spots Regular], F83) &lt; 2/5, "2", IF(PERCENTRANK(Table1[Parking Spots Regular], F83) &lt; 3/5, "3", IF(PERCENTRANK(Table1[Parking Spots Regular], F83) &lt; 4/5, "4", "5"))))</f>
        <v>3</v>
      </c>
      <c r="H83" s="67">
        <v>5</v>
      </c>
      <c r="I83" s="67" t="str">
        <f>IF(PERCENTRANK(Table1[Parking Spots ADA], H83) &lt; 1/5, "1", IF(PERCENTRANK(Table1[Parking Spots ADA], H83) &lt; 2/5, "2", IF(PERCENTRANK(Table1[Parking Spots ADA], H83) &lt; 3/5, "3", IF(PERCENTRANK(Table1[Parking Spots ADA], H83) &lt; 4/5, "4", "5"))))</f>
        <v>3</v>
      </c>
      <c r="J83" s="67">
        <v>0</v>
      </c>
      <c r="K83" s="67">
        <v>0</v>
      </c>
      <c r="L83" s="67">
        <f t="shared" si="6"/>
        <v>0</v>
      </c>
      <c r="M83" s="67" t="str">
        <f>IF(PERCENTRANK(Table1[EVC Stations + Occupied], L83) &lt; 1/5, "1", IF(PERCENTRANK(Table1[EVC Stations + Occupied], L83) &lt; 2/5, "2", IF(PERCENTRANK(Table1[EVC Stations + Occupied], L83) &lt; 3/5, "3", IF(PERCENTRANK(Table1[EVC Stations + Occupied], L83) &lt; 4/5, "4", "5"))))</f>
        <v>1</v>
      </c>
      <c r="N83" s="67">
        <v>78.666666666666671</v>
      </c>
      <c r="O83" s="73">
        <f t="shared" si="8"/>
        <v>0.73520249221183809</v>
      </c>
      <c r="P83" s="73">
        <f>ABS(O83-$X$8)</f>
        <v>0.23520249221183809</v>
      </c>
      <c r="Q83" s="73" t="str">
        <f>IF(PERCENTRANK(Table1[Utilization Rate from 50%], P83) &lt; 1/5, "5", IF(PERCENTRANK(Table1[Utilization Rate from 50%], P83) &lt; 2/5, "4", IF(PERCENTRANK(Table1[Utilization Rate from 50%], P83) &lt; 3/5, "3", IF(PERCENTRANK(Table1[Utilization Rate from 50%], P83) &lt; 4/5, "2", "1"))))</f>
        <v>3</v>
      </c>
      <c r="R83" s="67">
        <v>0</v>
      </c>
      <c r="S83" s="88">
        <v>1</v>
      </c>
      <c r="T83" s="21">
        <f>Table1[[#This Row],[Lighting]]+Table1[[#This Row],[Parking Fee]]+Table1[[#This Row],[Utilization from 50% score]]+Table1[[#This Row],[EVC Score]]+Table1[[#This Row],[ADA Spots Score]]+Table1[[#This Row],[Parking Spots Score]]</f>
        <v>11</v>
      </c>
      <c r="U83" s="93" t="str">
        <f>IF(PERCENTRANK(Table1[Parking Score], T83) &lt; 1/5, "1", IF(PERCENTRANK(Table1[Parking Score], T83) &lt; 2/5, "2", IF(PERCENTRANK(Table1[Parking Score], T83) &lt; 3/5, "3", IF(PERCENTRANK(Table1[Parking Score], T83) &lt; 4/5, "4", "5"))))</f>
        <v>3</v>
      </c>
      <c r="V83" s="21" t="str">
        <f>IF(PERCENTRANK(Table1[Parking Score], T83) &lt; 1/5, "LOW", IF(PERCENTRANK(Table1[Parking Score], T83) &lt; 2/5, "MEDIUM-LOW", IF(PERCENTRANK(Table1[Parking Score], T83) &lt; 3/5, "MEDIUM", IF(PERCENTRANK(Table1[Parking Score], T83) &lt; 4/5, "MEDIUM-HIGH", "HIGH"))))</f>
        <v>MEDIUM</v>
      </c>
    </row>
    <row r="84" spans="1:22" x14ac:dyDescent="0.25">
      <c r="A84" s="82" t="s">
        <v>238</v>
      </c>
      <c r="B84" s="83">
        <v>90</v>
      </c>
      <c r="C84" s="83"/>
      <c r="D84" s="83"/>
      <c r="E84" s="83"/>
      <c r="F84" s="67">
        <v>0</v>
      </c>
      <c r="G84" s="67" t="str">
        <f>IF(PERCENTRANK(Table1[Parking Spots Regular], F84) &lt; 1/5, "1", IF(PERCENTRANK(Table1[Parking Spots Regular], F84) &lt; 2/5, "2", IF(PERCENTRANK(Table1[Parking Spots Regular], F84) &lt; 3/5, "3", IF(PERCENTRANK(Table1[Parking Spots Regular], F84) &lt; 4/5, "4", "5"))))</f>
        <v>1</v>
      </c>
      <c r="H84" s="67">
        <v>0</v>
      </c>
      <c r="I84" s="67" t="str">
        <f>IF(PERCENTRANK(Table1[Parking Spots ADA], H84) &lt; 1/5, "1", IF(PERCENTRANK(Table1[Parking Spots ADA], H84) &lt; 2/5, "2", IF(PERCENTRANK(Table1[Parking Spots ADA], H84) &lt; 3/5, "3", IF(PERCENTRANK(Table1[Parking Spots ADA], H84) &lt; 4/5, "4", "5"))))</f>
        <v>1</v>
      </c>
      <c r="J84" s="67">
        <v>0</v>
      </c>
      <c r="K84" s="67">
        <v>0</v>
      </c>
      <c r="L84" s="67">
        <f t="shared" si="6"/>
        <v>0</v>
      </c>
      <c r="M84" s="67" t="str">
        <f>IF(PERCENTRANK(Table1[EVC Stations + Occupied], L84) &lt; 1/5, "1", IF(PERCENTRANK(Table1[EVC Stations + Occupied], L84) &lt; 2/5, "2", IF(PERCENTRANK(Table1[EVC Stations + Occupied], L84) &lt; 3/5, "3", IF(PERCENTRANK(Table1[EVC Stations + Occupied], L84) &lt; 4/5, "4", "5"))))</f>
        <v>1</v>
      </c>
      <c r="N84" s="67"/>
      <c r="O84" s="73"/>
      <c r="P84" s="73"/>
      <c r="Q84" s="73"/>
      <c r="R84" s="67">
        <v>1</v>
      </c>
      <c r="S84" s="88">
        <v>1</v>
      </c>
      <c r="T84" s="21">
        <f>Table1[[#This Row],[Lighting]]+Table1[[#This Row],[Parking Fee]]+Table1[[#This Row],[Utilization from 50% score]]+Table1[[#This Row],[EVC Score]]+Table1[[#This Row],[ADA Spots Score]]+Table1[[#This Row],[Parking Spots Score]]</f>
        <v>5</v>
      </c>
      <c r="U84" s="93" t="str">
        <f>IF(PERCENTRANK(Table1[Parking Score], T84) &lt; 1/5, "1", IF(PERCENTRANK(Table1[Parking Score], T84) &lt; 2/5, "2", IF(PERCENTRANK(Table1[Parking Score], T84) &lt; 3/5, "3", IF(PERCENTRANK(Table1[Parking Score], T84) &lt; 4/5, "4", "5"))))</f>
        <v>2</v>
      </c>
      <c r="V84" s="21" t="str">
        <f>IF(PERCENTRANK(Table1[Parking Score], T84) &lt; 1/5, "LOW", IF(PERCENTRANK(Table1[Parking Score], T84) &lt; 2/5, "MEDIUM-LOW", IF(PERCENTRANK(Table1[Parking Score], T84) &lt; 3/5, "MEDIUM", IF(PERCENTRANK(Table1[Parking Score], T84) &lt; 4/5, "MEDIUM-HIGH", "HIGH"))))</f>
        <v>MEDIUM-LOW</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D54" workbookViewId="0">
      <selection activeCell="K2" sqref="K2:K84"/>
    </sheetView>
  </sheetViews>
  <sheetFormatPr defaultRowHeight="15" x14ac:dyDescent="0.25"/>
  <cols>
    <col min="1" max="1" width="30.140625" bestFit="1" customWidth="1"/>
    <col min="2" max="2" width="11.7109375" customWidth="1"/>
    <col min="3" max="3" width="19.42578125" customWidth="1"/>
    <col min="4" max="4" width="29.42578125" customWidth="1"/>
    <col min="5" max="5" width="25.85546875" customWidth="1"/>
    <col min="6" max="6" width="31.5703125" customWidth="1"/>
    <col min="7" max="7" width="35" customWidth="1"/>
    <col min="8" max="9" width="9" style="21" bestFit="1" customWidth="1"/>
    <col min="10" max="10" width="18.5703125" customWidth="1"/>
    <col min="11" max="11" width="16.28515625" customWidth="1"/>
    <col min="12" max="12" width="17.140625" customWidth="1"/>
    <col min="14" max="14" width="13.28515625" bestFit="1" customWidth="1"/>
  </cols>
  <sheetData>
    <row r="1" spans="1:12" ht="30" x14ac:dyDescent="0.25">
      <c r="A1" s="78" t="s">
        <v>9</v>
      </c>
      <c r="B1" s="78" t="s">
        <v>10</v>
      </c>
      <c r="C1" s="92" t="s">
        <v>363</v>
      </c>
      <c r="D1" s="66" t="s">
        <v>362</v>
      </c>
      <c r="E1" s="66" t="s">
        <v>361</v>
      </c>
      <c r="F1" s="66" t="s">
        <v>365</v>
      </c>
      <c r="G1" s="66" t="s">
        <v>27</v>
      </c>
      <c r="H1" s="66" t="s">
        <v>364</v>
      </c>
      <c r="I1" s="66" t="s">
        <v>372</v>
      </c>
      <c r="J1" s="66" t="s">
        <v>19</v>
      </c>
      <c r="K1" s="81" t="s">
        <v>429</v>
      </c>
      <c r="L1" s="81" t="s">
        <v>428</v>
      </c>
    </row>
    <row r="2" spans="1:12" x14ac:dyDescent="0.25">
      <c r="A2" s="82" t="s">
        <v>110</v>
      </c>
      <c r="B2" s="83">
        <v>2</v>
      </c>
      <c r="C2" s="88">
        <v>0</v>
      </c>
      <c r="D2" s="67">
        <v>7</v>
      </c>
      <c r="E2" s="67">
        <v>4</v>
      </c>
      <c r="F2" s="67">
        <v>5</v>
      </c>
      <c r="G2" s="67"/>
      <c r="H2" s="21">
        <v>7</v>
      </c>
      <c r="I2" s="21">
        <v>7</v>
      </c>
      <c r="J2" s="67">
        <f t="shared" ref="J2:J33" si="0">SUM(C2:I2)</f>
        <v>30</v>
      </c>
      <c r="K2" s="21" t="str">
        <f>IF(PERCENTRANK(Table4[Bike Access Score], J2) &lt; 1/5, "1", IF(PERCENTRANK(Table4[Bike Access Score], J2) &lt; 2/5, "2", IF(PERCENTRANK(Table4[Bike Access Score], J2) &lt; 3/5, "3", IF(PERCENTRANK(Table4[Bike Access Score], J2) &lt; 4/5, "4", "5"))))</f>
        <v>5</v>
      </c>
      <c r="L2" s="21" t="str">
        <f>IF(PERCENTRANK(Table4[Bike Access Score], J2) &lt; 1/5, "LOW", IF(PERCENTRANK(Table4[Bike Access Score], J2) &lt; 2/5, "MEDIUM-LOW", IF(PERCENTRANK(Table4[Bike Access Score], J2) &lt; 3/5, "MEDIUM", IF(PERCENTRANK(Table4[Bike Access Score], J2) &lt; 4/5, "MEDIUM-HIGH", "HIGH"))))</f>
        <v>HIGH</v>
      </c>
    </row>
    <row r="3" spans="1:12" x14ac:dyDescent="0.25">
      <c r="A3" s="82" t="s">
        <v>266</v>
      </c>
      <c r="B3" s="83">
        <v>3</v>
      </c>
      <c r="C3" s="88">
        <v>0</v>
      </c>
      <c r="D3" s="67">
        <v>5</v>
      </c>
      <c r="E3" s="67">
        <v>2</v>
      </c>
      <c r="F3" s="67">
        <v>10</v>
      </c>
      <c r="G3" s="67"/>
      <c r="H3" s="21">
        <v>10</v>
      </c>
      <c r="I3" s="21">
        <v>10</v>
      </c>
      <c r="J3" s="67">
        <f t="shared" si="0"/>
        <v>37</v>
      </c>
      <c r="K3" s="21" t="str">
        <f>IF(PERCENTRANK(Table4[Bike Access Score], J3) &lt; 1/5, "1", IF(PERCENTRANK(Table4[Bike Access Score], J3) &lt; 2/5, "2", IF(PERCENTRANK(Table4[Bike Access Score], J3) &lt; 3/5, "3", IF(PERCENTRANK(Table4[Bike Access Score], J3) &lt; 4/5, "4", "5"))))</f>
        <v>5</v>
      </c>
      <c r="L3" s="21" t="str">
        <f>IF(PERCENTRANK(Table4[Bike Access Score], J3) &lt; 1/5, "LOW", IF(PERCENTRANK(Table4[Bike Access Score], J3) &lt; 2/5, "MEDIUM-LOW", IF(PERCENTRANK(Table4[Bike Access Score], J3) &lt; 3/5, "MEDIUM", IF(PERCENTRANK(Table4[Bike Access Score], J3) &lt; 4/5, "MEDIUM-HIGH", "HIGH"))))</f>
        <v>HIGH</v>
      </c>
    </row>
    <row r="4" spans="1:12" x14ac:dyDescent="0.25">
      <c r="A4" s="83" t="s">
        <v>32</v>
      </c>
      <c r="B4" s="83">
        <v>4</v>
      </c>
      <c r="C4" s="88">
        <v>0</v>
      </c>
      <c r="D4" s="67">
        <v>0</v>
      </c>
      <c r="E4" s="67">
        <v>0</v>
      </c>
      <c r="F4" s="67">
        <v>0</v>
      </c>
      <c r="G4" s="67">
        <v>3</v>
      </c>
      <c r="H4" s="21">
        <v>3</v>
      </c>
      <c r="I4" s="21">
        <v>3</v>
      </c>
      <c r="J4" s="67">
        <f t="shared" si="0"/>
        <v>9</v>
      </c>
      <c r="K4" s="21" t="str">
        <f>IF(PERCENTRANK(Table4[Bike Access Score], J4) &lt; 1/5, "1", IF(PERCENTRANK(Table4[Bike Access Score], J4) &lt; 2/5, "2", IF(PERCENTRANK(Table4[Bike Access Score], J4) &lt; 3/5, "3", IF(PERCENTRANK(Table4[Bike Access Score], J4) &lt; 4/5, "4", "5"))))</f>
        <v>2</v>
      </c>
      <c r="L4" s="21" t="str">
        <f>IF(PERCENTRANK(Table4[Bike Access Score], J4) &lt; 1/5, "LOW", IF(PERCENTRANK(Table4[Bike Access Score], J4) &lt; 2/5, "MEDIUM-LOW", IF(PERCENTRANK(Table4[Bike Access Score], J4) &lt; 3/5, "MEDIUM", IF(PERCENTRANK(Table4[Bike Access Score], J4) &lt; 4/5, "MEDIUM-HIGH", "HIGH"))))</f>
        <v>MEDIUM-LOW</v>
      </c>
    </row>
    <row r="5" spans="1:12" x14ac:dyDescent="0.25">
      <c r="A5" s="83" t="s">
        <v>41</v>
      </c>
      <c r="B5" s="83">
        <v>5</v>
      </c>
      <c r="C5" s="88">
        <v>0</v>
      </c>
      <c r="D5" s="67">
        <v>2</v>
      </c>
      <c r="E5" s="67">
        <v>0</v>
      </c>
      <c r="F5" s="67">
        <v>0</v>
      </c>
      <c r="G5" s="67">
        <v>0</v>
      </c>
      <c r="H5" s="21">
        <v>5</v>
      </c>
      <c r="I5" s="21">
        <v>5</v>
      </c>
      <c r="J5" s="67">
        <f t="shared" si="0"/>
        <v>12</v>
      </c>
      <c r="K5" s="21" t="str">
        <f>IF(PERCENTRANK(Table4[Bike Access Score], J5) &lt; 1/5, "1", IF(PERCENTRANK(Table4[Bike Access Score], J5) &lt; 2/5, "2", IF(PERCENTRANK(Table4[Bike Access Score], J5) &lt; 3/5, "3", IF(PERCENTRANK(Table4[Bike Access Score], J5) &lt; 4/5, "4", "5"))))</f>
        <v>3</v>
      </c>
      <c r="L5" s="21" t="str">
        <f>IF(PERCENTRANK(Table4[Bike Access Score], J5) &lt; 1/5, "LOW", IF(PERCENTRANK(Table4[Bike Access Score], J5) &lt; 2/5, "MEDIUM-LOW", IF(PERCENTRANK(Table4[Bike Access Score], J5) &lt; 3/5, "MEDIUM", IF(PERCENTRANK(Table4[Bike Access Score], J5) &lt; 4/5, "MEDIUM-HIGH", "HIGH"))))</f>
        <v>MEDIUM</v>
      </c>
    </row>
    <row r="6" spans="1:12" x14ac:dyDescent="0.25">
      <c r="A6" s="83" t="s">
        <v>44</v>
      </c>
      <c r="B6" s="83">
        <v>6</v>
      </c>
      <c r="C6" s="88">
        <v>0</v>
      </c>
      <c r="D6" s="67">
        <v>2</v>
      </c>
      <c r="E6" s="67">
        <v>0</v>
      </c>
      <c r="F6" s="67">
        <v>4</v>
      </c>
      <c r="G6" s="67">
        <v>0</v>
      </c>
      <c r="H6" s="21">
        <v>6</v>
      </c>
      <c r="I6" s="21">
        <v>6</v>
      </c>
      <c r="J6" s="67">
        <f t="shared" si="0"/>
        <v>18</v>
      </c>
      <c r="K6" s="21" t="str">
        <f>IF(PERCENTRANK(Table4[Bike Access Score], J6) &lt; 1/5, "1", IF(PERCENTRANK(Table4[Bike Access Score], J6) &lt; 2/5, "2", IF(PERCENTRANK(Table4[Bike Access Score], J6) &lt; 3/5, "3", IF(PERCENTRANK(Table4[Bike Access Score], J6) &lt; 4/5, "4", "5"))))</f>
        <v>4</v>
      </c>
      <c r="L6" s="21" t="str">
        <f>IF(PERCENTRANK(Table4[Bike Access Score], J6) &lt; 1/5, "LOW", IF(PERCENTRANK(Table4[Bike Access Score], J6) &lt; 2/5, "MEDIUM-LOW", IF(PERCENTRANK(Table4[Bike Access Score], J6) &lt; 3/5, "MEDIUM", IF(PERCENTRANK(Table4[Bike Access Score], J6) &lt; 4/5, "MEDIUM-HIGH", "HIGH"))))</f>
        <v>MEDIUM-HIGH</v>
      </c>
    </row>
    <row r="7" spans="1:12" x14ac:dyDescent="0.25">
      <c r="A7" s="83" t="s">
        <v>46</v>
      </c>
      <c r="B7" s="83">
        <v>7</v>
      </c>
      <c r="C7" s="88">
        <v>0</v>
      </c>
      <c r="D7" s="67">
        <v>2</v>
      </c>
      <c r="E7" s="67">
        <v>0</v>
      </c>
      <c r="F7" s="67">
        <v>0</v>
      </c>
      <c r="G7" s="67">
        <v>0</v>
      </c>
      <c r="H7" s="21">
        <v>6</v>
      </c>
      <c r="I7" s="21">
        <v>6</v>
      </c>
      <c r="J7" s="67">
        <f t="shared" si="0"/>
        <v>14</v>
      </c>
      <c r="K7" s="21" t="str">
        <f>IF(PERCENTRANK(Table4[Bike Access Score], J7) &lt; 1/5, "1", IF(PERCENTRANK(Table4[Bike Access Score], J7) &lt; 2/5, "2", IF(PERCENTRANK(Table4[Bike Access Score], J7) &lt; 3/5, "3", IF(PERCENTRANK(Table4[Bike Access Score], J7) &lt; 4/5, "4", "5"))))</f>
        <v>3</v>
      </c>
      <c r="L7" s="21" t="str">
        <f>IF(PERCENTRANK(Table4[Bike Access Score], J7) &lt; 1/5, "LOW", IF(PERCENTRANK(Table4[Bike Access Score], J7) &lt; 2/5, "MEDIUM-LOW", IF(PERCENTRANK(Table4[Bike Access Score], J7) &lt; 3/5, "MEDIUM", IF(PERCENTRANK(Table4[Bike Access Score], J7) &lt; 4/5, "MEDIUM-HIGH", "HIGH"))))</f>
        <v>MEDIUM</v>
      </c>
    </row>
    <row r="8" spans="1:12" x14ac:dyDescent="0.25">
      <c r="A8" s="83" t="s">
        <v>53</v>
      </c>
      <c r="B8" s="83">
        <v>8</v>
      </c>
      <c r="C8" s="88">
        <v>0</v>
      </c>
      <c r="D8" s="67">
        <v>2</v>
      </c>
      <c r="E8" s="67">
        <v>0</v>
      </c>
      <c r="F8" s="67">
        <v>0</v>
      </c>
      <c r="G8" s="67">
        <v>0</v>
      </c>
      <c r="H8" s="21">
        <v>6</v>
      </c>
      <c r="I8" s="21">
        <v>6</v>
      </c>
      <c r="J8" s="67">
        <f t="shared" si="0"/>
        <v>14</v>
      </c>
      <c r="K8" s="21" t="str">
        <f>IF(PERCENTRANK(Table4[Bike Access Score], J8) &lt; 1/5, "1", IF(PERCENTRANK(Table4[Bike Access Score], J8) &lt; 2/5, "2", IF(PERCENTRANK(Table4[Bike Access Score], J8) &lt; 3/5, "3", IF(PERCENTRANK(Table4[Bike Access Score], J8) &lt; 4/5, "4", "5"))))</f>
        <v>3</v>
      </c>
      <c r="L8" s="21" t="str">
        <f>IF(PERCENTRANK(Table4[Bike Access Score], J8) &lt; 1/5, "LOW", IF(PERCENTRANK(Table4[Bike Access Score], J8) &lt; 2/5, "MEDIUM-LOW", IF(PERCENTRANK(Table4[Bike Access Score], J8) &lt; 3/5, "MEDIUM", IF(PERCENTRANK(Table4[Bike Access Score], J8) &lt; 4/5, "MEDIUM-HIGH", "HIGH"))))</f>
        <v>MEDIUM</v>
      </c>
    </row>
    <row r="9" spans="1:12" x14ac:dyDescent="0.25">
      <c r="A9" s="83" t="s">
        <v>351</v>
      </c>
      <c r="B9" s="83">
        <v>9</v>
      </c>
      <c r="C9" s="88">
        <v>0</v>
      </c>
      <c r="D9" s="67">
        <v>2</v>
      </c>
      <c r="E9" s="67">
        <v>0</v>
      </c>
      <c r="F9" s="67">
        <v>5</v>
      </c>
      <c r="G9" s="67">
        <v>0</v>
      </c>
      <c r="H9" s="21">
        <v>7</v>
      </c>
      <c r="I9" s="21">
        <v>7</v>
      </c>
      <c r="J9" s="67">
        <f t="shared" si="0"/>
        <v>21</v>
      </c>
      <c r="K9" s="21" t="str">
        <f>IF(PERCENTRANK(Table4[Bike Access Score], J9) &lt; 1/5, "1", IF(PERCENTRANK(Table4[Bike Access Score], J9) &lt; 2/5, "2", IF(PERCENTRANK(Table4[Bike Access Score], J9) &lt; 3/5, "3", IF(PERCENTRANK(Table4[Bike Access Score], J9) &lt; 4/5, "4", "5"))))</f>
        <v>4</v>
      </c>
      <c r="L9" s="21" t="str">
        <f>IF(PERCENTRANK(Table4[Bike Access Score], J9) &lt; 1/5, "LOW", IF(PERCENTRANK(Table4[Bike Access Score], J9) &lt; 2/5, "MEDIUM-LOW", IF(PERCENTRANK(Table4[Bike Access Score], J9) &lt; 3/5, "MEDIUM", IF(PERCENTRANK(Table4[Bike Access Score], J9) &lt; 4/5, "MEDIUM-HIGH", "HIGH"))))</f>
        <v>MEDIUM-HIGH</v>
      </c>
    </row>
    <row r="10" spans="1:12" x14ac:dyDescent="0.25">
      <c r="A10" s="83" t="s">
        <v>56</v>
      </c>
      <c r="B10" s="83">
        <v>10</v>
      </c>
      <c r="C10" s="88">
        <v>0</v>
      </c>
      <c r="D10" s="67">
        <v>0</v>
      </c>
      <c r="E10" s="67">
        <v>0</v>
      </c>
      <c r="F10" s="67">
        <v>0</v>
      </c>
      <c r="G10" s="67">
        <v>0</v>
      </c>
      <c r="H10" s="21">
        <v>6</v>
      </c>
      <c r="I10" s="21">
        <v>6</v>
      </c>
      <c r="J10" s="67">
        <f t="shared" si="0"/>
        <v>12</v>
      </c>
      <c r="K10" s="21" t="str">
        <f>IF(PERCENTRANK(Table4[Bike Access Score], J10) &lt; 1/5, "1", IF(PERCENTRANK(Table4[Bike Access Score], J10) &lt; 2/5, "2", IF(PERCENTRANK(Table4[Bike Access Score], J10) &lt; 3/5, "3", IF(PERCENTRANK(Table4[Bike Access Score], J10) &lt; 4/5, "4", "5"))))</f>
        <v>3</v>
      </c>
      <c r="L10" s="21" t="str">
        <f>IF(PERCENTRANK(Table4[Bike Access Score], J10) &lt; 1/5, "LOW", IF(PERCENTRANK(Table4[Bike Access Score], J10) &lt; 2/5, "MEDIUM-LOW", IF(PERCENTRANK(Table4[Bike Access Score], J10) &lt; 3/5, "MEDIUM", IF(PERCENTRANK(Table4[Bike Access Score], J10) &lt; 4/5, "MEDIUM-HIGH", "HIGH"))))</f>
        <v>MEDIUM</v>
      </c>
    </row>
    <row r="11" spans="1:12" x14ac:dyDescent="0.25">
      <c r="A11" s="83" t="s">
        <v>59</v>
      </c>
      <c r="B11" s="83">
        <v>11</v>
      </c>
      <c r="C11" s="88">
        <v>0</v>
      </c>
      <c r="D11" s="67">
        <v>0</v>
      </c>
      <c r="E11" s="67">
        <v>0</v>
      </c>
      <c r="F11" s="67">
        <v>0</v>
      </c>
      <c r="G11" s="67"/>
      <c r="H11" s="21">
        <v>8</v>
      </c>
      <c r="I11" s="21">
        <v>8</v>
      </c>
      <c r="J11" s="67">
        <f t="shared" si="0"/>
        <v>16</v>
      </c>
      <c r="K11" s="21" t="str">
        <f>IF(PERCENTRANK(Table4[Bike Access Score], J11) &lt; 1/5, "1", IF(PERCENTRANK(Table4[Bike Access Score], J11) &lt; 2/5, "2", IF(PERCENTRANK(Table4[Bike Access Score], J11) &lt; 3/5, "3", IF(PERCENTRANK(Table4[Bike Access Score], J11) &lt; 4/5, "4", "5"))))</f>
        <v>4</v>
      </c>
      <c r="L11" s="21" t="str">
        <f>IF(PERCENTRANK(Table4[Bike Access Score], J11) &lt; 1/5, "LOW", IF(PERCENTRANK(Table4[Bike Access Score], J11) &lt; 2/5, "MEDIUM-LOW", IF(PERCENTRANK(Table4[Bike Access Score], J11) &lt; 3/5, "MEDIUM", IF(PERCENTRANK(Table4[Bike Access Score], J11) &lt; 4/5, "MEDIUM-HIGH", "HIGH"))))</f>
        <v>MEDIUM-HIGH</v>
      </c>
    </row>
    <row r="12" spans="1:12" x14ac:dyDescent="0.25">
      <c r="A12" s="83" t="s">
        <v>61</v>
      </c>
      <c r="B12" s="83">
        <v>12</v>
      </c>
      <c r="C12" s="88">
        <v>0</v>
      </c>
      <c r="D12" s="67">
        <v>0</v>
      </c>
      <c r="E12" s="67">
        <v>0</v>
      </c>
      <c r="F12" s="67">
        <v>0</v>
      </c>
      <c r="G12" s="67"/>
      <c r="H12" s="21">
        <v>8</v>
      </c>
      <c r="I12" s="21">
        <v>8</v>
      </c>
      <c r="J12" s="67">
        <f t="shared" si="0"/>
        <v>16</v>
      </c>
      <c r="K12" s="21" t="str">
        <f>IF(PERCENTRANK(Table4[Bike Access Score], J12) &lt; 1/5, "1", IF(PERCENTRANK(Table4[Bike Access Score], J12) &lt; 2/5, "2", IF(PERCENTRANK(Table4[Bike Access Score], J12) &lt; 3/5, "3", IF(PERCENTRANK(Table4[Bike Access Score], J12) &lt; 4/5, "4", "5"))))</f>
        <v>4</v>
      </c>
      <c r="L12" s="21" t="str">
        <f>IF(PERCENTRANK(Table4[Bike Access Score], J12) &lt; 1/5, "LOW", IF(PERCENTRANK(Table4[Bike Access Score], J12) &lt; 2/5, "MEDIUM-LOW", IF(PERCENTRANK(Table4[Bike Access Score], J12) &lt; 3/5, "MEDIUM", IF(PERCENTRANK(Table4[Bike Access Score], J12) &lt; 4/5, "MEDIUM-HIGH", "HIGH"))))</f>
        <v>MEDIUM-HIGH</v>
      </c>
    </row>
    <row r="13" spans="1:12" x14ac:dyDescent="0.25">
      <c r="A13" s="83" t="s">
        <v>63</v>
      </c>
      <c r="B13" s="83">
        <v>13</v>
      </c>
      <c r="C13" s="88">
        <v>0</v>
      </c>
      <c r="D13" s="67">
        <v>0</v>
      </c>
      <c r="E13" s="67">
        <v>0</v>
      </c>
      <c r="F13" s="67">
        <v>5</v>
      </c>
      <c r="G13" s="67"/>
      <c r="H13" s="21">
        <v>11</v>
      </c>
      <c r="I13" s="21">
        <v>11</v>
      </c>
      <c r="J13" s="67">
        <f t="shared" si="0"/>
        <v>27</v>
      </c>
      <c r="K13" s="21" t="str">
        <f>IF(PERCENTRANK(Table4[Bike Access Score], J13) &lt; 1/5, "1", IF(PERCENTRANK(Table4[Bike Access Score], J13) &lt; 2/5, "2", IF(PERCENTRANK(Table4[Bike Access Score], J13) &lt; 3/5, "3", IF(PERCENTRANK(Table4[Bike Access Score], J13) &lt; 4/5, "4", "5"))))</f>
        <v>5</v>
      </c>
      <c r="L13" s="21" t="str">
        <f>IF(PERCENTRANK(Table4[Bike Access Score], J13) &lt; 1/5, "LOW", IF(PERCENTRANK(Table4[Bike Access Score], J13) &lt; 2/5, "MEDIUM-LOW", IF(PERCENTRANK(Table4[Bike Access Score], J13) &lt; 3/5, "MEDIUM", IF(PERCENTRANK(Table4[Bike Access Score], J13) &lt; 4/5, "MEDIUM-HIGH", "HIGH"))))</f>
        <v>HIGH</v>
      </c>
    </row>
    <row r="14" spans="1:12" x14ac:dyDescent="0.25">
      <c r="A14" s="83" t="s">
        <v>68</v>
      </c>
      <c r="B14" s="83">
        <v>14</v>
      </c>
      <c r="C14" s="88">
        <v>0</v>
      </c>
      <c r="D14" s="67">
        <v>0</v>
      </c>
      <c r="E14" s="67">
        <v>0</v>
      </c>
      <c r="F14" s="67">
        <v>5</v>
      </c>
      <c r="G14" s="67"/>
      <c r="H14" s="21">
        <v>9</v>
      </c>
      <c r="I14" s="21">
        <v>9</v>
      </c>
      <c r="J14" s="67">
        <f t="shared" si="0"/>
        <v>23</v>
      </c>
      <c r="K14" s="21" t="str">
        <f>IF(PERCENTRANK(Table4[Bike Access Score], J14) &lt; 1/5, "1", IF(PERCENTRANK(Table4[Bike Access Score], J14) &lt; 2/5, "2", IF(PERCENTRANK(Table4[Bike Access Score], J14) &lt; 3/5, "3", IF(PERCENTRANK(Table4[Bike Access Score], J14) &lt; 4/5, "4", "5"))))</f>
        <v>5</v>
      </c>
      <c r="L14" s="21" t="str">
        <f>IF(PERCENTRANK(Table4[Bike Access Score], J14) &lt; 1/5, "LOW", IF(PERCENTRANK(Table4[Bike Access Score], J14) &lt; 2/5, "MEDIUM-LOW", IF(PERCENTRANK(Table4[Bike Access Score], J14) &lt; 3/5, "MEDIUM", IF(PERCENTRANK(Table4[Bike Access Score], J14) &lt; 4/5, "MEDIUM-HIGH", "HIGH"))))</f>
        <v>HIGH</v>
      </c>
    </row>
    <row r="15" spans="1:12" x14ac:dyDescent="0.25">
      <c r="A15" s="83" t="s">
        <v>70</v>
      </c>
      <c r="B15" s="83">
        <v>15</v>
      </c>
      <c r="C15" s="88">
        <v>0</v>
      </c>
      <c r="D15" s="67">
        <v>0</v>
      </c>
      <c r="E15" s="67">
        <v>0</v>
      </c>
      <c r="F15" s="67">
        <v>5</v>
      </c>
      <c r="G15" s="67"/>
      <c r="H15" s="21">
        <v>10</v>
      </c>
      <c r="I15" s="21">
        <v>10</v>
      </c>
      <c r="J15" s="67">
        <f t="shared" si="0"/>
        <v>25</v>
      </c>
      <c r="K15" s="21" t="str">
        <f>IF(PERCENTRANK(Table4[Bike Access Score], J15) &lt; 1/5, "1", IF(PERCENTRANK(Table4[Bike Access Score], J15) &lt; 2/5, "2", IF(PERCENTRANK(Table4[Bike Access Score], J15) &lt; 3/5, "3", IF(PERCENTRANK(Table4[Bike Access Score], J15) &lt; 4/5, "4", "5"))))</f>
        <v>5</v>
      </c>
      <c r="L15" s="21" t="str">
        <f>IF(PERCENTRANK(Table4[Bike Access Score], J15) &lt; 1/5, "LOW", IF(PERCENTRANK(Table4[Bike Access Score], J15) &lt; 2/5, "MEDIUM-LOW", IF(PERCENTRANK(Table4[Bike Access Score], J15) &lt; 3/5, "MEDIUM", IF(PERCENTRANK(Table4[Bike Access Score], J15) &lt; 4/5, "MEDIUM-HIGH", "HIGH"))))</f>
        <v>HIGH</v>
      </c>
    </row>
    <row r="16" spans="1:12" x14ac:dyDescent="0.25">
      <c r="A16" s="83" t="s">
        <v>71</v>
      </c>
      <c r="B16" s="83">
        <v>16</v>
      </c>
      <c r="C16" s="88">
        <v>0</v>
      </c>
      <c r="D16" s="67">
        <v>0</v>
      </c>
      <c r="E16" s="67">
        <v>0</v>
      </c>
      <c r="F16" s="67">
        <v>0</v>
      </c>
      <c r="G16" s="67"/>
      <c r="H16" s="21">
        <v>11</v>
      </c>
      <c r="I16" s="21">
        <v>11</v>
      </c>
      <c r="J16" s="67">
        <f t="shared" si="0"/>
        <v>22</v>
      </c>
      <c r="K16" s="21" t="str">
        <f>IF(PERCENTRANK(Table4[Bike Access Score], J16) &lt; 1/5, "1", IF(PERCENTRANK(Table4[Bike Access Score], J16) &lt; 2/5, "2", IF(PERCENTRANK(Table4[Bike Access Score], J16) &lt; 3/5, "3", IF(PERCENTRANK(Table4[Bike Access Score], J16) &lt; 4/5, "4", "5"))))</f>
        <v>5</v>
      </c>
      <c r="L16" s="21" t="str">
        <f>IF(PERCENTRANK(Table4[Bike Access Score], J16) &lt; 1/5, "LOW", IF(PERCENTRANK(Table4[Bike Access Score], J16) &lt; 2/5, "MEDIUM-LOW", IF(PERCENTRANK(Table4[Bike Access Score], J16) &lt; 3/5, "MEDIUM", IF(PERCENTRANK(Table4[Bike Access Score], J16) &lt; 4/5, "MEDIUM-HIGH", "HIGH"))))</f>
        <v>HIGH</v>
      </c>
    </row>
    <row r="17" spans="1:12" x14ac:dyDescent="0.25">
      <c r="A17" s="83" t="s">
        <v>348</v>
      </c>
      <c r="B17" s="83">
        <v>17</v>
      </c>
      <c r="C17" s="88">
        <v>0</v>
      </c>
      <c r="D17" s="67">
        <v>0</v>
      </c>
      <c r="E17" s="67">
        <v>0</v>
      </c>
      <c r="F17" s="67">
        <v>0</v>
      </c>
      <c r="G17" s="67"/>
      <c r="H17" s="21">
        <v>10</v>
      </c>
      <c r="I17" s="21">
        <v>10</v>
      </c>
      <c r="J17" s="67">
        <f t="shared" si="0"/>
        <v>20</v>
      </c>
      <c r="K17" s="21" t="str">
        <f>IF(PERCENTRANK(Table4[Bike Access Score], J17) &lt; 1/5, "1", IF(PERCENTRANK(Table4[Bike Access Score], J17) &lt; 2/5, "2", IF(PERCENTRANK(Table4[Bike Access Score], J17) &lt; 3/5, "3", IF(PERCENTRANK(Table4[Bike Access Score], J17) &lt; 4/5, "4", "5"))))</f>
        <v>4</v>
      </c>
      <c r="L17" s="21" t="str">
        <f>IF(PERCENTRANK(Table4[Bike Access Score], J17) &lt; 1/5, "LOW", IF(PERCENTRANK(Table4[Bike Access Score], J17) &lt; 2/5, "MEDIUM-LOW", IF(PERCENTRANK(Table4[Bike Access Score], J17) &lt; 3/5, "MEDIUM", IF(PERCENTRANK(Table4[Bike Access Score], J17) &lt; 4/5, "MEDIUM-HIGH", "HIGH"))))</f>
        <v>MEDIUM-HIGH</v>
      </c>
    </row>
    <row r="18" spans="1:12" x14ac:dyDescent="0.25">
      <c r="A18" s="82" t="s">
        <v>74</v>
      </c>
      <c r="B18" s="83">
        <v>18</v>
      </c>
      <c r="C18" s="88">
        <v>0</v>
      </c>
      <c r="D18" s="67">
        <v>1</v>
      </c>
      <c r="E18" s="67">
        <v>0</v>
      </c>
      <c r="F18" s="67">
        <v>0</v>
      </c>
      <c r="G18" s="67"/>
      <c r="H18" s="21">
        <v>3</v>
      </c>
      <c r="I18" s="21">
        <v>3</v>
      </c>
      <c r="J18" s="67">
        <f t="shared" si="0"/>
        <v>7</v>
      </c>
      <c r="K18" s="21" t="str">
        <f>IF(PERCENTRANK(Table4[Bike Access Score], J18) &lt; 1/5, "1", IF(PERCENTRANK(Table4[Bike Access Score], J18) &lt; 2/5, "2", IF(PERCENTRANK(Table4[Bike Access Score], J18) &lt; 3/5, "3", IF(PERCENTRANK(Table4[Bike Access Score], J18) &lt; 4/5, "4", "5"))))</f>
        <v>2</v>
      </c>
      <c r="L18" s="21" t="str">
        <f>IF(PERCENTRANK(Table4[Bike Access Score], J18) &lt; 1/5, "LOW", IF(PERCENTRANK(Table4[Bike Access Score], J18) &lt; 2/5, "MEDIUM-LOW", IF(PERCENTRANK(Table4[Bike Access Score], J18) &lt; 3/5, "MEDIUM", IF(PERCENTRANK(Table4[Bike Access Score], J18) &lt; 4/5, "MEDIUM-HIGH", "HIGH"))))</f>
        <v>MEDIUM-LOW</v>
      </c>
    </row>
    <row r="19" spans="1:12" x14ac:dyDescent="0.25">
      <c r="A19" s="82" t="s">
        <v>346</v>
      </c>
      <c r="B19" s="83">
        <v>19</v>
      </c>
      <c r="C19" s="88">
        <v>1</v>
      </c>
      <c r="D19" s="67">
        <v>0</v>
      </c>
      <c r="E19" s="67">
        <v>0</v>
      </c>
      <c r="F19" s="67">
        <v>0</v>
      </c>
      <c r="G19" s="67">
        <v>2</v>
      </c>
      <c r="H19" s="21">
        <v>2</v>
      </c>
      <c r="I19" s="21">
        <v>2</v>
      </c>
      <c r="J19" s="67">
        <f t="shared" si="0"/>
        <v>7</v>
      </c>
      <c r="K19" s="21" t="str">
        <f>IF(PERCENTRANK(Table4[Bike Access Score], J19) &lt; 1/5, "1", IF(PERCENTRANK(Table4[Bike Access Score], J19) &lt; 2/5, "2", IF(PERCENTRANK(Table4[Bike Access Score], J19) &lt; 3/5, "3", IF(PERCENTRANK(Table4[Bike Access Score], J19) &lt; 4/5, "4", "5"))))</f>
        <v>2</v>
      </c>
      <c r="L19" s="21" t="str">
        <f>IF(PERCENTRANK(Table4[Bike Access Score], J19) &lt; 1/5, "LOW", IF(PERCENTRANK(Table4[Bike Access Score], J19) &lt; 2/5, "MEDIUM-LOW", IF(PERCENTRANK(Table4[Bike Access Score], J19) &lt; 3/5, "MEDIUM", IF(PERCENTRANK(Table4[Bike Access Score], J19) &lt; 4/5, "MEDIUM-HIGH", "HIGH"))))</f>
        <v>MEDIUM-LOW</v>
      </c>
    </row>
    <row r="20" spans="1:12" x14ac:dyDescent="0.25">
      <c r="A20" s="82" t="s">
        <v>347</v>
      </c>
      <c r="B20" s="83">
        <v>20</v>
      </c>
      <c r="C20" s="88">
        <v>0</v>
      </c>
      <c r="D20" s="67">
        <v>2</v>
      </c>
      <c r="E20" s="67">
        <v>0</v>
      </c>
      <c r="F20" s="67">
        <v>7</v>
      </c>
      <c r="G20" s="67">
        <v>2</v>
      </c>
      <c r="H20" s="21">
        <v>6</v>
      </c>
      <c r="I20" s="21">
        <v>6</v>
      </c>
      <c r="J20" s="67">
        <f t="shared" si="0"/>
        <v>23</v>
      </c>
      <c r="K20" s="21" t="str">
        <f>IF(PERCENTRANK(Table4[Bike Access Score], J20) &lt; 1/5, "1", IF(PERCENTRANK(Table4[Bike Access Score], J20) &lt; 2/5, "2", IF(PERCENTRANK(Table4[Bike Access Score], J20) &lt; 3/5, "3", IF(PERCENTRANK(Table4[Bike Access Score], J20) &lt; 4/5, "4", "5"))))</f>
        <v>5</v>
      </c>
      <c r="L20" s="21" t="str">
        <f>IF(PERCENTRANK(Table4[Bike Access Score], J20) &lt; 1/5, "LOW", IF(PERCENTRANK(Table4[Bike Access Score], J20) &lt; 2/5, "MEDIUM-LOW", IF(PERCENTRANK(Table4[Bike Access Score], J20) &lt; 3/5, "MEDIUM", IF(PERCENTRANK(Table4[Bike Access Score], J20) &lt; 4/5, "MEDIUM-HIGH", "HIGH"))))</f>
        <v>HIGH</v>
      </c>
    </row>
    <row r="21" spans="1:12" x14ac:dyDescent="0.25">
      <c r="A21" s="82" t="s">
        <v>84</v>
      </c>
      <c r="B21" s="83">
        <v>21</v>
      </c>
      <c r="C21" s="88">
        <v>0</v>
      </c>
      <c r="D21" s="67">
        <v>2</v>
      </c>
      <c r="E21" s="67">
        <v>0</v>
      </c>
      <c r="F21" s="67">
        <v>0</v>
      </c>
      <c r="G21" s="67"/>
      <c r="H21" s="21">
        <v>3</v>
      </c>
      <c r="I21" s="21">
        <v>3</v>
      </c>
      <c r="J21" s="67">
        <f t="shared" si="0"/>
        <v>8</v>
      </c>
      <c r="K21" s="21" t="str">
        <f>IF(PERCENTRANK(Table4[Bike Access Score], J21) &lt; 1/5, "1", IF(PERCENTRANK(Table4[Bike Access Score], J21) &lt; 2/5, "2", IF(PERCENTRANK(Table4[Bike Access Score], J21) &lt; 3/5, "3", IF(PERCENTRANK(Table4[Bike Access Score], J21) &lt; 4/5, "4", "5"))))</f>
        <v>2</v>
      </c>
      <c r="L21" s="21" t="str">
        <f>IF(PERCENTRANK(Table4[Bike Access Score], J21) &lt; 1/5, "LOW", IF(PERCENTRANK(Table4[Bike Access Score], J21) &lt; 2/5, "MEDIUM-LOW", IF(PERCENTRANK(Table4[Bike Access Score], J21) &lt; 3/5, "MEDIUM", IF(PERCENTRANK(Table4[Bike Access Score], J21) &lt; 4/5, "MEDIUM-HIGH", "HIGH"))))</f>
        <v>MEDIUM-LOW</v>
      </c>
    </row>
    <row r="22" spans="1:12" x14ac:dyDescent="0.25">
      <c r="A22" s="82" t="s">
        <v>86</v>
      </c>
      <c r="B22" s="83">
        <v>22</v>
      </c>
      <c r="C22" s="88">
        <v>1</v>
      </c>
      <c r="D22" s="67">
        <v>2</v>
      </c>
      <c r="E22" s="67">
        <v>0</v>
      </c>
      <c r="F22" s="67">
        <v>0</v>
      </c>
      <c r="G22" s="67"/>
      <c r="H22" s="21">
        <v>3</v>
      </c>
      <c r="I22" s="21">
        <v>3</v>
      </c>
      <c r="J22" s="67">
        <f t="shared" si="0"/>
        <v>9</v>
      </c>
      <c r="K22" s="21" t="str">
        <f>IF(PERCENTRANK(Table4[Bike Access Score], J22) &lt; 1/5, "1", IF(PERCENTRANK(Table4[Bike Access Score], J22) &lt; 2/5, "2", IF(PERCENTRANK(Table4[Bike Access Score], J22) &lt; 3/5, "3", IF(PERCENTRANK(Table4[Bike Access Score], J22) &lt; 4/5, "4", "5"))))</f>
        <v>2</v>
      </c>
      <c r="L22" s="21" t="str">
        <f>IF(PERCENTRANK(Table4[Bike Access Score], J22) &lt; 1/5, "LOW", IF(PERCENTRANK(Table4[Bike Access Score], J22) &lt; 2/5, "MEDIUM-LOW", IF(PERCENTRANK(Table4[Bike Access Score], J22) &lt; 3/5, "MEDIUM", IF(PERCENTRANK(Table4[Bike Access Score], J22) &lt; 4/5, "MEDIUM-HIGH", "HIGH"))))</f>
        <v>MEDIUM-LOW</v>
      </c>
    </row>
    <row r="23" spans="1:12" x14ac:dyDescent="0.25">
      <c r="A23" s="82" t="s">
        <v>88</v>
      </c>
      <c r="B23" s="83">
        <v>23</v>
      </c>
      <c r="C23" s="88">
        <v>0</v>
      </c>
      <c r="D23" s="67">
        <v>2</v>
      </c>
      <c r="E23" s="67">
        <v>0</v>
      </c>
      <c r="F23" s="67">
        <v>0</v>
      </c>
      <c r="G23" s="67"/>
      <c r="H23" s="21">
        <v>3</v>
      </c>
      <c r="I23" s="21">
        <v>3</v>
      </c>
      <c r="J23" s="67">
        <f t="shared" si="0"/>
        <v>8</v>
      </c>
      <c r="K23" s="21" t="str">
        <f>IF(PERCENTRANK(Table4[Bike Access Score], J23) &lt; 1/5, "1", IF(PERCENTRANK(Table4[Bike Access Score], J23) &lt; 2/5, "2", IF(PERCENTRANK(Table4[Bike Access Score], J23) &lt; 3/5, "3", IF(PERCENTRANK(Table4[Bike Access Score], J23) &lt; 4/5, "4", "5"))))</f>
        <v>2</v>
      </c>
      <c r="L23" s="21" t="str">
        <f>IF(PERCENTRANK(Table4[Bike Access Score], J23) &lt; 1/5, "LOW", IF(PERCENTRANK(Table4[Bike Access Score], J23) &lt; 2/5, "MEDIUM-LOW", IF(PERCENTRANK(Table4[Bike Access Score], J23) &lt; 3/5, "MEDIUM", IF(PERCENTRANK(Table4[Bike Access Score], J23) &lt; 4/5, "MEDIUM-HIGH", "HIGH"))))</f>
        <v>MEDIUM-LOW</v>
      </c>
    </row>
    <row r="24" spans="1:12" x14ac:dyDescent="0.25">
      <c r="A24" s="82" t="s">
        <v>89</v>
      </c>
      <c r="B24" s="83">
        <v>24</v>
      </c>
      <c r="C24" s="88">
        <v>0</v>
      </c>
      <c r="D24" s="67">
        <v>0</v>
      </c>
      <c r="E24" s="67">
        <v>0</v>
      </c>
      <c r="F24" s="67">
        <v>0</v>
      </c>
      <c r="G24" s="67"/>
      <c r="H24" s="21">
        <v>3</v>
      </c>
      <c r="I24" s="21">
        <v>3</v>
      </c>
      <c r="J24" s="67">
        <f t="shared" si="0"/>
        <v>6</v>
      </c>
      <c r="K24" s="21" t="str">
        <f>IF(PERCENTRANK(Table4[Bike Access Score], J24) &lt; 1/5, "1", IF(PERCENTRANK(Table4[Bike Access Score], J24) &lt; 2/5, "2", IF(PERCENTRANK(Table4[Bike Access Score], J24) &lt; 3/5, "3", IF(PERCENTRANK(Table4[Bike Access Score], J24) &lt; 4/5, "4", "5"))))</f>
        <v>1</v>
      </c>
      <c r="L24" s="21" t="str">
        <f>IF(PERCENTRANK(Table4[Bike Access Score], J24) &lt; 1/5, "LOW", IF(PERCENTRANK(Table4[Bike Access Score], J24) &lt; 2/5, "MEDIUM-LOW", IF(PERCENTRANK(Table4[Bike Access Score], J24) &lt; 3/5, "MEDIUM", IF(PERCENTRANK(Table4[Bike Access Score], J24) &lt; 4/5, "MEDIUM-HIGH", "HIGH"))))</f>
        <v>LOW</v>
      </c>
    </row>
    <row r="25" spans="1:12" x14ac:dyDescent="0.25">
      <c r="A25" s="82" t="s">
        <v>91</v>
      </c>
      <c r="B25" s="83">
        <v>25</v>
      </c>
      <c r="C25" s="88">
        <v>1</v>
      </c>
      <c r="D25" s="67">
        <v>2</v>
      </c>
      <c r="E25" s="67">
        <v>0</v>
      </c>
      <c r="F25" s="67">
        <v>0</v>
      </c>
      <c r="G25" s="67"/>
      <c r="H25" s="21">
        <v>3</v>
      </c>
      <c r="I25" s="21">
        <v>3</v>
      </c>
      <c r="J25" s="67">
        <f t="shared" si="0"/>
        <v>9</v>
      </c>
      <c r="K25" s="21" t="str">
        <f>IF(PERCENTRANK(Table4[Bike Access Score], J25) &lt; 1/5, "1", IF(PERCENTRANK(Table4[Bike Access Score], J25) &lt; 2/5, "2", IF(PERCENTRANK(Table4[Bike Access Score], J25) &lt; 3/5, "3", IF(PERCENTRANK(Table4[Bike Access Score], J25) &lt; 4/5, "4", "5"))))</f>
        <v>2</v>
      </c>
      <c r="L25" s="21" t="str">
        <f>IF(PERCENTRANK(Table4[Bike Access Score], J25) &lt; 1/5, "LOW", IF(PERCENTRANK(Table4[Bike Access Score], J25) &lt; 2/5, "MEDIUM-LOW", IF(PERCENTRANK(Table4[Bike Access Score], J25) &lt; 3/5, "MEDIUM", IF(PERCENTRANK(Table4[Bike Access Score], J25) &lt; 4/5, "MEDIUM-HIGH", "HIGH"))))</f>
        <v>MEDIUM-LOW</v>
      </c>
    </row>
    <row r="26" spans="1:12" x14ac:dyDescent="0.25">
      <c r="A26" s="82" t="s">
        <v>93</v>
      </c>
      <c r="B26" s="83">
        <v>26</v>
      </c>
      <c r="C26" s="88">
        <v>0</v>
      </c>
      <c r="D26" s="67">
        <v>2</v>
      </c>
      <c r="E26" s="67">
        <v>0</v>
      </c>
      <c r="F26" s="67">
        <v>0</v>
      </c>
      <c r="G26" s="67"/>
      <c r="H26" s="21">
        <v>3</v>
      </c>
      <c r="I26" s="21">
        <v>3</v>
      </c>
      <c r="J26" s="67">
        <f t="shared" si="0"/>
        <v>8</v>
      </c>
      <c r="K26" s="21" t="str">
        <f>IF(PERCENTRANK(Table4[Bike Access Score], J26) &lt; 1/5, "1", IF(PERCENTRANK(Table4[Bike Access Score], J26) &lt; 2/5, "2", IF(PERCENTRANK(Table4[Bike Access Score], J26) &lt; 3/5, "3", IF(PERCENTRANK(Table4[Bike Access Score], J26) &lt; 4/5, "4", "5"))))</f>
        <v>2</v>
      </c>
      <c r="L26" s="21" t="str">
        <f>IF(PERCENTRANK(Table4[Bike Access Score], J26) &lt; 1/5, "LOW", IF(PERCENTRANK(Table4[Bike Access Score], J26) &lt; 2/5, "MEDIUM-LOW", IF(PERCENTRANK(Table4[Bike Access Score], J26) &lt; 3/5, "MEDIUM", IF(PERCENTRANK(Table4[Bike Access Score], J26) &lt; 4/5, "MEDIUM-HIGH", "HIGH"))))</f>
        <v>MEDIUM-LOW</v>
      </c>
    </row>
    <row r="27" spans="1:12" x14ac:dyDescent="0.25">
      <c r="A27" s="82" t="s">
        <v>94</v>
      </c>
      <c r="B27" s="83">
        <v>27</v>
      </c>
      <c r="C27" s="88">
        <v>0</v>
      </c>
      <c r="D27" s="67">
        <v>2</v>
      </c>
      <c r="E27" s="67">
        <v>0</v>
      </c>
      <c r="F27" s="67">
        <v>5</v>
      </c>
      <c r="G27" s="67"/>
      <c r="H27" s="21">
        <v>5</v>
      </c>
      <c r="I27" s="21">
        <v>5</v>
      </c>
      <c r="J27" s="67">
        <f t="shared" si="0"/>
        <v>17</v>
      </c>
      <c r="K27" s="21" t="str">
        <f>IF(PERCENTRANK(Table4[Bike Access Score], J27) &lt; 1/5, "1", IF(PERCENTRANK(Table4[Bike Access Score], J27) &lt; 2/5, "2", IF(PERCENTRANK(Table4[Bike Access Score], J27) &lt; 3/5, "3", IF(PERCENTRANK(Table4[Bike Access Score], J27) &lt; 4/5, "4", "5"))))</f>
        <v>4</v>
      </c>
      <c r="L27" s="21" t="str">
        <f>IF(PERCENTRANK(Table4[Bike Access Score], J27) &lt; 1/5, "LOW", IF(PERCENTRANK(Table4[Bike Access Score], J27) &lt; 2/5, "MEDIUM-LOW", IF(PERCENTRANK(Table4[Bike Access Score], J27) &lt; 3/5, "MEDIUM", IF(PERCENTRANK(Table4[Bike Access Score], J27) &lt; 4/5, "MEDIUM-HIGH", "HIGH"))))</f>
        <v>MEDIUM-HIGH</v>
      </c>
    </row>
    <row r="28" spans="1:12" x14ac:dyDescent="0.25">
      <c r="A28" s="82" t="s">
        <v>96</v>
      </c>
      <c r="B28" s="83">
        <v>28</v>
      </c>
      <c r="C28" s="88">
        <v>0</v>
      </c>
      <c r="D28" s="67">
        <v>0</v>
      </c>
      <c r="E28" s="67">
        <v>0</v>
      </c>
      <c r="F28" s="67">
        <v>0</v>
      </c>
      <c r="G28" s="67"/>
      <c r="H28" s="21">
        <v>6</v>
      </c>
      <c r="I28" s="21">
        <v>6</v>
      </c>
      <c r="J28" s="67">
        <f t="shared" si="0"/>
        <v>12</v>
      </c>
      <c r="K28" s="21" t="str">
        <f>IF(PERCENTRANK(Table4[Bike Access Score], J28) &lt; 1/5, "1", IF(PERCENTRANK(Table4[Bike Access Score], J28) &lt; 2/5, "2", IF(PERCENTRANK(Table4[Bike Access Score], J28) &lt; 3/5, "3", IF(PERCENTRANK(Table4[Bike Access Score], J28) &lt; 4/5, "4", "5"))))</f>
        <v>3</v>
      </c>
      <c r="L28" s="21" t="str">
        <f>IF(PERCENTRANK(Table4[Bike Access Score], J28) &lt; 1/5, "LOW", IF(PERCENTRANK(Table4[Bike Access Score], J28) &lt; 2/5, "MEDIUM-LOW", IF(PERCENTRANK(Table4[Bike Access Score], J28) &lt; 3/5, "MEDIUM", IF(PERCENTRANK(Table4[Bike Access Score], J28) &lt; 4/5, "MEDIUM-HIGH", "HIGH"))))</f>
        <v>MEDIUM</v>
      </c>
    </row>
    <row r="29" spans="1:12" x14ac:dyDescent="0.25">
      <c r="A29" s="82" t="s">
        <v>98</v>
      </c>
      <c r="B29" s="83">
        <v>29</v>
      </c>
      <c r="C29" s="88">
        <v>0</v>
      </c>
      <c r="D29" s="67">
        <v>0</v>
      </c>
      <c r="E29" s="67">
        <v>0</v>
      </c>
      <c r="F29" s="67">
        <v>5</v>
      </c>
      <c r="G29" s="67"/>
      <c r="H29" s="21">
        <v>6</v>
      </c>
      <c r="I29" s="21">
        <v>6</v>
      </c>
      <c r="J29" s="67">
        <f t="shared" si="0"/>
        <v>17</v>
      </c>
      <c r="K29" s="21" t="str">
        <f>IF(PERCENTRANK(Table4[Bike Access Score], J29) &lt; 1/5, "1", IF(PERCENTRANK(Table4[Bike Access Score], J29) &lt; 2/5, "2", IF(PERCENTRANK(Table4[Bike Access Score], J29) &lt; 3/5, "3", IF(PERCENTRANK(Table4[Bike Access Score], J29) &lt; 4/5, "4", "5"))))</f>
        <v>4</v>
      </c>
      <c r="L29" s="21" t="str">
        <f>IF(PERCENTRANK(Table4[Bike Access Score], J29) &lt; 1/5, "LOW", IF(PERCENTRANK(Table4[Bike Access Score], J29) &lt; 2/5, "MEDIUM-LOW", IF(PERCENTRANK(Table4[Bike Access Score], J29) &lt; 3/5, "MEDIUM", IF(PERCENTRANK(Table4[Bike Access Score], J29) &lt; 4/5, "MEDIUM-HIGH", "HIGH"))))</f>
        <v>MEDIUM-HIGH</v>
      </c>
    </row>
    <row r="30" spans="1:12" x14ac:dyDescent="0.25">
      <c r="A30" s="82" t="s">
        <v>350</v>
      </c>
      <c r="B30" s="83">
        <v>30</v>
      </c>
      <c r="C30" s="88">
        <v>0</v>
      </c>
      <c r="D30" s="67">
        <v>0</v>
      </c>
      <c r="E30" s="67">
        <v>0</v>
      </c>
      <c r="F30" s="67">
        <v>0</v>
      </c>
      <c r="G30" s="67"/>
      <c r="H30" s="21">
        <v>7</v>
      </c>
      <c r="I30" s="21">
        <v>7</v>
      </c>
      <c r="J30" s="67">
        <f t="shared" si="0"/>
        <v>14</v>
      </c>
      <c r="K30" s="21" t="str">
        <f>IF(PERCENTRANK(Table4[Bike Access Score], J30) &lt; 1/5, "1", IF(PERCENTRANK(Table4[Bike Access Score], J30) &lt; 2/5, "2", IF(PERCENTRANK(Table4[Bike Access Score], J30) &lt; 3/5, "3", IF(PERCENTRANK(Table4[Bike Access Score], J30) &lt; 4/5, "4", "5"))))</f>
        <v>3</v>
      </c>
      <c r="L30" s="21" t="str">
        <f>IF(PERCENTRANK(Table4[Bike Access Score], J30) &lt; 1/5, "LOW", IF(PERCENTRANK(Table4[Bike Access Score], J30) &lt; 2/5, "MEDIUM-LOW", IF(PERCENTRANK(Table4[Bike Access Score], J30) &lt; 3/5, "MEDIUM", IF(PERCENTRANK(Table4[Bike Access Score], J30) &lt; 4/5, "MEDIUM-HIGH", "HIGH"))))</f>
        <v>MEDIUM</v>
      </c>
    </row>
    <row r="31" spans="1:12" x14ac:dyDescent="0.25">
      <c r="A31" s="82" t="s">
        <v>267</v>
      </c>
      <c r="B31" s="83">
        <v>31</v>
      </c>
      <c r="C31" s="88">
        <v>0</v>
      </c>
      <c r="D31" s="67">
        <v>0</v>
      </c>
      <c r="E31" s="67">
        <v>0</v>
      </c>
      <c r="F31" s="67">
        <v>0</v>
      </c>
      <c r="G31" s="67"/>
      <c r="H31" s="21">
        <v>10</v>
      </c>
      <c r="I31" s="21">
        <v>10</v>
      </c>
      <c r="J31" s="67">
        <f t="shared" si="0"/>
        <v>20</v>
      </c>
      <c r="K31" s="21" t="str">
        <f>IF(PERCENTRANK(Table4[Bike Access Score], J31) &lt; 1/5, "1", IF(PERCENTRANK(Table4[Bike Access Score], J31) &lt; 2/5, "2", IF(PERCENTRANK(Table4[Bike Access Score], J31) &lt; 3/5, "3", IF(PERCENTRANK(Table4[Bike Access Score], J31) &lt; 4/5, "4", "5"))))</f>
        <v>4</v>
      </c>
      <c r="L31" s="21" t="str">
        <f>IF(PERCENTRANK(Table4[Bike Access Score], J31) &lt; 1/5, "LOW", IF(PERCENTRANK(Table4[Bike Access Score], J31) &lt; 2/5, "MEDIUM-LOW", IF(PERCENTRANK(Table4[Bike Access Score], J31) &lt; 3/5, "MEDIUM", IF(PERCENTRANK(Table4[Bike Access Score], J31) &lt; 4/5, "MEDIUM-HIGH", "HIGH"))))</f>
        <v>MEDIUM-HIGH</v>
      </c>
    </row>
    <row r="32" spans="1:12" x14ac:dyDescent="0.25">
      <c r="A32" s="82" t="s">
        <v>104</v>
      </c>
      <c r="B32" s="83">
        <v>32</v>
      </c>
      <c r="C32" s="88">
        <v>0</v>
      </c>
      <c r="D32" s="67">
        <v>0</v>
      </c>
      <c r="E32" s="67">
        <v>0</v>
      </c>
      <c r="F32" s="67">
        <v>4</v>
      </c>
      <c r="G32" s="67"/>
      <c r="H32" s="21">
        <v>10</v>
      </c>
      <c r="I32" s="21">
        <v>10</v>
      </c>
      <c r="J32" s="67">
        <f t="shared" si="0"/>
        <v>24</v>
      </c>
      <c r="K32" s="21" t="str">
        <f>IF(PERCENTRANK(Table4[Bike Access Score], J32) &lt; 1/5, "1", IF(PERCENTRANK(Table4[Bike Access Score], J32) &lt; 2/5, "2", IF(PERCENTRANK(Table4[Bike Access Score], J32) &lt; 3/5, "3", IF(PERCENTRANK(Table4[Bike Access Score], J32) &lt; 4/5, "4", "5"))))</f>
        <v>5</v>
      </c>
      <c r="L32" s="21" t="str">
        <f>IF(PERCENTRANK(Table4[Bike Access Score], J32) &lt; 1/5, "LOW", IF(PERCENTRANK(Table4[Bike Access Score], J32) &lt; 2/5, "MEDIUM-LOW", IF(PERCENTRANK(Table4[Bike Access Score], J32) &lt; 3/5, "MEDIUM", IF(PERCENTRANK(Table4[Bike Access Score], J32) &lt; 4/5, "MEDIUM-HIGH", "HIGH"))))</f>
        <v>HIGH</v>
      </c>
    </row>
    <row r="33" spans="1:12" x14ac:dyDescent="0.25">
      <c r="A33" s="82" t="s">
        <v>105</v>
      </c>
      <c r="B33" s="83">
        <v>33</v>
      </c>
      <c r="C33" s="88">
        <v>0</v>
      </c>
      <c r="D33" s="67">
        <v>0</v>
      </c>
      <c r="E33" s="67">
        <v>0</v>
      </c>
      <c r="F33" s="67">
        <v>0</v>
      </c>
      <c r="G33" s="67"/>
      <c r="H33" s="21">
        <v>8</v>
      </c>
      <c r="I33" s="21">
        <v>8</v>
      </c>
      <c r="J33" s="67">
        <f t="shared" si="0"/>
        <v>16</v>
      </c>
      <c r="K33" s="21" t="str">
        <f>IF(PERCENTRANK(Table4[Bike Access Score], J33) &lt; 1/5, "1", IF(PERCENTRANK(Table4[Bike Access Score], J33) &lt; 2/5, "2", IF(PERCENTRANK(Table4[Bike Access Score], J33) &lt; 3/5, "3", IF(PERCENTRANK(Table4[Bike Access Score], J33) &lt; 4/5, "4", "5"))))</f>
        <v>4</v>
      </c>
      <c r="L33" s="21" t="str">
        <f>IF(PERCENTRANK(Table4[Bike Access Score], J33) &lt; 1/5, "LOW", IF(PERCENTRANK(Table4[Bike Access Score], J33) &lt; 2/5, "MEDIUM-LOW", IF(PERCENTRANK(Table4[Bike Access Score], J33) &lt; 3/5, "MEDIUM", IF(PERCENTRANK(Table4[Bike Access Score], J33) &lt; 4/5, "MEDIUM-HIGH", "HIGH"))))</f>
        <v>MEDIUM-HIGH</v>
      </c>
    </row>
    <row r="34" spans="1:12" x14ac:dyDescent="0.25">
      <c r="A34" s="82" t="s">
        <v>107</v>
      </c>
      <c r="B34" s="83">
        <v>34</v>
      </c>
      <c r="C34" s="88">
        <v>0</v>
      </c>
      <c r="D34" s="67">
        <v>0</v>
      </c>
      <c r="E34" s="67">
        <v>0</v>
      </c>
      <c r="F34" s="67">
        <v>3</v>
      </c>
      <c r="G34" s="67"/>
      <c r="H34" s="21">
        <v>9</v>
      </c>
      <c r="I34" s="21">
        <v>9</v>
      </c>
      <c r="J34" s="67">
        <f t="shared" ref="J34:J65" si="1">SUM(C34:I34)</f>
        <v>21</v>
      </c>
      <c r="K34" s="21" t="str">
        <f>IF(PERCENTRANK(Table4[Bike Access Score], J34) &lt; 1/5, "1", IF(PERCENTRANK(Table4[Bike Access Score], J34) &lt; 2/5, "2", IF(PERCENTRANK(Table4[Bike Access Score], J34) &lt; 3/5, "3", IF(PERCENTRANK(Table4[Bike Access Score], J34) &lt; 4/5, "4", "5"))))</f>
        <v>4</v>
      </c>
      <c r="L34" s="21" t="str">
        <f>IF(PERCENTRANK(Table4[Bike Access Score], J34) &lt; 1/5, "LOW", IF(PERCENTRANK(Table4[Bike Access Score], J34) &lt; 2/5, "MEDIUM-LOW", IF(PERCENTRANK(Table4[Bike Access Score], J34) &lt; 3/5, "MEDIUM", IF(PERCENTRANK(Table4[Bike Access Score], J34) &lt; 4/5, "MEDIUM-HIGH", "HIGH"))))</f>
        <v>MEDIUM-HIGH</v>
      </c>
    </row>
    <row r="35" spans="1:12" x14ac:dyDescent="0.25">
      <c r="A35" s="82" t="s">
        <v>268</v>
      </c>
      <c r="B35" s="83">
        <v>35</v>
      </c>
      <c r="C35" s="88">
        <v>0</v>
      </c>
      <c r="D35" s="67">
        <v>2</v>
      </c>
      <c r="E35" s="67">
        <v>0</v>
      </c>
      <c r="F35" s="67">
        <v>0</v>
      </c>
      <c r="G35" s="67"/>
      <c r="H35" s="21">
        <v>8</v>
      </c>
      <c r="I35" s="21">
        <v>8</v>
      </c>
      <c r="J35" s="67">
        <f t="shared" si="1"/>
        <v>18</v>
      </c>
      <c r="K35" s="21" t="str">
        <f>IF(PERCENTRANK(Table4[Bike Access Score], J35) &lt; 1/5, "1", IF(PERCENTRANK(Table4[Bike Access Score], J35) &lt; 2/5, "2", IF(PERCENTRANK(Table4[Bike Access Score], J35) &lt; 3/5, "3", IF(PERCENTRANK(Table4[Bike Access Score], J35) &lt; 4/5, "4", "5"))))</f>
        <v>4</v>
      </c>
      <c r="L35" s="21" t="str">
        <f>IF(PERCENTRANK(Table4[Bike Access Score], J35) &lt; 1/5, "LOW", IF(PERCENTRANK(Table4[Bike Access Score], J35) &lt; 2/5, "MEDIUM-LOW", IF(PERCENTRANK(Table4[Bike Access Score], J35) &lt; 3/5, "MEDIUM", IF(PERCENTRANK(Table4[Bike Access Score], J35) &lt; 4/5, "MEDIUM-HIGH", "HIGH"))))</f>
        <v>MEDIUM-HIGH</v>
      </c>
    </row>
    <row r="36" spans="1:12" x14ac:dyDescent="0.25">
      <c r="A36" s="82" t="s">
        <v>111</v>
      </c>
      <c r="B36" s="83">
        <v>36</v>
      </c>
      <c r="C36" s="88">
        <v>0</v>
      </c>
      <c r="D36" s="67">
        <v>2</v>
      </c>
      <c r="E36" s="67">
        <v>0</v>
      </c>
      <c r="F36" s="67">
        <v>0</v>
      </c>
      <c r="G36" s="67"/>
      <c r="H36" s="21">
        <v>6</v>
      </c>
      <c r="I36" s="21">
        <v>6</v>
      </c>
      <c r="J36" s="67">
        <f t="shared" si="1"/>
        <v>14</v>
      </c>
      <c r="K36" s="21" t="str">
        <f>IF(PERCENTRANK(Table4[Bike Access Score], J36) &lt; 1/5, "1", IF(PERCENTRANK(Table4[Bike Access Score], J36) &lt; 2/5, "2", IF(PERCENTRANK(Table4[Bike Access Score], J36) &lt; 3/5, "3", IF(PERCENTRANK(Table4[Bike Access Score], J36) &lt; 4/5, "4", "5"))))</f>
        <v>3</v>
      </c>
      <c r="L36" s="21" t="str">
        <f>IF(PERCENTRANK(Table4[Bike Access Score], J36) &lt; 1/5, "LOW", IF(PERCENTRANK(Table4[Bike Access Score], J36) &lt; 2/5, "MEDIUM-LOW", IF(PERCENTRANK(Table4[Bike Access Score], J36) &lt; 3/5, "MEDIUM", IF(PERCENTRANK(Table4[Bike Access Score], J36) &lt; 4/5, "MEDIUM-HIGH", "HIGH"))))</f>
        <v>MEDIUM</v>
      </c>
    </row>
    <row r="37" spans="1:12" x14ac:dyDescent="0.25">
      <c r="A37" s="82" t="s">
        <v>113</v>
      </c>
      <c r="B37" s="83">
        <v>37</v>
      </c>
      <c r="C37" s="88">
        <v>0</v>
      </c>
      <c r="D37" s="67">
        <v>3</v>
      </c>
      <c r="E37" s="67">
        <v>0</v>
      </c>
      <c r="F37" s="67">
        <v>4</v>
      </c>
      <c r="G37" s="67"/>
      <c r="H37" s="21">
        <v>4</v>
      </c>
      <c r="I37" s="21">
        <v>4</v>
      </c>
      <c r="J37" s="67">
        <f t="shared" si="1"/>
        <v>15</v>
      </c>
      <c r="K37" s="21" t="str">
        <f>IF(PERCENTRANK(Table4[Bike Access Score], J37) &lt; 1/5, "1", IF(PERCENTRANK(Table4[Bike Access Score], J37) &lt; 2/5, "2", IF(PERCENTRANK(Table4[Bike Access Score], J37) &lt; 3/5, "3", IF(PERCENTRANK(Table4[Bike Access Score], J37) &lt; 4/5, "4", "5"))))</f>
        <v>3</v>
      </c>
      <c r="L37" s="21" t="str">
        <f>IF(PERCENTRANK(Table4[Bike Access Score], J37) &lt; 1/5, "LOW", IF(PERCENTRANK(Table4[Bike Access Score], J37) &lt; 2/5, "MEDIUM-LOW", IF(PERCENTRANK(Table4[Bike Access Score], J37) &lt; 3/5, "MEDIUM", IF(PERCENTRANK(Table4[Bike Access Score], J37) &lt; 4/5, "MEDIUM-HIGH", "HIGH"))))</f>
        <v>MEDIUM</v>
      </c>
    </row>
    <row r="38" spans="1:12" x14ac:dyDescent="0.25">
      <c r="A38" s="82" t="s">
        <v>114</v>
      </c>
      <c r="B38" s="83">
        <v>38</v>
      </c>
      <c r="C38" s="88">
        <v>0</v>
      </c>
      <c r="D38" s="67">
        <v>0</v>
      </c>
      <c r="E38" s="67">
        <v>0</v>
      </c>
      <c r="F38" s="67">
        <v>0</v>
      </c>
      <c r="G38" s="67"/>
      <c r="H38" s="21">
        <v>4</v>
      </c>
      <c r="I38" s="21">
        <v>4</v>
      </c>
      <c r="J38" s="67">
        <f t="shared" si="1"/>
        <v>8</v>
      </c>
      <c r="K38" s="21" t="str">
        <f>IF(PERCENTRANK(Table4[Bike Access Score], J38) &lt; 1/5, "1", IF(PERCENTRANK(Table4[Bike Access Score], J38) &lt; 2/5, "2", IF(PERCENTRANK(Table4[Bike Access Score], J38) &lt; 3/5, "3", IF(PERCENTRANK(Table4[Bike Access Score], J38) &lt; 4/5, "4", "5"))))</f>
        <v>2</v>
      </c>
      <c r="L38" s="21" t="str">
        <f>IF(PERCENTRANK(Table4[Bike Access Score], J38) &lt; 1/5, "LOW", IF(PERCENTRANK(Table4[Bike Access Score], J38) &lt; 2/5, "MEDIUM-LOW", IF(PERCENTRANK(Table4[Bike Access Score], J38) &lt; 3/5, "MEDIUM", IF(PERCENTRANK(Table4[Bike Access Score], J38) &lt; 4/5, "MEDIUM-HIGH", "HIGH"))))</f>
        <v>MEDIUM-LOW</v>
      </c>
    </row>
    <row r="39" spans="1:12" x14ac:dyDescent="0.25">
      <c r="A39" s="82" t="s">
        <v>115</v>
      </c>
      <c r="B39" s="83">
        <v>39</v>
      </c>
      <c r="C39" s="88">
        <v>1</v>
      </c>
      <c r="D39" s="67">
        <v>3</v>
      </c>
      <c r="E39" s="67">
        <v>0</v>
      </c>
      <c r="F39" s="67">
        <v>0</v>
      </c>
      <c r="G39" s="67"/>
      <c r="H39" s="21">
        <v>7</v>
      </c>
      <c r="I39" s="21">
        <v>7</v>
      </c>
      <c r="J39" s="67">
        <f t="shared" si="1"/>
        <v>18</v>
      </c>
      <c r="K39" s="21" t="str">
        <f>IF(PERCENTRANK(Table4[Bike Access Score], J39) &lt; 1/5, "1", IF(PERCENTRANK(Table4[Bike Access Score], J39) &lt; 2/5, "2", IF(PERCENTRANK(Table4[Bike Access Score], J39) &lt; 3/5, "3", IF(PERCENTRANK(Table4[Bike Access Score], J39) &lt; 4/5, "4", "5"))))</f>
        <v>4</v>
      </c>
      <c r="L39" s="21" t="str">
        <f>IF(PERCENTRANK(Table4[Bike Access Score], J39) &lt; 1/5, "LOW", IF(PERCENTRANK(Table4[Bike Access Score], J39) &lt; 2/5, "MEDIUM-LOW", IF(PERCENTRANK(Table4[Bike Access Score], J39) &lt; 3/5, "MEDIUM", IF(PERCENTRANK(Table4[Bike Access Score], J39) &lt; 4/5, "MEDIUM-HIGH", "HIGH"))))</f>
        <v>MEDIUM-HIGH</v>
      </c>
    </row>
    <row r="40" spans="1:12" x14ac:dyDescent="0.25">
      <c r="A40" s="82" t="s">
        <v>117</v>
      </c>
      <c r="B40" s="83">
        <v>40</v>
      </c>
      <c r="C40" s="88">
        <v>1</v>
      </c>
      <c r="D40" s="67">
        <v>0</v>
      </c>
      <c r="E40" s="67">
        <v>0</v>
      </c>
      <c r="F40" s="67">
        <v>0</v>
      </c>
      <c r="G40" s="67">
        <v>4</v>
      </c>
      <c r="H40" s="21">
        <v>2</v>
      </c>
      <c r="I40" s="21">
        <v>2</v>
      </c>
      <c r="J40" s="67">
        <f t="shared" si="1"/>
        <v>9</v>
      </c>
      <c r="K40" s="21" t="str">
        <f>IF(PERCENTRANK(Table4[Bike Access Score], J40) &lt; 1/5, "1", IF(PERCENTRANK(Table4[Bike Access Score], J40) &lt; 2/5, "2", IF(PERCENTRANK(Table4[Bike Access Score], J40) &lt; 3/5, "3", IF(PERCENTRANK(Table4[Bike Access Score], J40) &lt; 4/5, "4", "5"))))</f>
        <v>2</v>
      </c>
      <c r="L40" s="21" t="str">
        <f>IF(PERCENTRANK(Table4[Bike Access Score], J40) &lt; 1/5, "LOW", IF(PERCENTRANK(Table4[Bike Access Score], J40) &lt; 2/5, "MEDIUM-LOW", IF(PERCENTRANK(Table4[Bike Access Score], J40) &lt; 3/5, "MEDIUM", IF(PERCENTRANK(Table4[Bike Access Score], J40) &lt; 4/5, "MEDIUM-HIGH", "HIGH"))))</f>
        <v>MEDIUM-LOW</v>
      </c>
    </row>
    <row r="41" spans="1:12" x14ac:dyDescent="0.25">
      <c r="A41" s="82" t="s">
        <v>119</v>
      </c>
      <c r="B41" s="83">
        <v>41</v>
      </c>
      <c r="C41" s="88">
        <v>1</v>
      </c>
      <c r="D41" s="67">
        <v>2</v>
      </c>
      <c r="E41" s="67">
        <v>0</v>
      </c>
      <c r="F41" s="67">
        <v>0</v>
      </c>
      <c r="G41" s="67"/>
      <c r="H41" s="21">
        <v>6</v>
      </c>
      <c r="I41" s="21">
        <v>6</v>
      </c>
      <c r="J41" s="67">
        <f t="shared" si="1"/>
        <v>15</v>
      </c>
      <c r="K41" s="21" t="str">
        <f>IF(PERCENTRANK(Table4[Bike Access Score], J41) &lt; 1/5, "1", IF(PERCENTRANK(Table4[Bike Access Score], J41) &lt; 2/5, "2", IF(PERCENTRANK(Table4[Bike Access Score], J41) &lt; 3/5, "3", IF(PERCENTRANK(Table4[Bike Access Score], J41) &lt; 4/5, "4", "5"))))</f>
        <v>3</v>
      </c>
      <c r="L41" s="21" t="str">
        <f>IF(PERCENTRANK(Table4[Bike Access Score], J41) &lt; 1/5, "LOW", IF(PERCENTRANK(Table4[Bike Access Score], J41) &lt; 2/5, "MEDIUM-LOW", IF(PERCENTRANK(Table4[Bike Access Score], J41) &lt; 3/5, "MEDIUM", IF(PERCENTRANK(Table4[Bike Access Score], J41) &lt; 4/5, "MEDIUM-HIGH", "HIGH"))))</f>
        <v>MEDIUM</v>
      </c>
    </row>
    <row r="42" spans="1:12" x14ac:dyDescent="0.25">
      <c r="A42" s="82" t="s">
        <v>121</v>
      </c>
      <c r="B42" s="83">
        <v>42</v>
      </c>
      <c r="C42" s="88">
        <v>0</v>
      </c>
      <c r="D42" s="67">
        <v>2</v>
      </c>
      <c r="E42" s="67">
        <v>0</v>
      </c>
      <c r="F42" s="67">
        <v>5</v>
      </c>
      <c r="G42" s="67"/>
      <c r="H42" s="21">
        <v>6</v>
      </c>
      <c r="I42" s="21">
        <v>6</v>
      </c>
      <c r="J42" s="67">
        <f t="shared" si="1"/>
        <v>19</v>
      </c>
      <c r="K42" s="21" t="str">
        <f>IF(PERCENTRANK(Table4[Bike Access Score], J42) &lt; 1/5, "1", IF(PERCENTRANK(Table4[Bike Access Score], J42) &lt; 2/5, "2", IF(PERCENTRANK(Table4[Bike Access Score], J42) &lt; 3/5, "3", IF(PERCENTRANK(Table4[Bike Access Score], J42) &lt; 4/5, "4", "5"))))</f>
        <v>4</v>
      </c>
      <c r="L42" s="21" t="str">
        <f>IF(PERCENTRANK(Table4[Bike Access Score], J42) &lt; 1/5, "LOW", IF(PERCENTRANK(Table4[Bike Access Score], J42) &lt; 2/5, "MEDIUM-LOW", IF(PERCENTRANK(Table4[Bike Access Score], J42) &lt; 3/5, "MEDIUM", IF(PERCENTRANK(Table4[Bike Access Score], J42) &lt; 4/5, "MEDIUM-HIGH", "HIGH"))))</f>
        <v>MEDIUM-HIGH</v>
      </c>
    </row>
    <row r="43" spans="1:12" x14ac:dyDescent="0.25">
      <c r="A43" s="82" t="s">
        <v>123</v>
      </c>
      <c r="B43" s="83">
        <v>43</v>
      </c>
      <c r="C43" s="88">
        <v>0</v>
      </c>
      <c r="D43" s="67">
        <v>0</v>
      </c>
      <c r="E43" s="67">
        <v>0</v>
      </c>
      <c r="F43" s="67">
        <v>0</v>
      </c>
      <c r="G43" s="67">
        <v>3</v>
      </c>
      <c r="H43" s="21">
        <v>3</v>
      </c>
      <c r="I43" s="21">
        <v>3</v>
      </c>
      <c r="J43" s="67">
        <f t="shared" si="1"/>
        <v>9</v>
      </c>
      <c r="K43" s="21" t="str">
        <f>IF(PERCENTRANK(Table4[Bike Access Score], J43) &lt; 1/5, "1", IF(PERCENTRANK(Table4[Bike Access Score], J43) &lt; 2/5, "2", IF(PERCENTRANK(Table4[Bike Access Score], J43) &lt; 3/5, "3", IF(PERCENTRANK(Table4[Bike Access Score], J43) &lt; 4/5, "4", "5"))))</f>
        <v>2</v>
      </c>
      <c r="L43" s="21" t="str">
        <f>IF(PERCENTRANK(Table4[Bike Access Score], J43) &lt; 1/5, "LOW", IF(PERCENTRANK(Table4[Bike Access Score], J43) &lt; 2/5, "MEDIUM-LOW", IF(PERCENTRANK(Table4[Bike Access Score], J43) &lt; 3/5, "MEDIUM", IF(PERCENTRANK(Table4[Bike Access Score], J43) &lt; 4/5, "MEDIUM-HIGH", "HIGH"))))</f>
        <v>MEDIUM-LOW</v>
      </c>
    </row>
    <row r="44" spans="1:12" x14ac:dyDescent="0.25">
      <c r="A44" s="82" t="s">
        <v>124</v>
      </c>
      <c r="B44" s="83">
        <v>44</v>
      </c>
      <c r="C44" s="88">
        <v>0</v>
      </c>
      <c r="D44" s="67">
        <v>0</v>
      </c>
      <c r="E44" s="67">
        <v>0</v>
      </c>
      <c r="F44" s="67">
        <v>0</v>
      </c>
      <c r="G44" s="67"/>
      <c r="H44" s="21">
        <v>2</v>
      </c>
      <c r="I44" s="21">
        <v>2</v>
      </c>
      <c r="J44" s="67">
        <f t="shared" si="1"/>
        <v>4</v>
      </c>
      <c r="K44" s="21" t="str">
        <f>IF(PERCENTRANK(Table4[Bike Access Score], J44) &lt; 1/5, "1", IF(PERCENTRANK(Table4[Bike Access Score], J44) &lt; 2/5, "2", IF(PERCENTRANK(Table4[Bike Access Score], J44) &lt; 3/5, "3", IF(PERCENTRANK(Table4[Bike Access Score], J44) &lt; 4/5, "4", "5"))))</f>
        <v>1</v>
      </c>
      <c r="L44" s="21" t="str">
        <f>IF(PERCENTRANK(Table4[Bike Access Score], J44) &lt; 1/5, "LOW", IF(PERCENTRANK(Table4[Bike Access Score], J44) &lt; 2/5, "MEDIUM-LOW", IF(PERCENTRANK(Table4[Bike Access Score], J44) &lt; 3/5, "MEDIUM", IF(PERCENTRANK(Table4[Bike Access Score], J44) &lt; 4/5, "MEDIUM-HIGH", "HIGH"))))</f>
        <v>LOW</v>
      </c>
    </row>
    <row r="45" spans="1:12" x14ac:dyDescent="0.25">
      <c r="A45" s="82" t="s">
        <v>125</v>
      </c>
      <c r="B45" s="83">
        <v>45</v>
      </c>
      <c r="C45" s="88">
        <v>0</v>
      </c>
      <c r="D45" s="67">
        <v>0</v>
      </c>
      <c r="E45" s="67">
        <v>0</v>
      </c>
      <c r="F45" s="67">
        <v>0</v>
      </c>
      <c r="G45" s="67"/>
      <c r="H45" s="21">
        <v>1</v>
      </c>
      <c r="I45" s="21">
        <v>1</v>
      </c>
      <c r="J45" s="67">
        <f t="shared" si="1"/>
        <v>2</v>
      </c>
      <c r="K45" s="21" t="str">
        <f>IF(PERCENTRANK(Table4[Bike Access Score], J45) &lt; 1/5, "1", IF(PERCENTRANK(Table4[Bike Access Score], J45) &lt; 2/5, "2", IF(PERCENTRANK(Table4[Bike Access Score], J45) &lt; 3/5, "3", IF(PERCENTRANK(Table4[Bike Access Score], J45) &lt; 4/5, "4", "5"))))</f>
        <v>1</v>
      </c>
      <c r="L45" s="21" t="str">
        <f>IF(PERCENTRANK(Table4[Bike Access Score], J45) &lt; 1/5, "LOW", IF(PERCENTRANK(Table4[Bike Access Score], J45) &lt; 2/5, "MEDIUM-LOW", IF(PERCENTRANK(Table4[Bike Access Score], J45) &lt; 3/5, "MEDIUM", IF(PERCENTRANK(Table4[Bike Access Score], J45) &lt; 4/5, "MEDIUM-HIGH", "HIGH"))))</f>
        <v>LOW</v>
      </c>
    </row>
    <row r="46" spans="1:12" x14ac:dyDescent="0.25">
      <c r="A46" s="82" t="s">
        <v>126</v>
      </c>
      <c r="B46" s="83">
        <v>46</v>
      </c>
      <c r="C46" s="88">
        <v>0</v>
      </c>
      <c r="D46" s="67">
        <v>0</v>
      </c>
      <c r="E46" s="67">
        <v>0</v>
      </c>
      <c r="F46" s="67">
        <v>0</v>
      </c>
      <c r="G46" s="67"/>
      <c r="H46" s="21">
        <v>4</v>
      </c>
      <c r="I46" s="21">
        <v>4</v>
      </c>
      <c r="J46" s="67">
        <f t="shared" si="1"/>
        <v>8</v>
      </c>
      <c r="K46" s="21" t="str">
        <f>IF(PERCENTRANK(Table4[Bike Access Score], J46) &lt; 1/5, "1", IF(PERCENTRANK(Table4[Bike Access Score], J46) &lt; 2/5, "2", IF(PERCENTRANK(Table4[Bike Access Score], J46) &lt; 3/5, "3", IF(PERCENTRANK(Table4[Bike Access Score], J46) &lt; 4/5, "4", "5"))))</f>
        <v>2</v>
      </c>
      <c r="L46" s="21" t="str">
        <f>IF(PERCENTRANK(Table4[Bike Access Score], J46) &lt; 1/5, "LOW", IF(PERCENTRANK(Table4[Bike Access Score], J46) &lt; 2/5, "MEDIUM-LOW", IF(PERCENTRANK(Table4[Bike Access Score], J46) &lt; 3/5, "MEDIUM", IF(PERCENTRANK(Table4[Bike Access Score], J46) &lt; 4/5, "MEDIUM-HIGH", "HIGH"))))</f>
        <v>MEDIUM-LOW</v>
      </c>
    </row>
    <row r="47" spans="1:12" x14ac:dyDescent="0.25">
      <c r="A47" s="82" t="s">
        <v>127</v>
      </c>
      <c r="B47" s="83">
        <v>47</v>
      </c>
      <c r="C47" s="88">
        <v>0</v>
      </c>
      <c r="D47" s="67">
        <v>0</v>
      </c>
      <c r="E47" s="67">
        <v>0</v>
      </c>
      <c r="F47" s="67">
        <v>0</v>
      </c>
      <c r="G47" s="67"/>
      <c r="H47" s="21">
        <v>1</v>
      </c>
      <c r="I47" s="21">
        <v>1</v>
      </c>
      <c r="J47" s="67">
        <f t="shared" si="1"/>
        <v>2</v>
      </c>
      <c r="K47" s="21" t="str">
        <f>IF(PERCENTRANK(Table4[Bike Access Score], J47) &lt; 1/5, "1", IF(PERCENTRANK(Table4[Bike Access Score], J47) &lt; 2/5, "2", IF(PERCENTRANK(Table4[Bike Access Score], J47) &lt; 3/5, "3", IF(PERCENTRANK(Table4[Bike Access Score], J47) &lt; 4/5, "4", "5"))))</f>
        <v>1</v>
      </c>
      <c r="L47" s="21" t="str">
        <f>IF(PERCENTRANK(Table4[Bike Access Score], J47) &lt; 1/5, "LOW", IF(PERCENTRANK(Table4[Bike Access Score], J47) &lt; 2/5, "MEDIUM-LOW", IF(PERCENTRANK(Table4[Bike Access Score], J47) &lt; 3/5, "MEDIUM", IF(PERCENTRANK(Table4[Bike Access Score], J47) &lt; 4/5, "MEDIUM-HIGH", "HIGH"))))</f>
        <v>LOW</v>
      </c>
    </row>
    <row r="48" spans="1:12" x14ac:dyDescent="0.25">
      <c r="A48" s="82" t="s">
        <v>128</v>
      </c>
      <c r="B48" s="83">
        <v>48</v>
      </c>
      <c r="C48" s="88">
        <v>0</v>
      </c>
      <c r="D48" s="67">
        <v>0</v>
      </c>
      <c r="E48" s="67">
        <v>0</v>
      </c>
      <c r="F48" s="67">
        <v>0</v>
      </c>
      <c r="G48" s="67"/>
      <c r="H48" s="21">
        <v>5</v>
      </c>
      <c r="I48" s="21">
        <v>5</v>
      </c>
      <c r="J48" s="67">
        <f t="shared" si="1"/>
        <v>10</v>
      </c>
      <c r="K48" s="21" t="str">
        <f>IF(PERCENTRANK(Table4[Bike Access Score], J48) &lt; 1/5, "1", IF(PERCENTRANK(Table4[Bike Access Score], J48) &lt; 2/5, "2", IF(PERCENTRANK(Table4[Bike Access Score], J48) &lt; 3/5, "3", IF(PERCENTRANK(Table4[Bike Access Score], J48) &lt; 4/5, "4", "5"))))</f>
        <v>3</v>
      </c>
      <c r="L48" s="21" t="str">
        <f>IF(PERCENTRANK(Table4[Bike Access Score], J48) &lt; 1/5, "LOW", IF(PERCENTRANK(Table4[Bike Access Score], J48) &lt; 2/5, "MEDIUM-LOW", IF(PERCENTRANK(Table4[Bike Access Score], J48) &lt; 3/5, "MEDIUM", IF(PERCENTRANK(Table4[Bike Access Score], J48) &lt; 4/5, "MEDIUM-HIGH", "HIGH"))))</f>
        <v>MEDIUM</v>
      </c>
    </row>
    <row r="49" spans="1:12" x14ac:dyDescent="0.25">
      <c r="A49" s="82" t="s">
        <v>130</v>
      </c>
      <c r="B49" s="83">
        <v>49</v>
      </c>
      <c r="C49" s="88">
        <v>0</v>
      </c>
      <c r="D49" s="67">
        <v>1</v>
      </c>
      <c r="E49" s="67">
        <v>0</v>
      </c>
      <c r="F49" s="67">
        <v>0</v>
      </c>
      <c r="G49" s="67"/>
      <c r="H49" s="21">
        <v>2</v>
      </c>
      <c r="I49" s="21">
        <v>2</v>
      </c>
      <c r="J49" s="67">
        <f t="shared" si="1"/>
        <v>5</v>
      </c>
      <c r="K49" s="21" t="str">
        <f>IF(PERCENTRANK(Table4[Bike Access Score], J49) &lt; 1/5, "1", IF(PERCENTRANK(Table4[Bike Access Score], J49) &lt; 2/5, "2", IF(PERCENTRANK(Table4[Bike Access Score], J49) &lt; 3/5, "3", IF(PERCENTRANK(Table4[Bike Access Score], J49) &lt; 4/5, "4", "5"))))</f>
        <v>1</v>
      </c>
      <c r="L49" s="21" t="str">
        <f>IF(PERCENTRANK(Table4[Bike Access Score], J49) &lt; 1/5, "LOW", IF(PERCENTRANK(Table4[Bike Access Score], J49) &lt; 2/5, "MEDIUM-LOW", IF(PERCENTRANK(Table4[Bike Access Score], J49) &lt; 3/5, "MEDIUM", IF(PERCENTRANK(Table4[Bike Access Score], J49) &lt; 4/5, "MEDIUM-HIGH", "HIGH"))))</f>
        <v>LOW</v>
      </c>
    </row>
    <row r="50" spans="1:12" x14ac:dyDescent="0.25">
      <c r="A50" s="82" t="s">
        <v>135</v>
      </c>
      <c r="B50" s="83">
        <v>50</v>
      </c>
      <c r="C50" s="88">
        <v>0</v>
      </c>
      <c r="D50" s="67">
        <v>3</v>
      </c>
      <c r="E50" s="67">
        <v>0</v>
      </c>
      <c r="F50" s="67">
        <v>0</v>
      </c>
      <c r="G50" s="67"/>
      <c r="H50" s="21">
        <v>2</v>
      </c>
      <c r="I50" s="21">
        <v>2</v>
      </c>
      <c r="J50" s="67">
        <f t="shared" si="1"/>
        <v>7</v>
      </c>
      <c r="K50" s="21" t="str">
        <f>IF(PERCENTRANK(Table4[Bike Access Score], J50) &lt; 1/5, "1", IF(PERCENTRANK(Table4[Bike Access Score], J50) &lt; 2/5, "2", IF(PERCENTRANK(Table4[Bike Access Score], J50) &lt; 3/5, "3", IF(PERCENTRANK(Table4[Bike Access Score], J50) &lt; 4/5, "4", "5"))))</f>
        <v>2</v>
      </c>
      <c r="L50" s="21" t="str">
        <f>IF(PERCENTRANK(Table4[Bike Access Score], J50) &lt; 1/5, "LOW", IF(PERCENTRANK(Table4[Bike Access Score], J50) &lt; 2/5, "MEDIUM-LOW", IF(PERCENTRANK(Table4[Bike Access Score], J50) &lt; 3/5, "MEDIUM", IF(PERCENTRANK(Table4[Bike Access Score], J50) &lt; 4/5, "MEDIUM-HIGH", "HIGH"))))</f>
        <v>MEDIUM-LOW</v>
      </c>
    </row>
    <row r="51" spans="1:12" x14ac:dyDescent="0.25">
      <c r="A51" s="82" t="s">
        <v>140</v>
      </c>
      <c r="B51" s="83">
        <v>51</v>
      </c>
      <c r="C51" s="88">
        <v>0</v>
      </c>
      <c r="D51" s="67">
        <v>1</v>
      </c>
      <c r="E51" s="67">
        <v>0</v>
      </c>
      <c r="F51" s="67">
        <v>0</v>
      </c>
      <c r="G51" s="67"/>
      <c r="H51" s="21">
        <v>3</v>
      </c>
      <c r="I51" s="21">
        <v>3</v>
      </c>
      <c r="J51" s="67">
        <f t="shared" si="1"/>
        <v>7</v>
      </c>
      <c r="K51" s="21" t="str">
        <f>IF(PERCENTRANK(Table4[Bike Access Score], J51) &lt; 1/5, "1", IF(PERCENTRANK(Table4[Bike Access Score], J51) &lt; 2/5, "2", IF(PERCENTRANK(Table4[Bike Access Score], J51) &lt; 3/5, "3", IF(PERCENTRANK(Table4[Bike Access Score], J51) &lt; 4/5, "4", "5"))))</f>
        <v>2</v>
      </c>
      <c r="L51" s="21" t="str">
        <f>IF(PERCENTRANK(Table4[Bike Access Score], J51) &lt; 1/5, "LOW", IF(PERCENTRANK(Table4[Bike Access Score], J51) &lt; 2/5, "MEDIUM-LOW", IF(PERCENTRANK(Table4[Bike Access Score], J51) &lt; 3/5, "MEDIUM", IF(PERCENTRANK(Table4[Bike Access Score], J51) &lt; 4/5, "MEDIUM-HIGH", "HIGH"))))</f>
        <v>MEDIUM-LOW</v>
      </c>
    </row>
    <row r="52" spans="1:12" x14ac:dyDescent="0.25">
      <c r="A52" s="82" t="s">
        <v>143</v>
      </c>
      <c r="B52" s="83">
        <v>52</v>
      </c>
      <c r="C52" s="88">
        <v>0</v>
      </c>
      <c r="D52" s="67">
        <v>0</v>
      </c>
      <c r="E52" s="67">
        <v>0</v>
      </c>
      <c r="F52" s="67">
        <v>0</v>
      </c>
      <c r="G52" s="67">
        <v>1</v>
      </c>
      <c r="H52" s="21">
        <v>1</v>
      </c>
      <c r="I52" s="21">
        <v>1</v>
      </c>
      <c r="J52" s="67">
        <f t="shared" si="1"/>
        <v>3</v>
      </c>
      <c r="K52" s="21" t="str">
        <f>IF(PERCENTRANK(Table4[Bike Access Score], J52) &lt; 1/5, "1", IF(PERCENTRANK(Table4[Bike Access Score], J52) &lt; 2/5, "2", IF(PERCENTRANK(Table4[Bike Access Score], J52) &lt; 3/5, "3", IF(PERCENTRANK(Table4[Bike Access Score], J52) &lt; 4/5, "4", "5"))))</f>
        <v>1</v>
      </c>
      <c r="L52" s="21" t="str">
        <f>IF(PERCENTRANK(Table4[Bike Access Score], J52) &lt; 1/5, "LOW", IF(PERCENTRANK(Table4[Bike Access Score], J52) &lt; 2/5, "MEDIUM-LOW", IF(PERCENTRANK(Table4[Bike Access Score], J52) &lt; 3/5, "MEDIUM", IF(PERCENTRANK(Table4[Bike Access Score], J52) &lt; 4/5, "MEDIUM-HIGH", "HIGH"))))</f>
        <v>LOW</v>
      </c>
    </row>
    <row r="53" spans="1:12" x14ac:dyDescent="0.25">
      <c r="A53" s="82" t="s">
        <v>147</v>
      </c>
      <c r="B53" s="83">
        <v>53</v>
      </c>
      <c r="C53" s="88">
        <v>0</v>
      </c>
      <c r="D53" s="67">
        <v>1</v>
      </c>
      <c r="E53" s="67">
        <v>0</v>
      </c>
      <c r="F53" s="67">
        <v>0.5</v>
      </c>
      <c r="G53" s="67"/>
      <c r="H53" s="21">
        <v>6</v>
      </c>
      <c r="I53" s="21">
        <v>6</v>
      </c>
      <c r="J53" s="67">
        <f t="shared" si="1"/>
        <v>13.5</v>
      </c>
      <c r="K53" s="21" t="str">
        <f>IF(PERCENTRANK(Table4[Bike Access Score], J53) &lt; 1/5, "1", IF(PERCENTRANK(Table4[Bike Access Score], J53) &lt; 2/5, "2", IF(PERCENTRANK(Table4[Bike Access Score], J53) &lt; 3/5, "3", IF(PERCENTRANK(Table4[Bike Access Score], J53) &lt; 4/5, "4", "5"))))</f>
        <v>3</v>
      </c>
      <c r="L53" s="21" t="str">
        <f>IF(PERCENTRANK(Table4[Bike Access Score], J53) &lt; 1/5, "LOW", IF(PERCENTRANK(Table4[Bike Access Score], J53) &lt; 2/5, "MEDIUM-LOW", IF(PERCENTRANK(Table4[Bike Access Score], J53) &lt; 3/5, "MEDIUM", IF(PERCENTRANK(Table4[Bike Access Score], J53) &lt; 4/5, "MEDIUM-HIGH", "HIGH"))))</f>
        <v>MEDIUM</v>
      </c>
    </row>
    <row r="54" spans="1:12" x14ac:dyDescent="0.25">
      <c r="A54" s="82" t="s">
        <v>149</v>
      </c>
      <c r="B54" s="83">
        <v>54</v>
      </c>
      <c r="C54" s="88">
        <v>0</v>
      </c>
      <c r="D54" s="67">
        <v>1</v>
      </c>
      <c r="E54" s="67">
        <v>0</v>
      </c>
      <c r="F54" s="67">
        <v>0</v>
      </c>
      <c r="G54" s="67">
        <v>5</v>
      </c>
      <c r="H54" s="21">
        <v>3</v>
      </c>
      <c r="I54" s="21">
        <v>3</v>
      </c>
      <c r="J54" s="67">
        <f t="shared" si="1"/>
        <v>12</v>
      </c>
      <c r="K54" s="21" t="str">
        <f>IF(PERCENTRANK(Table4[Bike Access Score], J54) &lt; 1/5, "1", IF(PERCENTRANK(Table4[Bike Access Score], J54) &lt; 2/5, "2", IF(PERCENTRANK(Table4[Bike Access Score], J54) &lt; 3/5, "3", IF(PERCENTRANK(Table4[Bike Access Score], J54) &lt; 4/5, "4", "5"))))</f>
        <v>3</v>
      </c>
      <c r="L54" s="21" t="str">
        <f>IF(PERCENTRANK(Table4[Bike Access Score], J54) &lt; 1/5, "LOW", IF(PERCENTRANK(Table4[Bike Access Score], J54) &lt; 2/5, "MEDIUM-LOW", IF(PERCENTRANK(Table4[Bike Access Score], J54) &lt; 3/5, "MEDIUM", IF(PERCENTRANK(Table4[Bike Access Score], J54) &lt; 4/5, "MEDIUM-HIGH", "HIGH"))))</f>
        <v>MEDIUM</v>
      </c>
    </row>
    <row r="55" spans="1:12" x14ac:dyDescent="0.25">
      <c r="A55" s="82" t="s">
        <v>248</v>
      </c>
      <c r="B55" s="83">
        <v>55</v>
      </c>
      <c r="C55" s="88">
        <v>1</v>
      </c>
      <c r="D55" s="67">
        <v>0</v>
      </c>
      <c r="E55" s="67">
        <v>0</v>
      </c>
      <c r="F55" s="67">
        <v>5</v>
      </c>
      <c r="G55" s="67">
        <v>14</v>
      </c>
      <c r="H55" s="21">
        <v>2</v>
      </c>
      <c r="I55" s="21">
        <v>2</v>
      </c>
      <c r="J55" s="67">
        <f t="shared" si="1"/>
        <v>24</v>
      </c>
      <c r="K55" s="21" t="str">
        <f>IF(PERCENTRANK(Table4[Bike Access Score], J55) &lt; 1/5, "1", IF(PERCENTRANK(Table4[Bike Access Score], J55) &lt; 2/5, "2", IF(PERCENTRANK(Table4[Bike Access Score], J55) &lt; 3/5, "3", IF(PERCENTRANK(Table4[Bike Access Score], J55) &lt; 4/5, "4", "5"))))</f>
        <v>5</v>
      </c>
      <c r="L55" s="21" t="str">
        <f>IF(PERCENTRANK(Table4[Bike Access Score], J55) &lt; 1/5, "LOW", IF(PERCENTRANK(Table4[Bike Access Score], J55) &lt; 2/5, "MEDIUM-LOW", IF(PERCENTRANK(Table4[Bike Access Score], J55) &lt; 3/5, "MEDIUM", IF(PERCENTRANK(Table4[Bike Access Score], J55) &lt; 4/5, "MEDIUM-HIGH", "HIGH"))))</f>
        <v>HIGH</v>
      </c>
    </row>
    <row r="56" spans="1:12" x14ac:dyDescent="0.25">
      <c r="A56" s="82" t="s">
        <v>153</v>
      </c>
      <c r="B56" s="83">
        <v>57</v>
      </c>
      <c r="C56" s="88">
        <v>0</v>
      </c>
      <c r="D56" s="67">
        <v>4</v>
      </c>
      <c r="E56" s="67">
        <v>0</v>
      </c>
      <c r="F56" s="67">
        <v>5</v>
      </c>
      <c r="G56" s="67">
        <v>8</v>
      </c>
      <c r="H56" s="21">
        <v>2</v>
      </c>
      <c r="I56" s="21">
        <v>2</v>
      </c>
      <c r="J56" s="67">
        <f t="shared" si="1"/>
        <v>21</v>
      </c>
      <c r="K56" s="21" t="str">
        <f>IF(PERCENTRANK(Table4[Bike Access Score], J56) &lt; 1/5, "1", IF(PERCENTRANK(Table4[Bike Access Score], J56) &lt; 2/5, "2", IF(PERCENTRANK(Table4[Bike Access Score], J56) &lt; 3/5, "3", IF(PERCENTRANK(Table4[Bike Access Score], J56) &lt; 4/5, "4", "5"))))</f>
        <v>4</v>
      </c>
      <c r="L56" s="21" t="str">
        <f>IF(PERCENTRANK(Table4[Bike Access Score], J56) &lt; 1/5, "LOW", IF(PERCENTRANK(Table4[Bike Access Score], J56) &lt; 2/5, "MEDIUM-LOW", IF(PERCENTRANK(Table4[Bike Access Score], J56) &lt; 3/5, "MEDIUM", IF(PERCENTRANK(Table4[Bike Access Score], J56) &lt; 4/5, "MEDIUM-HIGH", "HIGH"))))</f>
        <v>MEDIUM-HIGH</v>
      </c>
    </row>
    <row r="57" spans="1:12" x14ac:dyDescent="0.25">
      <c r="A57" s="82" t="s">
        <v>156</v>
      </c>
      <c r="B57" s="83">
        <v>58</v>
      </c>
      <c r="C57" s="88">
        <v>0</v>
      </c>
      <c r="D57" s="67">
        <v>6</v>
      </c>
      <c r="E57" s="67">
        <v>0</v>
      </c>
      <c r="F57" s="67">
        <v>0</v>
      </c>
      <c r="G57" s="67"/>
      <c r="H57" s="21">
        <v>3</v>
      </c>
      <c r="I57" s="21">
        <v>3</v>
      </c>
      <c r="J57" s="67">
        <f t="shared" si="1"/>
        <v>12</v>
      </c>
      <c r="K57" s="21" t="str">
        <f>IF(PERCENTRANK(Table4[Bike Access Score], J57) &lt; 1/5, "1", IF(PERCENTRANK(Table4[Bike Access Score], J57) &lt; 2/5, "2", IF(PERCENTRANK(Table4[Bike Access Score], J57) &lt; 3/5, "3", IF(PERCENTRANK(Table4[Bike Access Score], J57) &lt; 4/5, "4", "5"))))</f>
        <v>3</v>
      </c>
      <c r="L57" s="21" t="str">
        <f>IF(PERCENTRANK(Table4[Bike Access Score], J57) &lt; 1/5, "LOW", IF(PERCENTRANK(Table4[Bike Access Score], J57) &lt; 2/5, "MEDIUM-LOW", IF(PERCENTRANK(Table4[Bike Access Score], J57) &lt; 3/5, "MEDIUM", IF(PERCENTRANK(Table4[Bike Access Score], J57) &lt; 4/5, "MEDIUM-HIGH", "HIGH"))))</f>
        <v>MEDIUM</v>
      </c>
    </row>
    <row r="58" spans="1:12" x14ac:dyDescent="0.25">
      <c r="A58" s="82" t="s">
        <v>160</v>
      </c>
      <c r="B58" s="83">
        <v>59</v>
      </c>
      <c r="C58" s="88">
        <v>0</v>
      </c>
      <c r="D58" s="67">
        <v>3</v>
      </c>
      <c r="E58" s="67">
        <v>0</v>
      </c>
      <c r="F58" s="67">
        <v>5</v>
      </c>
      <c r="G58" s="67">
        <v>10</v>
      </c>
      <c r="H58" s="21">
        <v>3</v>
      </c>
      <c r="I58" s="21">
        <v>3</v>
      </c>
      <c r="J58" s="67">
        <f t="shared" si="1"/>
        <v>24</v>
      </c>
      <c r="K58" s="21" t="str">
        <f>IF(PERCENTRANK(Table4[Bike Access Score], J58) &lt; 1/5, "1", IF(PERCENTRANK(Table4[Bike Access Score], J58) &lt; 2/5, "2", IF(PERCENTRANK(Table4[Bike Access Score], J58) &lt; 3/5, "3", IF(PERCENTRANK(Table4[Bike Access Score], J58) &lt; 4/5, "4", "5"))))</f>
        <v>5</v>
      </c>
      <c r="L58" s="21" t="str">
        <f>IF(PERCENTRANK(Table4[Bike Access Score], J58) &lt; 1/5, "LOW", IF(PERCENTRANK(Table4[Bike Access Score], J58) &lt; 2/5, "MEDIUM-LOW", IF(PERCENTRANK(Table4[Bike Access Score], J58) &lt; 3/5, "MEDIUM", IF(PERCENTRANK(Table4[Bike Access Score], J58) &lt; 4/5, "MEDIUM-HIGH", "HIGH"))))</f>
        <v>HIGH</v>
      </c>
    </row>
    <row r="59" spans="1:12" x14ac:dyDescent="0.25">
      <c r="A59" s="82" t="s">
        <v>162</v>
      </c>
      <c r="B59" s="83">
        <v>60</v>
      </c>
      <c r="C59" s="88">
        <v>0</v>
      </c>
      <c r="D59" s="67">
        <v>35</v>
      </c>
      <c r="E59" s="67">
        <v>0</v>
      </c>
      <c r="F59" s="67">
        <v>4</v>
      </c>
      <c r="G59" s="67"/>
      <c r="H59" s="21">
        <v>2</v>
      </c>
      <c r="I59" s="21">
        <v>2</v>
      </c>
      <c r="J59" s="67">
        <f t="shared" si="1"/>
        <v>43</v>
      </c>
      <c r="K59" s="21" t="str">
        <f>IF(PERCENTRANK(Table4[Bike Access Score], J59) &lt; 1/5, "1", IF(PERCENTRANK(Table4[Bike Access Score], J59) &lt; 2/5, "2", IF(PERCENTRANK(Table4[Bike Access Score], J59) &lt; 3/5, "3", IF(PERCENTRANK(Table4[Bike Access Score], J59) &lt; 4/5, "4", "5"))))</f>
        <v>5</v>
      </c>
      <c r="L59" s="21" t="str">
        <f>IF(PERCENTRANK(Table4[Bike Access Score], J59) &lt; 1/5, "LOW", IF(PERCENTRANK(Table4[Bike Access Score], J59) &lt; 2/5, "MEDIUM-LOW", IF(PERCENTRANK(Table4[Bike Access Score], J59) &lt; 3/5, "MEDIUM", IF(PERCENTRANK(Table4[Bike Access Score], J59) &lt; 4/5, "MEDIUM-HIGH", "HIGH"))))</f>
        <v>HIGH</v>
      </c>
    </row>
    <row r="60" spans="1:12" x14ac:dyDescent="0.25">
      <c r="A60" s="82" t="s">
        <v>169</v>
      </c>
      <c r="B60" s="83">
        <v>63</v>
      </c>
      <c r="C60" s="88">
        <v>0</v>
      </c>
      <c r="D60" s="67">
        <v>0</v>
      </c>
      <c r="E60" s="67">
        <v>0</v>
      </c>
      <c r="F60" s="67">
        <v>0</v>
      </c>
      <c r="G60" s="67"/>
      <c r="H60" s="21">
        <v>3</v>
      </c>
      <c r="I60" s="21">
        <v>3</v>
      </c>
      <c r="J60" s="67">
        <f t="shared" si="1"/>
        <v>6</v>
      </c>
      <c r="K60" s="21" t="str">
        <f>IF(PERCENTRANK(Table4[Bike Access Score], J60) &lt; 1/5, "1", IF(PERCENTRANK(Table4[Bike Access Score], J60) &lt; 2/5, "2", IF(PERCENTRANK(Table4[Bike Access Score], J60) &lt; 3/5, "3", IF(PERCENTRANK(Table4[Bike Access Score], J60) &lt; 4/5, "4", "5"))))</f>
        <v>1</v>
      </c>
      <c r="L60" s="21" t="str">
        <f>IF(PERCENTRANK(Table4[Bike Access Score], J60) &lt; 1/5, "LOW", IF(PERCENTRANK(Table4[Bike Access Score], J60) &lt; 2/5, "MEDIUM-LOW", IF(PERCENTRANK(Table4[Bike Access Score], J60) &lt; 3/5, "MEDIUM", IF(PERCENTRANK(Table4[Bike Access Score], J60) &lt; 4/5, "MEDIUM-HIGH", "HIGH"))))</f>
        <v>LOW</v>
      </c>
    </row>
    <row r="61" spans="1:12" x14ac:dyDescent="0.25">
      <c r="A61" s="82" t="s">
        <v>171</v>
      </c>
      <c r="B61" s="83">
        <v>64</v>
      </c>
      <c r="C61" s="88">
        <v>0</v>
      </c>
      <c r="D61" s="67">
        <v>2</v>
      </c>
      <c r="E61" s="67">
        <v>0</v>
      </c>
      <c r="F61" s="67">
        <v>0</v>
      </c>
      <c r="G61" s="67">
        <v>2</v>
      </c>
      <c r="H61" s="21">
        <v>1</v>
      </c>
      <c r="I61" s="21">
        <v>1</v>
      </c>
      <c r="J61" s="67">
        <f t="shared" si="1"/>
        <v>6</v>
      </c>
      <c r="K61" s="21" t="str">
        <f>IF(PERCENTRANK(Table4[Bike Access Score], J61) &lt; 1/5, "1", IF(PERCENTRANK(Table4[Bike Access Score], J61) &lt; 2/5, "2", IF(PERCENTRANK(Table4[Bike Access Score], J61) &lt; 3/5, "3", IF(PERCENTRANK(Table4[Bike Access Score], J61) &lt; 4/5, "4", "5"))))</f>
        <v>1</v>
      </c>
      <c r="L61" s="21" t="str">
        <f>IF(PERCENTRANK(Table4[Bike Access Score], J61) &lt; 1/5, "LOW", IF(PERCENTRANK(Table4[Bike Access Score], J61) &lt; 2/5, "MEDIUM-LOW", IF(PERCENTRANK(Table4[Bike Access Score], J61) &lt; 3/5, "MEDIUM", IF(PERCENTRANK(Table4[Bike Access Score], J61) &lt; 4/5, "MEDIUM-HIGH", "HIGH"))))</f>
        <v>LOW</v>
      </c>
    </row>
    <row r="62" spans="1:12" x14ac:dyDescent="0.25">
      <c r="A62" s="82" t="s">
        <v>175</v>
      </c>
      <c r="B62" s="83">
        <v>65</v>
      </c>
      <c r="C62" s="88">
        <v>0</v>
      </c>
      <c r="D62" s="67">
        <v>0</v>
      </c>
      <c r="E62" s="67">
        <v>0</v>
      </c>
      <c r="F62" s="67">
        <v>0</v>
      </c>
      <c r="G62" s="67"/>
      <c r="H62" s="21">
        <v>1</v>
      </c>
      <c r="I62" s="21">
        <v>1</v>
      </c>
      <c r="J62" s="67">
        <f t="shared" si="1"/>
        <v>2</v>
      </c>
      <c r="K62" s="21" t="str">
        <f>IF(PERCENTRANK(Table4[Bike Access Score], J62) &lt; 1/5, "1", IF(PERCENTRANK(Table4[Bike Access Score], J62) &lt; 2/5, "2", IF(PERCENTRANK(Table4[Bike Access Score], J62) &lt; 3/5, "3", IF(PERCENTRANK(Table4[Bike Access Score], J62) &lt; 4/5, "4", "5"))))</f>
        <v>1</v>
      </c>
      <c r="L62" s="21" t="str">
        <f>IF(PERCENTRANK(Table4[Bike Access Score], J62) &lt; 1/5, "LOW", IF(PERCENTRANK(Table4[Bike Access Score], J62) &lt; 2/5, "MEDIUM-LOW", IF(PERCENTRANK(Table4[Bike Access Score], J62) &lt; 3/5, "MEDIUM", IF(PERCENTRANK(Table4[Bike Access Score], J62) &lt; 4/5, "MEDIUM-HIGH", "HIGH"))))</f>
        <v>LOW</v>
      </c>
    </row>
    <row r="63" spans="1:12" x14ac:dyDescent="0.25">
      <c r="A63" s="82" t="s">
        <v>177</v>
      </c>
      <c r="B63" s="83">
        <v>66</v>
      </c>
      <c r="C63" s="88">
        <v>0</v>
      </c>
      <c r="D63" s="67">
        <v>1</v>
      </c>
      <c r="E63" s="67">
        <v>0</v>
      </c>
      <c r="F63" s="67">
        <v>0</v>
      </c>
      <c r="G63" s="67"/>
      <c r="H63" s="21">
        <v>1</v>
      </c>
      <c r="I63" s="21">
        <v>1</v>
      </c>
      <c r="J63" s="67">
        <f t="shared" si="1"/>
        <v>3</v>
      </c>
      <c r="K63" s="21" t="str">
        <f>IF(PERCENTRANK(Table4[Bike Access Score], J63) &lt; 1/5, "1", IF(PERCENTRANK(Table4[Bike Access Score], J63) &lt; 2/5, "2", IF(PERCENTRANK(Table4[Bike Access Score], J63) &lt; 3/5, "3", IF(PERCENTRANK(Table4[Bike Access Score], J63) &lt; 4/5, "4", "5"))))</f>
        <v>1</v>
      </c>
      <c r="L63" s="21" t="str">
        <f>IF(PERCENTRANK(Table4[Bike Access Score], J63) &lt; 1/5, "LOW", IF(PERCENTRANK(Table4[Bike Access Score], J63) &lt; 2/5, "MEDIUM-LOW", IF(PERCENTRANK(Table4[Bike Access Score], J63) &lt; 3/5, "MEDIUM", IF(PERCENTRANK(Table4[Bike Access Score], J63) &lt; 4/5, "MEDIUM-HIGH", "HIGH"))))</f>
        <v>LOW</v>
      </c>
    </row>
    <row r="64" spans="1:12" x14ac:dyDescent="0.25">
      <c r="A64" s="82" t="s">
        <v>181</v>
      </c>
      <c r="B64" s="83">
        <v>68</v>
      </c>
      <c r="C64" s="88">
        <v>0</v>
      </c>
      <c r="D64" s="67">
        <v>8</v>
      </c>
      <c r="E64" s="67">
        <v>0</v>
      </c>
      <c r="F64" s="67">
        <v>5</v>
      </c>
      <c r="G64" s="67">
        <v>6</v>
      </c>
      <c r="H64" s="21">
        <v>3</v>
      </c>
      <c r="I64" s="21">
        <v>3</v>
      </c>
      <c r="J64" s="67">
        <f t="shared" si="1"/>
        <v>25</v>
      </c>
      <c r="K64" s="21" t="str">
        <f>IF(PERCENTRANK(Table4[Bike Access Score], J64) &lt; 1/5, "1", IF(PERCENTRANK(Table4[Bike Access Score], J64) &lt; 2/5, "2", IF(PERCENTRANK(Table4[Bike Access Score], J64) &lt; 3/5, "3", IF(PERCENTRANK(Table4[Bike Access Score], J64) &lt; 4/5, "4", "5"))))</f>
        <v>5</v>
      </c>
      <c r="L64" s="21" t="str">
        <f>IF(PERCENTRANK(Table4[Bike Access Score], J64) &lt; 1/5, "LOW", IF(PERCENTRANK(Table4[Bike Access Score], J64) &lt; 2/5, "MEDIUM-LOW", IF(PERCENTRANK(Table4[Bike Access Score], J64) &lt; 3/5, "MEDIUM", IF(PERCENTRANK(Table4[Bike Access Score], J64) &lt; 4/5, "MEDIUM-HIGH", "HIGH"))))</f>
        <v>HIGH</v>
      </c>
    </row>
    <row r="65" spans="1:12" x14ac:dyDescent="0.25">
      <c r="A65" s="14" t="s">
        <v>184</v>
      </c>
      <c r="B65" s="83">
        <v>69</v>
      </c>
      <c r="C65" s="88">
        <v>0</v>
      </c>
      <c r="D65" s="67">
        <v>0</v>
      </c>
      <c r="E65" s="67">
        <v>0</v>
      </c>
      <c r="F65" s="67">
        <v>0</v>
      </c>
      <c r="G65" s="67">
        <v>1</v>
      </c>
      <c r="H65" s="21">
        <v>2</v>
      </c>
      <c r="I65" s="21">
        <v>2</v>
      </c>
      <c r="J65" s="67">
        <f t="shared" si="1"/>
        <v>5</v>
      </c>
      <c r="K65" s="21" t="str">
        <f>IF(PERCENTRANK(Table4[Bike Access Score], J65) &lt; 1/5, "1", IF(PERCENTRANK(Table4[Bike Access Score], J65) &lt; 2/5, "2", IF(PERCENTRANK(Table4[Bike Access Score], J65) &lt; 3/5, "3", IF(PERCENTRANK(Table4[Bike Access Score], J65) &lt; 4/5, "4", "5"))))</f>
        <v>1</v>
      </c>
      <c r="L65" s="21" t="str">
        <f>IF(PERCENTRANK(Table4[Bike Access Score], J65) &lt; 1/5, "LOW", IF(PERCENTRANK(Table4[Bike Access Score], J65) &lt; 2/5, "MEDIUM-LOW", IF(PERCENTRANK(Table4[Bike Access Score], J65) &lt; 3/5, "MEDIUM", IF(PERCENTRANK(Table4[Bike Access Score], J65) &lt; 4/5, "MEDIUM-HIGH", "HIGH"))))</f>
        <v>LOW</v>
      </c>
    </row>
    <row r="66" spans="1:12" x14ac:dyDescent="0.25">
      <c r="A66" s="14" t="s">
        <v>186</v>
      </c>
      <c r="B66" s="83">
        <v>70</v>
      </c>
      <c r="C66" s="88">
        <v>0</v>
      </c>
      <c r="D66" s="67">
        <v>70</v>
      </c>
      <c r="E66" s="67">
        <v>0</v>
      </c>
      <c r="F66" s="67">
        <v>13.5</v>
      </c>
      <c r="G66" s="67"/>
      <c r="H66" s="21">
        <v>6</v>
      </c>
      <c r="I66" s="21">
        <v>6</v>
      </c>
      <c r="J66" s="67">
        <f t="shared" ref="J66:J84" si="2">SUM(C66:I66)</f>
        <v>95.5</v>
      </c>
      <c r="K66" s="21" t="str">
        <f>IF(PERCENTRANK(Table4[Bike Access Score], J66) &lt; 1/5, "1", IF(PERCENTRANK(Table4[Bike Access Score], J66) &lt; 2/5, "2", IF(PERCENTRANK(Table4[Bike Access Score], J66) &lt; 3/5, "3", IF(PERCENTRANK(Table4[Bike Access Score], J66) &lt; 4/5, "4", "5"))))</f>
        <v>5</v>
      </c>
      <c r="L66" s="21" t="str">
        <f>IF(PERCENTRANK(Table4[Bike Access Score], J66) &lt; 1/5, "LOW", IF(PERCENTRANK(Table4[Bike Access Score], J66) &lt; 2/5, "MEDIUM-LOW", IF(PERCENTRANK(Table4[Bike Access Score], J66) &lt; 3/5, "MEDIUM", IF(PERCENTRANK(Table4[Bike Access Score], J66) &lt; 4/5, "MEDIUM-HIGH", "HIGH"))))</f>
        <v>HIGH</v>
      </c>
    </row>
    <row r="67" spans="1:12" x14ac:dyDescent="0.25">
      <c r="A67" s="14" t="s">
        <v>188</v>
      </c>
      <c r="B67" s="83">
        <v>71</v>
      </c>
      <c r="C67" s="88">
        <v>0</v>
      </c>
      <c r="D67" s="67">
        <v>40</v>
      </c>
      <c r="E67" s="67">
        <v>0</v>
      </c>
      <c r="F67" s="67">
        <v>10</v>
      </c>
      <c r="G67" s="67"/>
      <c r="H67" s="21">
        <v>3</v>
      </c>
      <c r="I67" s="21">
        <v>3</v>
      </c>
      <c r="J67" s="67">
        <f t="shared" si="2"/>
        <v>56</v>
      </c>
      <c r="K67" s="21" t="str">
        <f>IF(PERCENTRANK(Table4[Bike Access Score], J67) &lt; 1/5, "1", IF(PERCENTRANK(Table4[Bike Access Score], J67) &lt; 2/5, "2", IF(PERCENTRANK(Table4[Bike Access Score], J67) &lt; 3/5, "3", IF(PERCENTRANK(Table4[Bike Access Score], J67) &lt; 4/5, "4", "5"))))</f>
        <v>5</v>
      </c>
      <c r="L67" s="21" t="str">
        <f>IF(PERCENTRANK(Table4[Bike Access Score], J67) &lt; 1/5, "LOW", IF(PERCENTRANK(Table4[Bike Access Score], J67) &lt; 2/5, "MEDIUM-LOW", IF(PERCENTRANK(Table4[Bike Access Score], J67) &lt; 3/5, "MEDIUM", IF(PERCENTRANK(Table4[Bike Access Score], J67) &lt; 4/5, "MEDIUM-HIGH", "HIGH"))))</f>
        <v>HIGH</v>
      </c>
    </row>
    <row r="68" spans="1:12" x14ac:dyDescent="0.25">
      <c r="A68" s="14" t="s">
        <v>192</v>
      </c>
      <c r="B68" s="83">
        <v>72</v>
      </c>
      <c r="C68" s="88">
        <v>0</v>
      </c>
      <c r="D68" s="67">
        <v>2</v>
      </c>
      <c r="E68" s="67">
        <v>0</v>
      </c>
      <c r="F68" s="67">
        <v>0</v>
      </c>
      <c r="G68" s="67"/>
      <c r="H68" s="21">
        <v>6</v>
      </c>
      <c r="I68" s="21">
        <v>6</v>
      </c>
      <c r="J68" s="67">
        <f t="shared" si="2"/>
        <v>14</v>
      </c>
      <c r="K68" s="21" t="str">
        <f>IF(PERCENTRANK(Table4[Bike Access Score], J68) &lt; 1/5, "1", IF(PERCENTRANK(Table4[Bike Access Score], J68) &lt; 2/5, "2", IF(PERCENTRANK(Table4[Bike Access Score], J68) &lt; 3/5, "3", IF(PERCENTRANK(Table4[Bike Access Score], J68) &lt; 4/5, "4", "5"))))</f>
        <v>3</v>
      </c>
      <c r="L68" s="21" t="str">
        <f>IF(PERCENTRANK(Table4[Bike Access Score], J68) &lt; 1/5, "LOW", IF(PERCENTRANK(Table4[Bike Access Score], J68) &lt; 2/5, "MEDIUM-LOW", IF(PERCENTRANK(Table4[Bike Access Score], J68) &lt; 3/5, "MEDIUM", IF(PERCENTRANK(Table4[Bike Access Score], J68) &lt; 4/5, "MEDIUM-HIGH", "HIGH"))))</f>
        <v>MEDIUM</v>
      </c>
    </row>
    <row r="69" spans="1:12" x14ac:dyDescent="0.25">
      <c r="A69" s="82" t="s">
        <v>198</v>
      </c>
      <c r="B69" s="83">
        <v>75</v>
      </c>
      <c r="C69" s="88">
        <v>0</v>
      </c>
      <c r="D69" s="67">
        <v>1</v>
      </c>
      <c r="E69" s="67">
        <v>0</v>
      </c>
      <c r="F69" s="67">
        <v>0</v>
      </c>
      <c r="G69" s="67"/>
      <c r="J69" s="67">
        <f t="shared" si="2"/>
        <v>1</v>
      </c>
      <c r="K69" s="21" t="str">
        <f>IF(PERCENTRANK(Table4[Bike Access Score], J69) &lt; 1/5, "1", IF(PERCENTRANK(Table4[Bike Access Score], J69) &lt; 2/5, "2", IF(PERCENTRANK(Table4[Bike Access Score], J69) &lt; 3/5, "3", IF(PERCENTRANK(Table4[Bike Access Score], J69) &lt; 4/5, "4", "5"))))</f>
        <v>1</v>
      </c>
      <c r="L69" s="21" t="str">
        <f>IF(PERCENTRANK(Table4[Bike Access Score], J69) &lt; 1/5, "LOW", IF(PERCENTRANK(Table4[Bike Access Score], J69) &lt; 2/5, "MEDIUM-LOW", IF(PERCENTRANK(Table4[Bike Access Score], J69) &lt; 3/5, "MEDIUM", IF(PERCENTRANK(Table4[Bike Access Score], J69) &lt; 4/5, "MEDIUM-HIGH", "HIGH"))))</f>
        <v>LOW</v>
      </c>
    </row>
    <row r="70" spans="1:12" x14ac:dyDescent="0.25">
      <c r="A70" s="82" t="s">
        <v>200</v>
      </c>
      <c r="B70" s="83">
        <v>76</v>
      </c>
      <c r="C70" s="88">
        <v>1</v>
      </c>
      <c r="D70" s="67">
        <v>2</v>
      </c>
      <c r="E70" s="67">
        <v>0</v>
      </c>
      <c r="F70" s="67">
        <v>0</v>
      </c>
      <c r="G70" s="67"/>
      <c r="H70" s="21">
        <v>3</v>
      </c>
      <c r="I70" s="21">
        <v>3</v>
      </c>
      <c r="J70" s="67">
        <f t="shared" si="2"/>
        <v>9</v>
      </c>
      <c r="K70" s="21" t="str">
        <f>IF(PERCENTRANK(Table4[Bike Access Score], J70) &lt; 1/5, "1", IF(PERCENTRANK(Table4[Bike Access Score], J70) &lt; 2/5, "2", IF(PERCENTRANK(Table4[Bike Access Score], J70) &lt; 3/5, "3", IF(PERCENTRANK(Table4[Bike Access Score], J70) &lt; 4/5, "4", "5"))))</f>
        <v>2</v>
      </c>
      <c r="L70" s="21" t="str">
        <f>IF(PERCENTRANK(Table4[Bike Access Score], J70) &lt; 1/5, "LOW", IF(PERCENTRANK(Table4[Bike Access Score], J70) &lt; 2/5, "MEDIUM-LOW", IF(PERCENTRANK(Table4[Bike Access Score], J70) &lt; 3/5, "MEDIUM", IF(PERCENTRANK(Table4[Bike Access Score], J70) &lt; 4/5, "MEDIUM-HIGH", "HIGH"))))</f>
        <v>MEDIUM-LOW</v>
      </c>
    </row>
    <row r="71" spans="1:12" x14ac:dyDescent="0.25">
      <c r="A71" s="82" t="s">
        <v>204</v>
      </c>
      <c r="B71" s="83">
        <v>77</v>
      </c>
      <c r="C71" s="88">
        <v>0</v>
      </c>
      <c r="D71" s="67">
        <v>4</v>
      </c>
      <c r="E71" s="67">
        <v>0</v>
      </c>
      <c r="F71" s="67">
        <v>0</v>
      </c>
      <c r="G71" s="67"/>
      <c r="H71" s="21">
        <v>1</v>
      </c>
      <c r="I71" s="21">
        <v>1</v>
      </c>
      <c r="J71" s="67">
        <f t="shared" si="2"/>
        <v>6</v>
      </c>
      <c r="K71" s="21" t="str">
        <f>IF(PERCENTRANK(Table4[Bike Access Score], J71) &lt; 1/5, "1", IF(PERCENTRANK(Table4[Bike Access Score], J71) &lt; 2/5, "2", IF(PERCENTRANK(Table4[Bike Access Score], J71) &lt; 3/5, "3", IF(PERCENTRANK(Table4[Bike Access Score], J71) &lt; 4/5, "4", "5"))))</f>
        <v>1</v>
      </c>
      <c r="L71" s="21" t="str">
        <f>IF(PERCENTRANK(Table4[Bike Access Score], J71) &lt; 1/5, "LOW", IF(PERCENTRANK(Table4[Bike Access Score], J71) &lt; 2/5, "MEDIUM-LOW", IF(PERCENTRANK(Table4[Bike Access Score], J71) &lt; 3/5, "MEDIUM", IF(PERCENTRANK(Table4[Bike Access Score], J71) &lt; 4/5, "MEDIUM-HIGH", "HIGH"))))</f>
        <v>LOW</v>
      </c>
    </row>
    <row r="72" spans="1:12" x14ac:dyDescent="0.25">
      <c r="A72" s="82" t="s">
        <v>208</v>
      </c>
      <c r="B72" s="83">
        <v>78</v>
      </c>
      <c r="C72" s="88">
        <v>0</v>
      </c>
      <c r="D72" s="67">
        <v>6</v>
      </c>
      <c r="E72" s="67">
        <v>0</v>
      </c>
      <c r="F72" s="67">
        <v>0</v>
      </c>
      <c r="G72" s="67"/>
      <c r="H72" s="21">
        <v>5</v>
      </c>
      <c r="I72" s="21">
        <v>5</v>
      </c>
      <c r="J72" s="67">
        <f t="shared" si="2"/>
        <v>16</v>
      </c>
      <c r="K72" s="21" t="str">
        <f>IF(PERCENTRANK(Table4[Bike Access Score], J72) &lt; 1/5, "1", IF(PERCENTRANK(Table4[Bike Access Score], J72) &lt; 2/5, "2", IF(PERCENTRANK(Table4[Bike Access Score], J72) &lt; 3/5, "3", IF(PERCENTRANK(Table4[Bike Access Score], J72) &lt; 4/5, "4", "5"))))</f>
        <v>4</v>
      </c>
      <c r="L72" s="21" t="str">
        <f>IF(PERCENTRANK(Table4[Bike Access Score], J72) &lt; 1/5, "LOW", IF(PERCENTRANK(Table4[Bike Access Score], J72) &lt; 2/5, "MEDIUM-LOW", IF(PERCENTRANK(Table4[Bike Access Score], J72) &lt; 3/5, "MEDIUM", IF(PERCENTRANK(Table4[Bike Access Score], J72) &lt; 4/5, "MEDIUM-HIGH", "HIGH"))))</f>
        <v>MEDIUM-HIGH</v>
      </c>
    </row>
    <row r="73" spans="1:12" x14ac:dyDescent="0.25">
      <c r="A73" s="82" t="s">
        <v>212</v>
      </c>
      <c r="B73" s="83">
        <v>79</v>
      </c>
      <c r="C73" s="88">
        <v>0</v>
      </c>
      <c r="D73" s="67">
        <v>10</v>
      </c>
      <c r="E73" s="67">
        <v>0</v>
      </c>
      <c r="F73" s="67">
        <v>0</v>
      </c>
      <c r="G73" s="67"/>
      <c r="H73" s="21">
        <v>3</v>
      </c>
      <c r="I73" s="21">
        <v>3</v>
      </c>
      <c r="J73" s="67">
        <f t="shared" si="2"/>
        <v>16</v>
      </c>
      <c r="K73" s="21" t="str">
        <f>IF(PERCENTRANK(Table4[Bike Access Score], J73) &lt; 1/5, "1", IF(PERCENTRANK(Table4[Bike Access Score], J73) &lt; 2/5, "2", IF(PERCENTRANK(Table4[Bike Access Score], J73) &lt; 3/5, "3", IF(PERCENTRANK(Table4[Bike Access Score], J73) &lt; 4/5, "4", "5"))))</f>
        <v>4</v>
      </c>
      <c r="L73" s="21" t="str">
        <f>IF(PERCENTRANK(Table4[Bike Access Score], J73) &lt; 1/5, "LOW", IF(PERCENTRANK(Table4[Bike Access Score], J73) &lt; 2/5, "MEDIUM-LOW", IF(PERCENTRANK(Table4[Bike Access Score], J73) &lt; 3/5, "MEDIUM", IF(PERCENTRANK(Table4[Bike Access Score], J73) &lt; 4/5, "MEDIUM-HIGH", "HIGH"))))</f>
        <v>MEDIUM-HIGH</v>
      </c>
    </row>
    <row r="74" spans="1:12" x14ac:dyDescent="0.25">
      <c r="A74" s="82" t="s">
        <v>214</v>
      </c>
      <c r="B74" s="83">
        <v>80</v>
      </c>
      <c r="C74" s="88">
        <v>0</v>
      </c>
      <c r="D74" s="67">
        <v>0</v>
      </c>
      <c r="E74" s="67">
        <v>0</v>
      </c>
      <c r="F74" s="67">
        <v>0</v>
      </c>
      <c r="G74" s="67"/>
      <c r="H74" s="21">
        <v>1</v>
      </c>
      <c r="I74" s="21">
        <v>1</v>
      </c>
      <c r="J74" s="67">
        <f t="shared" si="2"/>
        <v>2</v>
      </c>
      <c r="K74" s="21" t="str">
        <f>IF(PERCENTRANK(Table4[Bike Access Score], J74) &lt; 1/5, "1", IF(PERCENTRANK(Table4[Bike Access Score], J74) &lt; 2/5, "2", IF(PERCENTRANK(Table4[Bike Access Score], J74) &lt; 3/5, "3", IF(PERCENTRANK(Table4[Bike Access Score], J74) &lt; 4/5, "4", "5"))))</f>
        <v>1</v>
      </c>
      <c r="L74" s="21" t="str">
        <f>IF(PERCENTRANK(Table4[Bike Access Score], J74) &lt; 1/5, "LOW", IF(PERCENTRANK(Table4[Bike Access Score], J74) &lt; 2/5, "MEDIUM-LOW", IF(PERCENTRANK(Table4[Bike Access Score], J74) &lt; 3/5, "MEDIUM", IF(PERCENTRANK(Table4[Bike Access Score], J74) &lt; 4/5, "MEDIUM-HIGH", "HIGH"))))</f>
        <v>LOW</v>
      </c>
    </row>
    <row r="75" spans="1:12" x14ac:dyDescent="0.25">
      <c r="A75" s="82" t="s">
        <v>218</v>
      </c>
      <c r="B75" s="83">
        <v>81</v>
      </c>
      <c r="C75" s="88">
        <v>0</v>
      </c>
      <c r="D75" s="67">
        <v>4</v>
      </c>
      <c r="E75" s="67">
        <v>0</v>
      </c>
      <c r="F75" s="67">
        <v>0</v>
      </c>
      <c r="G75" s="67"/>
      <c r="H75" s="21">
        <v>1</v>
      </c>
      <c r="I75" s="21">
        <v>1</v>
      </c>
      <c r="J75" s="67">
        <f t="shared" si="2"/>
        <v>6</v>
      </c>
      <c r="K75" s="21" t="str">
        <f>IF(PERCENTRANK(Table4[Bike Access Score], J75) &lt; 1/5, "1", IF(PERCENTRANK(Table4[Bike Access Score], J75) &lt; 2/5, "2", IF(PERCENTRANK(Table4[Bike Access Score], J75) &lt; 3/5, "3", IF(PERCENTRANK(Table4[Bike Access Score], J75) &lt; 4/5, "4", "5"))))</f>
        <v>1</v>
      </c>
      <c r="L75" s="21" t="str">
        <f>IF(PERCENTRANK(Table4[Bike Access Score], J75) &lt; 1/5, "LOW", IF(PERCENTRANK(Table4[Bike Access Score], J75) &lt; 2/5, "MEDIUM-LOW", IF(PERCENTRANK(Table4[Bike Access Score], J75) &lt; 3/5, "MEDIUM", IF(PERCENTRANK(Table4[Bike Access Score], J75) &lt; 4/5, "MEDIUM-HIGH", "HIGH"))))</f>
        <v>LOW</v>
      </c>
    </row>
    <row r="76" spans="1:12" x14ac:dyDescent="0.25">
      <c r="A76" s="82" t="s">
        <v>220</v>
      </c>
      <c r="B76" s="83">
        <v>82</v>
      </c>
      <c r="C76" s="88">
        <v>0</v>
      </c>
      <c r="D76" s="67">
        <v>0</v>
      </c>
      <c r="E76" s="67">
        <v>0</v>
      </c>
      <c r="F76" s="67">
        <v>0</v>
      </c>
      <c r="G76" s="67"/>
      <c r="H76" s="21">
        <v>2</v>
      </c>
      <c r="I76" s="21">
        <v>2</v>
      </c>
      <c r="J76" s="67">
        <f t="shared" si="2"/>
        <v>4</v>
      </c>
      <c r="K76" s="21" t="str">
        <f>IF(PERCENTRANK(Table4[Bike Access Score], J76) &lt; 1/5, "1", IF(PERCENTRANK(Table4[Bike Access Score], J76) &lt; 2/5, "2", IF(PERCENTRANK(Table4[Bike Access Score], J76) &lt; 3/5, "3", IF(PERCENTRANK(Table4[Bike Access Score], J76) &lt; 4/5, "4", "5"))))</f>
        <v>1</v>
      </c>
      <c r="L76" s="21" t="str">
        <f>IF(PERCENTRANK(Table4[Bike Access Score], J76) &lt; 1/5, "LOW", IF(PERCENTRANK(Table4[Bike Access Score], J76) &lt; 2/5, "MEDIUM-LOW", IF(PERCENTRANK(Table4[Bike Access Score], J76) &lt; 3/5, "MEDIUM", IF(PERCENTRANK(Table4[Bike Access Score], J76) &lt; 4/5, "MEDIUM-HIGH", "HIGH"))))</f>
        <v>LOW</v>
      </c>
    </row>
    <row r="77" spans="1:12" x14ac:dyDescent="0.25">
      <c r="A77" s="82" t="s">
        <v>222</v>
      </c>
      <c r="B77" s="83">
        <v>83</v>
      </c>
      <c r="C77" s="88">
        <v>0</v>
      </c>
      <c r="D77" s="67">
        <v>4</v>
      </c>
      <c r="E77" s="67">
        <v>0</v>
      </c>
      <c r="F77" s="67">
        <v>0</v>
      </c>
      <c r="G77" s="67"/>
      <c r="H77" s="21">
        <v>4</v>
      </c>
      <c r="I77" s="21">
        <v>4</v>
      </c>
      <c r="J77" s="67">
        <f t="shared" si="2"/>
        <v>12</v>
      </c>
      <c r="K77" s="21" t="str">
        <f>IF(PERCENTRANK(Table4[Bike Access Score], J77) &lt; 1/5, "1", IF(PERCENTRANK(Table4[Bike Access Score], J77) &lt; 2/5, "2", IF(PERCENTRANK(Table4[Bike Access Score], J77) &lt; 3/5, "3", IF(PERCENTRANK(Table4[Bike Access Score], J77) &lt; 4/5, "4", "5"))))</f>
        <v>3</v>
      </c>
      <c r="L77" s="21" t="str">
        <f>IF(PERCENTRANK(Table4[Bike Access Score], J77) &lt; 1/5, "LOW", IF(PERCENTRANK(Table4[Bike Access Score], J77) &lt; 2/5, "MEDIUM-LOW", IF(PERCENTRANK(Table4[Bike Access Score], J77) &lt; 3/5, "MEDIUM", IF(PERCENTRANK(Table4[Bike Access Score], J77) &lt; 4/5, "MEDIUM-HIGH", "HIGH"))))</f>
        <v>MEDIUM</v>
      </c>
    </row>
    <row r="78" spans="1:12" x14ac:dyDescent="0.25">
      <c r="A78" s="82" t="s">
        <v>224</v>
      </c>
      <c r="B78" s="83">
        <v>84</v>
      </c>
      <c r="C78" s="88">
        <v>1</v>
      </c>
      <c r="D78" s="67">
        <v>3</v>
      </c>
      <c r="E78" s="67">
        <v>0</v>
      </c>
      <c r="F78" s="67">
        <v>0</v>
      </c>
      <c r="G78" s="67"/>
      <c r="H78" s="21">
        <v>2</v>
      </c>
      <c r="I78" s="21">
        <v>2</v>
      </c>
      <c r="J78" s="67">
        <f t="shared" si="2"/>
        <v>8</v>
      </c>
      <c r="K78" s="21" t="str">
        <f>IF(PERCENTRANK(Table4[Bike Access Score], J78) &lt; 1/5, "1", IF(PERCENTRANK(Table4[Bike Access Score], J78) &lt; 2/5, "2", IF(PERCENTRANK(Table4[Bike Access Score], J78) &lt; 3/5, "3", IF(PERCENTRANK(Table4[Bike Access Score], J78) &lt; 4/5, "4", "5"))))</f>
        <v>2</v>
      </c>
      <c r="L78" s="21" t="str">
        <f>IF(PERCENTRANK(Table4[Bike Access Score], J78) &lt; 1/5, "LOW", IF(PERCENTRANK(Table4[Bike Access Score], J78) &lt; 2/5, "MEDIUM-LOW", IF(PERCENTRANK(Table4[Bike Access Score], J78) &lt; 3/5, "MEDIUM", IF(PERCENTRANK(Table4[Bike Access Score], J78) &lt; 4/5, "MEDIUM-HIGH", "HIGH"))))</f>
        <v>MEDIUM-LOW</v>
      </c>
    </row>
    <row r="79" spans="1:12" x14ac:dyDescent="0.25">
      <c r="A79" s="82" t="s">
        <v>227</v>
      </c>
      <c r="B79" s="83">
        <v>85</v>
      </c>
      <c r="C79" s="88">
        <v>0</v>
      </c>
      <c r="D79" s="67">
        <v>0</v>
      </c>
      <c r="E79" s="67">
        <v>0</v>
      </c>
      <c r="F79" s="67">
        <v>0</v>
      </c>
      <c r="G79" s="67"/>
      <c r="H79" s="21">
        <v>5</v>
      </c>
      <c r="I79" s="21">
        <v>5</v>
      </c>
      <c r="J79" s="67">
        <f t="shared" si="2"/>
        <v>10</v>
      </c>
      <c r="K79" s="21" t="str">
        <f>IF(PERCENTRANK(Table4[Bike Access Score], J79) &lt; 1/5, "1", IF(PERCENTRANK(Table4[Bike Access Score], J79) &lt; 2/5, "2", IF(PERCENTRANK(Table4[Bike Access Score], J79) &lt; 3/5, "3", IF(PERCENTRANK(Table4[Bike Access Score], J79) &lt; 4/5, "4", "5"))))</f>
        <v>3</v>
      </c>
      <c r="L79" s="21" t="str">
        <f>IF(PERCENTRANK(Table4[Bike Access Score], J79) &lt; 1/5, "LOW", IF(PERCENTRANK(Table4[Bike Access Score], J79) &lt; 2/5, "MEDIUM-LOW", IF(PERCENTRANK(Table4[Bike Access Score], J79) &lt; 3/5, "MEDIUM", IF(PERCENTRANK(Table4[Bike Access Score], J79) &lt; 4/5, "MEDIUM-HIGH", "HIGH"))))</f>
        <v>MEDIUM</v>
      </c>
    </row>
    <row r="80" spans="1:12" x14ac:dyDescent="0.25">
      <c r="A80" s="82" t="s">
        <v>229</v>
      </c>
      <c r="B80" s="83">
        <v>86</v>
      </c>
      <c r="C80" s="88">
        <v>0</v>
      </c>
      <c r="D80" s="67">
        <v>0</v>
      </c>
      <c r="E80" s="67">
        <v>0</v>
      </c>
      <c r="F80" s="67">
        <v>0</v>
      </c>
      <c r="G80" s="67"/>
      <c r="H80" s="21">
        <v>3</v>
      </c>
      <c r="I80" s="21">
        <v>3</v>
      </c>
      <c r="J80" s="67">
        <f t="shared" si="2"/>
        <v>6</v>
      </c>
      <c r="K80" s="21" t="str">
        <f>IF(PERCENTRANK(Table4[Bike Access Score], J80) &lt; 1/5, "1", IF(PERCENTRANK(Table4[Bike Access Score], J80) &lt; 2/5, "2", IF(PERCENTRANK(Table4[Bike Access Score], J80) &lt; 3/5, "3", IF(PERCENTRANK(Table4[Bike Access Score], J80) &lt; 4/5, "4", "5"))))</f>
        <v>1</v>
      </c>
      <c r="L80" s="21" t="str">
        <f>IF(PERCENTRANK(Table4[Bike Access Score], J80) &lt; 1/5, "LOW", IF(PERCENTRANK(Table4[Bike Access Score], J80) &lt; 2/5, "MEDIUM-LOW", IF(PERCENTRANK(Table4[Bike Access Score], J80) &lt; 3/5, "MEDIUM", IF(PERCENTRANK(Table4[Bike Access Score], J80) &lt; 4/5, "MEDIUM-HIGH", "HIGH"))))</f>
        <v>LOW</v>
      </c>
    </row>
    <row r="81" spans="1:12" x14ac:dyDescent="0.25">
      <c r="A81" s="82" t="s">
        <v>231</v>
      </c>
      <c r="B81" s="83">
        <v>87</v>
      </c>
      <c r="C81" s="88">
        <v>0</v>
      </c>
      <c r="D81" s="67">
        <v>32</v>
      </c>
      <c r="E81" s="67">
        <v>0</v>
      </c>
      <c r="F81" s="67">
        <v>10</v>
      </c>
      <c r="G81" s="67"/>
      <c r="H81" s="21">
        <v>8</v>
      </c>
      <c r="I81" s="21">
        <v>8</v>
      </c>
      <c r="J81" s="67">
        <f t="shared" si="2"/>
        <v>58</v>
      </c>
      <c r="K81" s="21" t="str">
        <f>IF(PERCENTRANK(Table4[Bike Access Score], J81) &lt; 1/5, "1", IF(PERCENTRANK(Table4[Bike Access Score], J81) &lt; 2/5, "2", IF(PERCENTRANK(Table4[Bike Access Score], J81) &lt; 3/5, "3", IF(PERCENTRANK(Table4[Bike Access Score], J81) &lt; 4/5, "4", "5"))))</f>
        <v>5</v>
      </c>
      <c r="L81" s="21" t="str">
        <f>IF(PERCENTRANK(Table4[Bike Access Score], J81) &lt; 1/5, "LOW", IF(PERCENTRANK(Table4[Bike Access Score], J81) &lt; 2/5, "MEDIUM-LOW", IF(PERCENTRANK(Table4[Bike Access Score], J81) &lt; 3/5, "MEDIUM", IF(PERCENTRANK(Table4[Bike Access Score], J81) &lt; 4/5, "MEDIUM-HIGH", "HIGH"))))</f>
        <v>HIGH</v>
      </c>
    </row>
    <row r="82" spans="1:12" x14ac:dyDescent="0.25">
      <c r="A82" s="82" t="s">
        <v>234</v>
      </c>
      <c r="B82" s="83">
        <v>88</v>
      </c>
      <c r="C82" s="88">
        <v>0</v>
      </c>
      <c r="D82" s="67">
        <v>2</v>
      </c>
      <c r="E82" s="67">
        <v>0</v>
      </c>
      <c r="F82" s="67">
        <v>0</v>
      </c>
      <c r="G82" s="67"/>
      <c r="H82" s="21">
        <v>4</v>
      </c>
      <c r="I82" s="21">
        <v>4</v>
      </c>
      <c r="J82" s="67">
        <f t="shared" si="2"/>
        <v>10</v>
      </c>
      <c r="K82" s="21" t="str">
        <f>IF(PERCENTRANK(Table4[Bike Access Score], J82) &lt; 1/5, "1", IF(PERCENTRANK(Table4[Bike Access Score], J82) &lt; 2/5, "2", IF(PERCENTRANK(Table4[Bike Access Score], J82) &lt; 3/5, "3", IF(PERCENTRANK(Table4[Bike Access Score], J82) &lt; 4/5, "4", "5"))))</f>
        <v>3</v>
      </c>
      <c r="L82" s="21" t="str">
        <f>IF(PERCENTRANK(Table4[Bike Access Score], J82) &lt; 1/5, "LOW", IF(PERCENTRANK(Table4[Bike Access Score], J82) &lt; 2/5, "MEDIUM-LOW", IF(PERCENTRANK(Table4[Bike Access Score], J82) &lt; 3/5, "MEDIUM", IF(PERCENTRANK(Table4[Bike Access Score], J82) &lt; 4/5, "MEDIUM-HIGH", "HIGH"))))</f>
        <v>MEDIUM</v>
      </c>
    </row>
    <row r="83" spans="1:12" x14ac:dyDescent="0.25">
      <c r="A83" s="82" t="s">
        <v>236</v>
      </c>
      <c r="B83" s="83">
        <v>89</v>
      </c>
      <c r="C83" s="88">
        <v>0</v>
      </c>
      <c r="D83" s="67">
        <v>2</v>
      </c>
      <c r="E83" s="67">
        <v>0</v>
      </c>
      <c r="F83" s="67">
        <v>0</v>
      </c>
      <c r="G83" s="67"/>
      <c r="H83" s="21">
        <v>4</v>
      </c>
      <c r="I83" s="21">
        <v>4</v>
      </c>
      <c r="J83" s="67">
        <f t="shared" si="2"/>
        <v>10</v>
      </c>
      <c r="K83" s="21" t="str">
        <f>IF(PERCENTRANK(Table4[Bike Access Score], J83) &lt; 1/5, "1", IF(PERCENTRANK(Table4[Bike Access Score], J83) &lt; 2/5, "2", IF(PERCENTRANK(Table4[Bike Access Score], J83) &lt; 3/5, "3", IF(PERCENTRANK(Table4[Bike Access Score], J83) &lt; 4/5, "4", "5"))))</f>
        <v>3</v>
      </c>
      <c r="L83" s="21" t="str">
        <f>IF(PERCENTRANK(Table4[Bike Access Score], J83) &lt; 1/5, "LOW", IF(PERCENTRANK(Table4[Bike Access Score], J83) &lt; 2/5, "MEDIUM-LOW", IF(PERCENTRANK(Table4[Bike Access Score], J83) &lt; 3/5, "MEDIUM", IF(PERCENTRANK(Table4[Bike Access Score], J83) &lt; 4/5, "MEDIUM-HIGH", "HIGH"))))</f>
        <v>MEDIUM</v>
      </c>
    </row>
    <row r="84" spans="1:12" x14ac:dyDescent="0.25">
      <c r="A84" s="82" t="s">
        <v>238</v>
      </c>
      <c r="B84" s="83">
        <v>90</v>
      </c>
      <c r="C84" s="88">
        <v>0</v>
      </c>
      <c r="D84" s="67">
        <v>0</v>
      </c>
      <c r="E84" s="67">
        <v>0</v>
      </c>
      <c r="F84" s="67">
        <v>5</v>
      </c>
      <c r="G84" s="67"/>
      <c r="H84" s="21">
        <v>11</v>
      </c>
      <c r="I84" s="21">
        <v>11</v>
      </c>
      <c r="J84" s="67">
        <f t="shared" si="2"/>
        <v>27</v>
      </c>
      <c r="K84" s="21" t="str">
        <f>IF(PERCENTRANK(Table4[Bike Access Score], J84) &lt; 1/5, "1", IF(PERCENTRANK(Table4[Bike Access Score], J84) &lt; 2/5, "2", IF(PERCENTRANK(Table4[Bike Access Score], J84) &lt; 3/5, "3", IF(PERCENTRANK(Table4[Bike Access Score], J84) &lt; 4/5, "4", "5"))))</f>
        <v>5</v>
      </c>
      <c r="L84" s="21" t="str">
        <f>IF(PERCENTRANK(Table4[Bike Access Score], J84) &lt; 1/5, "LOW", IF(PERCENTRANK(Table4[Bike Access Score], J84) &lt; 2/5, "MEDIUM-LOW", IF(PERCENTRANK(Table4[Bike Access Score], J84) &lt; 3/5, "MEDIUM", IF(PERCENTRANK(Table4[Bike Access Score], J84) &lt; 4/5, "MEDIUM-HIGH", "HIGH"))))</f>
        <v>HIGH</v>
      </c>
    </row>
  </sheetData>
  <sortState ref="A1:K96">
    <sortCondition ref="B4"/>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topLeftCell="A54" workbookViewId="0">
      <selection activeCell="K2" sqref="K2:K84"/>
    </sheetView>
  </sheetViews>
  <sheetFormatPr defaultRowHeight="15" x14ac:dyDescent="0.25"/>
  <cols>
    <col min="1" max="1" width="30.140625" bestFit="1" customWidth="1"/>
    <col min="2" max="2" width="11.7109375" customWidth="1"/>
    <col min="3" max="3" width="11.140625" bestFit="1" customWidth="1"/>
    <col min="4" max="4" width="10" bestFit="1" customWidth="1"/>
    <col min="5" max="5" width="11.140625" bestFit="1" customWidth="1"/>
    <col min="6" max="6" width="11.140625" customWidth="1"/>
    <col min="7" max="7" width="12.42578125" customWidth="1"/>
    <col min="8" max="8" width="19.140625" customWidth="1"/>
    <col min="9" max="9" width="19.140625" bestFit="1" customWidth="1"/>
    <col min="10" max="10" width="19.140625" customWidth="1"/>
    <col min="11" max="11" width="12.5703125" style="21" bestFit="1" customWidth="1"/>
    <col min="12" max="12" width="12" style="21" customWidth="1"/>
    <col min="13" max="13" width="12.85546875" style="21" customWidth="1"/>
    <col min="14" max="14" width="16.42578125" customWidth="1"/>
    <col min="15" max="15" width="24.28515625" customWidth="1"/>
    <col min="16" max="16" width="18.7109375" bestFit="1" customWidth="1"/>
    <col min="18" max="18" width="19.140625" bestFit="1" customWidth="1"/>
    <col min="19" max="19" width="19.140625" customWidth="1"/>
    <col min="20" max="20" width="19.140625" bestFit="1" customWidth="1"/>
  </cols>
  <sheetData>
    <row r="1" spans="1:16" ht="75" x14ac:dyDescent="0.25">
      <c r="A1" s="50" t="s">
        <v>9</v>
      </c>
      <c r="B1" s="59" t="s">
        <v>10</v>
      </c>
      <c r="C1" s="56" t="s">
        <v>394</v>
      </c>
      <c r="D1" s="56" t="s">
        <v>391</v>
      </c>
      <c r="E1" s="56" t="s">
        <v>392</v>
      </c>
      <c r="F1" s="56" t="s">
        <v>395</v>
      </c>
      <c r="G1" s="56" t="s">
        <v>393</v>
      </c>
      <c r="H1" s="56" t="s">
        <v>389</v>
      </c>
      <c r="I1" s="56" t="s">
        <v>390</v>
      </c>
      <c r="J1" s="56" t="s">
        <v>396</v>
      </c>
      <c r="K1" s="69" t="s">
        <v>364</v>
      </c>
      <c r="L1" s="66" t="s">
        <v>367</v>
      </c>
      <c r="M1" s="70" t="s">
        <v>430</v>
      </c>
      <c r="N1" s="77" t="s">
        <v>431</v>
      </c>
      <c r="O1" s="56"/>
      <c r="P1" s="56"/>
    </row>
    <row r="2" spans="1:16" x14ac:dyDescent="0.25">
      <c r="A2" s="62" t="s">
        <v>110</v>
      </c>
      <c r="B2" s="63">
        <v>2</v>
      </c>
      <c r="C2">
        <v>967</v>
      </c>
      <c r="D2">
        <v>3.1413500000000001</v>
      </c>
      <c r="E2">
        <v>307.82900000000001</v>
      </c>
      <c r="F2" t="str">
        <f>IF(PERCENTRANK(Table2[Intersection Density (Mile Buffer)], E2) &lt; 1/5, "1", IF(PERCENTRANK(Table2[Intersection Density (Mile Buffer)], E2) &lt; 2/5, "2", IF(PERCENTRANK(Table2[Intersection Density (Mile Buffer)], E2) &lt; 3/5, "3", IF(PERCENTRANK(Table2[Intersection Density (Mile Buffer)], E2) &lt; 4/5, "4", "5"))))</f>
        <v>5</v>
      </c>
      <c r="G2">
        <v>257</v>
      </c>
      <c r="H2">
        <v>0.78527199999999997</v>
      </c>
      <c r="I2">
        <v>327.27499999999998</v>
      </c>
      <c r="J2" t="str">
        <f>IF(PERCENTRANK(Table2[Intersection Density (Half Mile Buffer)], I2) &lt; 1/5, "1", IF(PERCENTRANK(Table2[Intersection Density (Half Mile Buffer)], I2) &lt; 2/5, "2", IF(PERCENTRANK(Table2[Intersection Density (Half Mile Buffer)], I2) &lt; 3/5, "3", IF(PERCENTRANK(Table2[Intersection Density (Half Mile Buffer)], I2) &lt; 4/5, "4", "5"))))</f>
        <v>5</v>
      </c>
      <c r="K2" s="21">
        <v>7</v>
      </c>
      <c r="L2" s="67">
        <f>Table2[[#This Row],[Intersection Density Score Half Mile]]+K2</f>
        <v>12</v>
      </c>
      <c r="M2" s="67">
        <f>IF(PERCENTRANK(Table2[Pedestrain Access Score], L2) &lt; 1/5, 1, IF(PERCENTRANK(Table2[Pedestrain Access Score], L2) &lt; 2/5, 2, IF(PERCENTRANK(Table2[Pedestrain Access Score], L2) &lt; 3/5,3, IF(PERCENTRANK(Table2[Pedestrain Access Score], L2) &lt; 4/5, 4, 5))))</f>
        <v>5</v>
      </c>
      <c r="N2" t="str">
        <f>IF(PERCENTRANK(Table2[Pedestrain Access Score], L2) &lt; 1/5, "LOW", IF(PERCENTRANK(Table2[Pedestrain Access Score], L2) &lt; 2/5, "MEDIUM-LOW", IF(PERCENTRANK(Table2[Pedestrain Access Score], L2) &lt; 3/5, "MEDIUM", IF(PERCENTRANK(Table2[Pedestrain Access Score], L2) &lt; 4/5, "MEDIUM-HIGH", "HIGH"))))</f>
        <v>HIGH</v>
      </c>
    </row>
    <row r="3" spans="1:16" x14ac:dyDescent="0.25">
      <c r="A3" s="12" t="s">
        <v>266</v>
      </c>
      <c r="B3" s="60">
        <v>3</v>
      </c>
      <c r="C3">
        <v>937</v>
      </c>
      <c r="D3">
        <v>3.1413500000000001</v>
      </c>
      <c r="E3">
        <v>298.279</v>
      </c>
      <c r="F3" t="str">
        <f>IF(PERCENTRANK(Table2[Intersection Density (Mile Buffer)], E3) &lt; 1/5, "1", IF(PERCENTRANK(Table2[Intersection Density (Mile Buffer)], E3) &lt; 2/5, "2", IF(PERCENTRANK(Table2[Intersection Density (Mile Buffer)], E3) &lt; 3/5, "3", IF(PERCENTRANK(Table2[Intersection Density (Mile Buffer)], E3) &lt; 4/5, "4", "5"))))</f>
        <v>5</v>
      </c>
      <c r="G3">
        <v>208</v>
      </c>
      <c r="H3">
        <v>0.78527199999999997</v>
      </c>
      <c r="I3">
        <v>264.87599999999998</v>
      </c>
      <c r="J3" t="str">
        <f>IF(PERCENTRANK(Table2[Intersection Density (Half Mile Buffer)], I3) &lt; 1/5, "1", IF(PERCENTRANK(Table2[Intersection Density (Half Mile Buffer)], I3) &lt; 2/5, "2", IF(PERCENTRANK(Table2[Intersection Density (Half Mile Buffer)], I3) &lt; 3/5, "3", IF(PERCENTRANK(Table2[Intersection Density (Half Mile Buffer)], I3) &lt; 4/5, "4", "5"))))</f>
        <v>5</v>
      </c>
      <c r="K3" s="21">
        <v>10</v>
      </c>
      <c r="L3" s="67">
        <f>Table2[[#This Row],[Intersection Density Score Half Mile]]+K3</f>
        <v>15</v>
      </c>
      <c r="M3" s="67">
        <f>IF(PERCENTRANK(Table2[Pedestrain Access Score], L3) &lt; 1/5, 1, IF(PERCENTRANK(Table2[Pedestrain Access Score], L3) &lt; 2/5, 2, IF(PERCENTRANK(Table2[Pedestrain Access Score], L3) &lt; 3/5,3, IF(PERCENTRANK(Table2[Pedestrain Access Score], L3) &lt; 4/5, 4, 5))))</f>
        <v>5</v>
      </c>
      <c r="N3" t="str">
        <f>IF(PERCENTRANK(Table2[Pedestrain Access Score], L3) &lt; 1/5, "LOW", IF(PERCENTRANK(Table2[Pedestrain Access Score], L3) &lt; 2/5, "MEDIUM-LOW", IF(PERCENTRANK(Table2[Pedestrain Access Score], L3) &lt; 3/5, "MEDIUM", IF(PERCENTRANK(Table2[Pedestrain Access Score], L3) &lt; 4/5, "MEDIUM-HIGH", "HIGH"))))</f>
        <v>HIGH</v>
      </c>
    </row>
    <row r="4" spans="1:16" x14ac:dyDescent="0.25">
      <c r="A4" s="4" t="s">
        <v>32</v>
      </c>
      <c r="B4" s="60">
        <v>4</v>
      </c>
      <c r="C4">
        <v>87</v>
      </c>
      <c r="D4">
        <v>3.1413500000000001</v>
      </c>
      <c r="E4">
        <v>27.6951</v>
      </c>
      <c r="F4" t="str">
        <f>IF(PERCENTRANK(Table2[Intersection Density (Mile Buffer)], E4) &lt; 1/5, "1", IF(PERCENTRANK(Table2[Intersection Density (Mile Buffer)], E4) &lt; 2/5, "2", IF(PERCENTRANK(Table2[Intersection Density (Mile Buffer)], E4) &lt; 3/5, "3", IF(PERCENTRANK(Table2[Intersection Density (Mile Buffer)], E4) &lt; 4/5, "4", "5"))))</f>
        <v>2</v>
      </c>
      <c r="G4">
        <v>17</v>
      </c>
      <c r="H4">
        <v>0.78527199999999997</v>
      </c>
      <c r="I4">
        <v>21.648599999999998</v>
      </c>
      <c r="J4" t="str">
        <f>IF(PERCENTRANK(Table2[Intersection Density (Half Mile Buffer)], I4) &lt; 1/5, "1", IF(PERCENTRANK(Table2[Intersection Density (Half Mile Buffer)], I4) &lt; 2/5, "2", IF(PERCENTRANK(Table2[Intersection Density (Half Mile Buffer)], I4) &lt; 3/5, "3", IF(PERCENTRANK(Table2[Intersection Density (Half Mile Buffer)], I4) &lt; 4/5, "4", "5"))))</f>
        <v>1</v>
      </c>
      <c r="K4" s="21">
        <v>3</v>
      </c>
      <c r="L4" s="67">
        <f>Table2[[#This Row],[Intersection Density Score Half Mile]]+K4</f>
        <v>5</v>
      </c>
      <c r="M4" s="67">
        <f>IF(PERCENTRANK(Table2[Pedestrain Access Score], L4) &lt; 1/5, 1, IF(PERCENTRANK(Table2[Pedestrain Access Score], L4) &lt; 2/5, 2, IF(PERCENTRANK(Table2[Pedestrain Access Score], L4) &lt; 3/5,3, IF(PERCENTRANK(Table2[Pedestrain Access Score], L4) &lt; 4/5, 4, 5))))</f>
        <v>2</v>
      </c>
      <c r="N4" t="str">
        <f>IF(PERCENTRANK(Table2[Pedestrain Access Score], L4) &lt; 1/5, "LOW", IF(PERCENTRANK(Table2[Pedestrain Access Score], L4) &lt; 2/5, "MEDIUM-LOW", IF(PERCENTRANK(Table2[Pedestrain Access Score], L4) &lt; 3/5, "MEDIUM", IF(PERCENTRANK(Table2[Pedestrain Access Score], L4) &lt; 4/5, "MEDIUM-HIGH", "HIGH"))))</f>
        <v>MEDIUM-LOW</v>
      </c>
    </row>
    <row r="5" spans="1:16" x14ac:dyDescent="0.25">
      <c r="A5" s="4" t="s">
        <v>41</v>
      </c>
      <c r="B5" s="60">
        <v>5</v>
      </c>
      <c r="C5">
        <v>207</v>
      </c>
      <c r="D5">
        <v>3.1413500000000001</v>
      </c>
      <c r="E5">
        <v>65.895200000000003</v>
      </c>
      <c r="F5" t="str">
        <f>IF(PERCENTRANK(Table2[Intersection Density (Mile Buffer)], E5) &lt; 1/5, "1", IF(PERCENTRANK(Table2[Intersection Density (Mile Buffer)], E5) &lt; 2/5, "2", IF(PERCENTRANK(Table2[Intersection Density (Mile Buffer)], E5) &lt; 3/5, "3", IF(PERCENTRANK(Table2[Intersection Density (Mile Buffer)], E5) &lt; 4/5, "4", "5"))))</f>
        <v>2</v>
      </c>
      <c r="G5">
        <v>45</v>
      </c>
      <c r="H5">
        <v>0.78527199999999997</v>
      </c>
      <c r="I5">
        <v>57.305</v>
      </c>
      <c r="J5" t="str">
        <f>IF(PERCENTRANK(Table2[Intersection Density (Half Mile Buffer)], I5) &lt; 1/5, "1", IF(PERCENTRANK(Table2[Intersection Density (Half Mile Buffer)], I5) &lt; 2/5, "2", IF(PERCENTRANK(Table2[Intersection Density (Half Mile Buffer)], I5) &lt; 3/5, "3", IF(PERCENTRANK(Table2[Intersection Density (Half Mile Buffer)], I5) &lt; 4/5, "4", "5"))))</f>
        <v>2</v>
      </c>
      <c r="K5" s="21">
        <v>5</v>
      </c>
      <c r="L5" s="67">
        <f>Table2[[#This Row],[Intersection Density Score Half Mile]]+K5</f>
        <v>7</v>
      </c>
      <c r="M5" s="67">
        <f>IF(PERCENTRANK(Table2[Pedestrain Access Score], L5) &lt; 1/5, 1, IF(PERCENTRANK(Table2[Pedestrain Access Score], L5) &lt; 2/5, 2, IF(PERCENTRANK(Table2[Pedestrain Access Score], L5) &lt; 3/5,3, IF(PERCENTRANK(Table2[Pedestrain Access Score], L5) &lt; 4/5, 4, 5))))</f>
        <v>3</v>
      </c>
      <c r="N5" t="str">
        <f>IF(PERCENTRANK(Table2[Pedestrain Access Score], L5) &lt; 1/5, "LOW", IF(PERCENTRANK(Table2[Pedestrain Access Score], L5) &lt; 2/5, "MEDIUM-LOW", IF(PERCENTRANK(Table2[Pedestrain Access Score], L5) &lt; 3/5, "MEDIUM", IF(PERCENTRANK(Table2[Pedestrain Access Score], L5) &lt; 4/5, "MEDIUM-HIGH", "HIGH"))))</f>
        <v>MEDIUM</v>
      </c>
    </row>
    <row r="6" spans="1:16" x14ac:dyDescent="0.25">
      <c r="A6" s="4" t="s">
        <v>44</v>
      </c>
      <c r="B6" s="60">
        <v>6</v>
      </c>
      <c r="C6">
        <v>321</v>
      </c>
      <c r="D6">
        <v>3.1413500000000001</v>
      </c>
      <c r="E6">
        <v>102.185</v>
      </c>
      <c r="F6" t="str">
        <f>IF(PERCENTRANK(Table2[Intersection Density (Mile Buffer)], E6) &lt; 1/5, "1", IF(PERCENTRANK(Table2[Intersection Density (Mile Buffer)], E6) &lt; 2/5, "2", IF(PERCENTRANK(Table2[Intersection Density (Mile Buffer)], E6) &lt; 3/5, "3", IF(PERCENTRANK(Table2[Intersection Density (Mile Buffer)], E6) &lt; 4/5, "4", "5"))))</f>
        <v>4</v>
      </c>
      <c r="G6">
        <v>68</v>
      </c>
      <c r="H6">
        <v>0.78527199999999997</v>
      </c>
      <c r="I6">
        <v>86.594200000000001</v>
      </c>
      <c r="J6" t="str">
        <f>IF(PERCENTRANK(Table2[Intersection Density (Half Mile Buffer)], I6) &lt; 1/5, "1", IF(PERCENTRANK(Table2[Intersection Density (Half Mile Buffer)], I6) &lt; 2/5, "2", IF(PERCENTRANK(Table2[Intersection Density (Half Mile Buffer)], I6) &lt; 3/5, "3", IF(PERCENTRANK(Table2[Intersection Density (Half Mile Buffer)], I6) &lt; 4/5, "4", "5"))))</f>
        <v>3</v>
      </c>
      <c r="K6" s="21">
        <v>6</v>
      </c>
      <c r="L6" s="67">
        <f>Table2[[#This Row],[Intersection Density Score Half Mile]]+K6</f>
        <v>10</v>
      </c>
      <c r="M6" s="67">
        <f>IF(PERCENTRANK(Table2[Pedestrain Access Score], L6) &lt; 1/5, 1, IF(PERCENTRANK(Table2[Pedestrain Access Score], L6) &lt; 2/5, 2, IF(PERCENTRANK(Table2[Pedestrain Access Score], L6) &lt; 3/5,3, IF(PERCENTRANK(Table2[Pedestrain Access Score], L6) &lt; 4/5, 4, 5))))</f>
        <v>4</v>
      </c>
      <c r="N6" t="str">
        <f>IF(PERCENTRANK(Table2[Pedestrain Access Score], L6) &lt; 1/5, "LOW", IF(PERCENTRANK(Table2[Pedestrain Access Score], L6) &lt; 2/5, "MEDIUM-LOW", IF(PERCENTRANK(Table2[Pedestrain Access Score], L6) &lt; 3/5, "MEDIUM", IF(PERCENTRANK(Table2[Pedestrain Access Score], L6) &lt; 4/5, "MEDIUM-HIGH", "HIGH"))))</f>
        <v>MEDIUM-HIGH</v>
      </c>
    </row>
    <row r="7" spans="1:16" x14ac:dyDescent="0.25">
      <c r="A7" s="4" t="s">
        <v>46</v>
      </c>
      <c r="B7" s="60">
        <v>7</v>
      </c>
      <c r="C7">
        <v>368</v>
      </c>
      <c r="D7">
        <v>3.1413500000000001</v>
      </c>
      <c r="E7">
        <v>117.14700000000001</v>
      </c>
      <c r="F7" t="str">
        <f>IF(PERCENTRANK(Table2[Intersection Density (Mile Buffer)], E7) &lt; 1/5, "1", IF(PERCENTRANK(Table2[Intersection Density (Mile Buffer)], E7) &lt; 2/5, "2", IF(PERCENTRANK(Table2[Intersection Density (Mile Buffer)], E7) &lt; 3/5, "3", IF(PERCENTRANK(Table2[Intersection Density (Mile Buffer)], E7) &lt; 4/5, "4", "5"))))</f>
        <v>4</v>
      </c>
      <c r="G7">
        <v>78</v>
      </c>
      <c r="H7">
        <v>0.78527199999999997</v>
      </c>
      <c r="I7">
        <v>99.328599999999994</v>
      </c>
      <c r="J7" t="str">
        <f>IF(PERCENTRANK(Table2[Intersection Density (Half Mile Buffer)], I7) &lt; 1/5, "1", IF(PERCENTRANK(Table2[Intersection Density (Half Mile Buffer)], I7) &lt; 2/5, "2", IF(PERCENTRANK(Table2[Intersection Density (Half Mile Buffer)], I7) &lt; 3/5, "3", IF(PERCENTRANK(Table2[Intersection Density (Half Mile Buffer)], I7) &lt; 4/5, "4", "5"))))</f>
        <v>3</v>
      </c>
      <c r="K7" s="21">
        <v>6</v>
      </c>
      <c r="L7" s="67">
        <f>Table2[[#This Row],[Intersection Density Score Half Mile]]+K7</f>
        <v>10</v>
      </c>
      <c r="M7" s="67">
        <f>IF(PERCENTRANK(Table2[Pedestrain Access Score], L7) &lt; 1/5, 1, IF(PERCENTRANK(Table2[Pedestrain Access Score], L7) &lt; 2/5, 2, IF(PERCENTRANK(Table2[Pedestrain Access Score], L7) &lt; 3/5,3, IF(PERCENTRANK(Table2[Pedestrain Access Score], L7) &lt; 4/5, 4, 5))))</f>
        <v>4</v>
      </c>
      <c r="N7" t="str">
        <f>IF(PERCENTRANK(Table2[Pedestrain Access Score], L7) &lt; 1/5, "LOW", IF(PERCENTRANK(Table2[Pedestrain Access Score], L7) &lt; 2/5, "MEDIUM-LOW", IF(PERCENTRANK(Table2[Pedestrain Access Score], L7) &lt; 3/5, "MEDIUM", IF(PERCENTRANK(Table2[Pedestrain Access Score], L7) &lt; 4/5, "MEDIUM-HIGH", "HIGH"))))</f>
        <v>MEDIUM-HIGH</v>
      </c>
    </row>
    <row r="8" spans="1:16" x14ac:dyDescent="0.25">
      <c r="A8" s="4" t="s">
        <v>53</v>
      </c>
      <c r="B8" s="60">
        <v>8</v>
      </c>
      <c r="C8">
        <v>527</v>
      </c>
      <c r="D8">
        <v>3.1413500000000001</v>
      </c>
      <c r="E8">
        <v>167.762</v>
      </c>
      <c r="F8" t="str">
        <f>IF(PERCENTRANK(Table2[Intersection Density (Mile Buffer)], E8) &lt; 1/5, "1", IF(PERCENTRANK(Table2[Intersection Density (Mile Buffer)], E8) &lt; 2/5, "2", IF(PERCENTRANK(Table2[Intersection Density (Mile Buffer)], E8) &lt; 3/5, "3", IF(PERCENTRANK(Table2[Intersection Density (Mile Buffer)], E8) &lt; 4/5, "4", "5"))))</f>
        <v>4</v>
      </c>
      <c r="G8">
        <v>150</v>
      </c>
      <c r="H8">
        <v>0.78527199999999997</v>
      </c>
      <c r="I8">
        <v>191.017</v>
      </c>
      <c r="J8" t="str">
        <f>IF(PERCENTRANK(Table2[Intersection Density (Half Mile Buffer)], I8) &lt; 1/5, "1", IF(PERCENTRANK(Table2[Intersection Density (Half Mile Buffer)], I8) &lt; 2/5, "2", IF(PERCENTRANK(Table2[Intersection Density (Half Mile Buffer)], I8) &lt; 3/5, "3", IF(PERCENTRANK(Table2[Intersection Density (Half Mile Buffer)], I8) &lt; 4/5, "4", "5"))))</f>
        <v>4</v>
      </c>
      <c r="K8" s="21">
        <v>6</v>
      </c>
      <c r="L8" s="67">
        <f>Table2[[#This Row],[Intersection Density Score Half Mile]]+K8</f>
        <v>10</v>
      </c>
      <c r="M8" s="67">
        <f>IF(PERCENTRANK(Table2[Pedestrain Access Score], L8) &lt; 1/5, 1, IF(PERCENTRANK(Table2[Pedestrain Access Score], L8) &lt; 2/5, 2, IF(PERCENTRANK(Table2[Pedestrain Access Score], L8) &lt; 3/5,3, IF(PERCENTRANK(Table2[Pedestrain Access Score], L8) &lt; 4/5, 4, 5))))</f>
        <v>4</v>
      </c>
      <c r="N8" t="str">
        <f>IF(PERCENTRANK(Table2[Pedestrain Access Score], L8) &lt; 1/5, "LOW", IF(PERCENTRANK(Table2[Pedestrain Access Score], L8) &lt; 2/5, "MEDIUM-LOW", IF(PERCENTRANK(Table2[Pedestrain Access Score], L8) &lt; 3/5, "MEDIUM", IF(PERCENTRANK(Table2[Pedestrain Access Score], L8) &lt; 4/5, "MEDIUM-HIGH", "HIGH"))))</f>
        <v>MEDIUM-HIGH</v>
      </c>
    </row>
    <row r="9" spans="1:16" x14ac:dyDescent="0.25">
      <c r="A9" s="4" t="s">
        <v>351</v>
      </c>
      <c r="B9" s="60">
        <v>9</v>
      </c>
      <c r="C9">
        <v>592</v>
      </c>
      <c r="D9">
        <v>3.1413500000000001</v>
      </c>
      <c r="E9">
        <v>188.45400000000001</v>
      </c>
      <c r="F9" t="str">
        <f>IF(PERCENTRANK(Table2[Intersection Density (Mile Buffer)], E9) &lt; 1/5, "1", IF(PERCENTRANK(Table2[Intersection Density (Mile Buffer)], E9) &lt; 2/5, "2", IF(PERCENTRANK(Table2[Intersection Density (Mile Buffer)], E9) &lt; 3/5, "3", IF(PERCENTRANK(Table2[Intersection Density (Mile Buffer)], E9) &lt; 4/5, "4", "5"))))</f>
        <v>4</v>
      </c>
      <c r="G9">
        <v>171</v>
      </c>
      <c r="H9">
        <v>0.78527199999999997</v>
      </c>
      <c r="I9">
        <v>217.75899999999999</v>
      </c>
      <c r="J9" t="str">
        <f>IF(PERCENTRANK(Table2[Intersection Density (Half Mile Buffer)], I9) &lt; 1/5, "1", IF(PERCENTRANK(Table2[Intersection Density (Half Mile Buffer)], I9) &lt; 2/5, "2", IF(PERCENTRANK(Table2[Intersection Density (Half Mile Buffer)], I9) &lt; 3/5, "3", IF(PERCENTRANK(Table2[Intersection Density (Half Mile Buffer)], I9) &lt; 4/5, "4", "5"))))</f>
        <v>4</v>
      </c>
      <c r="K9" s="21">
        <v>7</v>
      </c>
      <c r="L9" s="67">
        <f>Table2[[#This Row],[Intersection Density Score Half Mile]]+K9</f>
        <v>11</v>
      </c>
      <c r="M9" s="67">
        <f>IF(PERCENTRANK(Table2[Pedestrain Access Score], L9) &lt; 1/5, 1, IF(PERCENTRANK(Table2[Pedestrain Access Score], L9) &lt; 2/5, 2, IF(PERCENTRANK(Table2[Pedestrain Access Score], L9) &lt; 3/5,3, IF(PERCENTRANK(Table2[Pedestrain Access Score], L9) &lt; 4/5, 4, 5))))</f>
        <v>4</v>
      </c>
      <c r="N9" t="str">
        <f>IF(PERCENTRANK(Table2[Pedestrain Access Score], L9) &lt; 1/5, "LOW", IF(PERCENTRANK(Table2[Pedestrain Access Score], L9) &lt; 2/5, "MEDIUM-LOW", IF(PERCENTRANK(Table2[Pedestrain Access Score], L9) &lt; 3/5, "MEDIUM", IF(PERCENTRANK(Table2[Pedestrain Access Score], L9) &lt; 4/5, "MEDIUM-HIGH", "HIGH"))))</f>
        <v>MEDIUM-HIGH</v>
      </c>
    </row>
    <row r="10" spans="1:16" x14ac:dyDescent="0.25">
      <c r="A10" s="4" t="s">
        <v>56</v>
      </c>
      <c r="B10" s="60">
        <v>10</v>
      </c>
      <c r="C10">
        <v>525</v>
      </c>
      <c r="D10">
        <v>3.1413500000000001</v>
      </c>
      <c r="E10">
        <v>167.126</v>
      </c>
      <c r="F10" t="str">
        <f>IF(PERCENTRANK(Table2[Intersection Density (Mile Buffer)], E10) &lt; 1/5, "1", IF(PERCENTRANK(Table2[Intersection Density (Mile Buffer)], E10) &lt; 2/5, "2", IF(PERCENTRANK(Table2[Intersection Density (Mile Buffer)], E10) &lt; 3/5, "3", IF(PERCENTRANK(Table2[Intersection Density (Mile Buffer)], E10) &lt; 4/5, "4", "5"))))</f>
        <v>4</v>
      </c>
      <c r="G10">
        <v>154</v>
      </c>
      <c r="H10">
        <v>0.78527199999999997</v>
      </c>
      <c r="I10">
        <v>196.11</v>
      </c>
      <c r="J10" t="str">
        <f>IF(PERCENTRANK(Table2[Intersection Density (Half Mile Buffer)], I10) &lt; 1/5, "1", IF(PERCENTRANK(Table2[Intersection Density (Half Mile Buffer)], I10) &lt; 2/5, "2", IF(PERCENTRANK(Table2[Intersection Density (Half Mile Buffer)], I10) &lt; 3/5, "3", IF(PERCENTRANK(Table2[Intersection Density (Half Mile Buffer)], I10) &lt; 4/5, "4", "5"))))</f>
        <v>4</v>
      </c>
      <c r="K10" s="21">
        <v>6</v>
      </c>
      <c r="L10" s="67">
        <f>Table2[[#This Row],[Intersection Density Score Half Mile]]+K10</f>
        <v>10</v>
      </c>
      <c r="M10" s="67">
        <f>IF(PERCENTRANK(Table2[Pedestrain Access Score], L10) &lt; 1/5, 1, IF(PERCENTRANK(Table2[Pedestrain Access Score], L10) &lt; 2/5, 2, IF(PERCENTRANK(Table2[Pedestrain Access Score], L10) &lt; 3/5,3, IF(PERCENTRANK(Table2[Pedestrain Access Score], L10) &lt; 4/5, 4, 5))))</f>
        <v>4</v>
      </c>
      <c r="N10" t="str">
        <f>IF(PERCENTRANK(Table2[Pedestrain Access Score], L10) &lt; 1/5, "LOW", IF(PERCENTRANK(Table2[Pedestrain Access Score], L10) &lt; 2/5, "MEDIUM-LOW", IF(PERCENTRANK(Table2[Pedestrain Access Score], L10) &lt; 3/5, "MEDIUM", IF(PERCENTRANK(Table2[Pedestrain Access Score], L10) &lt; 4/5, "MEDIUM-HIGH", "HIGH"))))</f>
        <v>MEDIUM-HIGH</v>
      </c>
    </row>
    <row r="11" spans="1:16" x14ac:dyDescent="0.25">
      <c r="A11" s="4" t="s">
        <v>59</v>
      </c>
      <c r="B11" s="60">
        <v>11</v>
      </c>
      <c r="C11">
        <v>735</v>
      </c>
      <c r="D11">
        <v>3.1413500000000001</v>
      </c>
      <c r="E11">
        <v>233.976</v>
      </c>
      <c r="F11" t="str">
        <f>IF(PERCENTRANK(Table2[Intersection Density (Mile Buffer)], E11) &lt; 1/5, "1", IF(PERCENTRANK(Table2[Intersection Density (Mile Buffer)], E11) &lt; 2/5, "2", IF(PERCENTRANK(Table2[Intersection Density (Mile Buffer)], E11) &lt; 3/5, "3", IF(PERCENTRANK(Table2[Intersection Density (Mile Buffer)], E11) &lt; 4/5, "4", "5"))))</f>
        <v>5</v>
      </c>
      <c r="G11">
        <v>269</v>
      </c>
      <c r="H11">
        <v>0.78527199999999997</v>
      </c>
      <c r="I11">
        <v>342.55599999999998</v>
      </c>
      <c r="J11" t="str">
        <f>IF(PERCENTRANK(Table2[Intersection Density (Half Mile Buffer)], I11) &lt; 1/5, "1", IF(PERCENTRANK(Table2[Intersection Density (Half Mile Buffer)], I11) &lt; 2/5, "2", IF(PERCENTRANK(Table2[Intersection Density (Half Mile Buffer)], I11) &lt; 3/5, "3", IF(PERCENTRANK(Table2[Intersection Density (Half Mile Buffer)], I11) &lt; 4/5, "4", "5"))))</f>
        <v>5</v>
      </c>
      <c r="K11" s="21">
        <v>8</v>
      </c>
      <c r="L11" s="67">
        <f>Table2[[#This Row],[Intersection Density Score Half Mile]]+K11</f>
        <v>13</v>
      </c>
      <c r="M11" s="67">
        <f>IF(PERCENTRANK(Table2[Pedestrain Access Score], L11) &lt; 1/5, 1, IF(PERCENTRANK(Table2[Pedestrain Access Score], L11) &lt; 2/5, 2, IF(PERCENTRANK(Table2[Pedestrain Access Score], L11) &lt; 3/5,3, IF(PERCENTRANK(Table2[Pedestrain Access Score], L11) &lt; 4/5, 4, 5))))</f>
        <v>5</v>
      </c>
      <c r="N11" t="str">
        <f>IF(PERCENTRANK(Table2[Pedestrain Access Score], L11) &lt; 1/5, "LOW", IF(PERCENTRANK(Table2[Pedestrain Access Score], L11) &lt; 2/5, "MEDIUM-LOW", IF(PERCENTRANK(Table2[Pedestrain Access Score], L11) &lt; 3/5, "MEDIUM", IF(PERCENTRANK(Table2[Pedestrain Access Score], L11) &lt; 4/5, "MEDIUM-HIGH", "HIGH"))))</f>
        <v>HIGH</v>
      </c>
    </row>
    <row r="12" spans="1:16" x14ac:dyDescent="0.25">
      <c r="A12" s="4" t="s">
        <v>61</v>
      </c>
      <c r="B12" s="60">
        <v>12</v>
      </c>
      <c r="C12">
        <v>945</v>
      </c>
      <c r="D12">
        <v>3.1413500000000001</v>
      </c>
      <c r="E12">
        <v>300.82600000000002</v>
      </c>
      <c r="F12" t="str">
        <f>IF(PERCENTRANK(Table2[Intersection Density (Mile Buffer)], E12) &lt; 1/5, "1", IF(PERCENTRANK(Table2[Intersection Density (Mile Buffer)], E12) &lt; 2/5, "2", IF(PERCENTRANK(Table2[Intersection Density (Mile Buffer)], E12) &lt; 3/5, "3", IF(PERCENTRANK(Table2[Intersection Density (Mile Buffer)], E12) &lt; 4/5, "4", "5"))))</f>
        <v>5</v>
      </c>
      <c r="G12">
        <v>277</v>
      </c>
      <c r="H12">
        <v>0.78527199999999997</v>
      </c>
      <c r="I12">
        <v>352.74400000000003</v>
      </c>
      <c r="J12" t="str">
        <f>IF(PERCENTRANK(Table2[Intersection Density (Half Mile Buffer)], I12) &lt; 1/5, "1", IF(PERCENTRANK(Table2[Intersection Density (Half Mile Buffer)], I12) &lt; 2/5, "2", IF(PERCENTRANK(Table2[Intersection Density (Half Mile Buffer)], I12) &lt; 3/5, "3", IF(PERCENTRANK(Table2[Intersection Density (Half Mile Buffer)], I12) &lt; 4/5, "4", "5"))))</f>
        <v>5</v>
      </c>
      <c r="K12" s="21">
        <v>8</v>
      </c>
      <c r="L12" s="67">
        <f>Table2[[#This Row],[Intersection Density Score Half Mile]]+K12</f>
        <v>13</v>
      </c>
      <c r="M12" s="67">
        <f>IF(PERCENTRANK(Table2[Pedestrain Access Score], L12) &lt; 1/5, 1, IF(PERCENTRANK(Table2[Pedestrain Access Score], L12) &lt; 2/5, 2, IF(PERCENTRANK(Table2[Pedestrain Access Score], L12) &lt; 3/5,3, IF(PERCENTRANK(Table2[Pedestrain Access Score], L12) &lt; 4/5, 4, 5))))</f>
        <v>5</v>
      </c>
      <c r="N12" t="str">
        <f>IF(PERCENTRANK(Table2[Pedestrain Access Score], L12) &lt; 1/5, "LOW", IF(PERCENTRANK(Table2[Pedestrain Access Score], L12) &lt; 2/5, "MEDIUM-LOW", IF(PERCENTRANK(Table2[Pedestrain Access Score], L12) &lt; 3/5, "MEDIUM", IF(PERCENTRANK(Table2[Pedestrain Access Score], L12) &lt; 4/5, "MEDIUM-HIGH", "HIGH"))))</f>
        <v>HIGH</v>
      </c>
    </row>
    <row r="13" spans="1:16" x14ac:dyDescent="0.25">
      <c r="A13" s="4" t="s">
        <v>63</v>
      </c>
      <c r="B13" s="60">
        <v>13</v>
      </c>
      <c r="C13">
        <v>1026</v>
      </c>
      <c r="D13">
        <v>3.1413500000000001</v>
      </c>
      <c r="E13">
        <v>326.61099999999999</v>
      </c>
      <c r="F13" t="str">
        <f>IF(PERCENTRANK(Table2[Intersection Density (Mile Buffer)], E13) &lt; 1/5, "1", IF(PERCENTRANK(Table2[Intersection Density (Mile Buffer)], E13) &lt; 2/5, "2", IF(PERCENTRANK(Table2[Intersection Density (Mile Buffer)], E13) &lt; 3/5, "3", IF(PERCENTRANK(Table2[Intersection Density (Mile Buffer)], E13) &lt; 4/5, "4", "5"))))</f>
        <v>5</v>
      </c>
      <c r="G13">
        <v>269</v>
      </c>
      <c r="H13">
        <v>0.78527199999999997</v>
      </c>
      <c r="I13">
        <v>342.55599999999998</v>
      </c>
      <c r="J13" t="str">
        <f>IF(PERCENTRANK(Table2[Intersection Density (Half Mile Buffer)], I13) &lt; 1/5, "1", IF(PERCENTRANK(Table2[Intersection Density (Half Mile Buffer)], I13) &lt; 2/5, "2", IF(PERCENTRANK(Table2[Intersection Density (Half Mile Buffer)], I13) &lt; 3/5, "3", IF(PERCENTRANK(Table2[Intersection Density (Half Mile Buffer)], I13) &lt; 4/5, "4", "5"))))</f>
        <v>5</v>
      </c>
      <c r="K13" s="21">
        <v>11</v>
      </c>
      <c r="L13" s="67">
        <f>Table2[[#This Row],[Intersection Density Score Half Mile]]+K13</f>
        <v>16</v>
      </c>
      <c r="M13" s="67">
        <f>IF(PERCENTRANK(Table2[Pedestrain Access Score], L13) &lt; 1/5, 1, IF(PERCENTRANK(Table2[Pedestrain Access Score], L13) &lt; 2/5, 2, IF(PERCENTRANK(Table2[Pedestrain Access Score], L13) &lt; 3/5,3, IF(PERCENTRANK(Table2[Pedestrain Access Score], L13) &lt; 4/5, 4, 5))))</f>
        <v>5</v>
      </c>
      <c r="N13" t="str">
        <f>IF(PERCENTRANK(Table2[Pedestrain Access Score], L13) &lt; 1/5, "LOW", IF(PERCENTRANK(Table2[Pedestrain Access Score], L13) &lt; 2/5, "MEDIUM-LOW", IF(PERCENTRANK(Table2[Pedestrain Access Score], L13) &lt; 3/5, "MEDIUM", IF(PERCENTRANK(Table2[Pedestrain Access Score], L13) &lt; 4/5, "MEDIUM-HIGH", "HIGH"))))</f>
        <v>HIGH</v>
      </c>
    </row>
    <row r="14" spans="1:16" x14ac:dyDescent="0.25">
      <c r="A14" s="4" t="s">
        <v>68</v>
      </c>
      <c r="B14" s="60">
        <v>14</v>
      </c>
      <c r="C14">
        <v>1057</v>
      </c>
      <c r="D14">
        <v>3.1413500000000001</v>
      </c>
      <c r="E14">
        <v>336.48</v>
      </c>
      <c r="F14" t="str">
        <f>IF(PERCENTRANK(Table2[Intersection Density (Mile Buffer)], E14) &lt; 1/5, "1", IF(PERCENTRANK(Table2[Intersection Density (Mile Buffer)], E14) &lt; 2/5, "2", IF(PERCENTRANK(Table2[Intersection Density (Mile Buffer)], E14) &lt; 3/5, "3", IF(PERCENTRANK(Table2[Intersection Density (Mile Buffer)], E14) &lt; 4/5, "4", "5"))))</f>
        <v>5</v>
      </c>
      <c r="G14">
        <v>292</v>
      </c>
      <c r="H14">
        <v>0.78527199999999997</v>
      </c>
      <c r="I14">
        <v>371.846</v>
      </c>
      <c r="J14" t="str">
        <f>IF(PERCENTRANK(Table2[Intersection Density (Half Mile Buffer)], I14) &lt; 1/5, "1", IF(PERCENTRANK(Table2[Intersection Density (Half Mile Buffer)], I14) &lt; 2/5, "2", IF(PERCENTRANK(Table2[Intersection Density (Half Mile Buffer)], I14) &lt; 3/5, "3", IF(PERCENTRANK(Table2[Intersection Density (Half Mile Buffer)], I14) &lt; 4/5, "4", "5"))))</f>
        <v>5</v>
      </c>
      <c r="K14" s="21">
        <v>9</v>
      </c>
      <c r="L14" s="67">
        <f>Table2[[#This Row],[Intersection Density Score Half Mile]]+K14</f>
        <v>14</v>
      </c>
      <c r="M14" s="67">
        <f>IF(PERCENTRANK(Table2[Pedestrain Access Score], L14) &lt; 1/5, 1, IF(PERCENTRANK(Table2[Pedestrain Access Score], L14) &lt; 2/5, 2, IF(PERCENTRANK(Table2[Pedestrain Access Score], L14) &lt; 3/5,3, IF(PERCENTRANK(Table2[Pedestrain Access Score], L14) &lt; 4/5, 4, 5))))</f>
        <v>5</v>
      </c>
      <c r="N14" t="str">
        <f>IF(PERCENTRANK(Table2[Pedestrain Access Score], L14) &lt; 1/5, "LOW", IF(PERCENTRANK(Table2[Pedestrain Access Score], L14) &lt; 2/5, "MEDIUM-LOW", IF(PERCENTRANK(Table2[Pedestrain Access Score], L14) &lt; 3/5, "MEDIUM", IF(PERCENTRANK(Table2[Pedestrain Access Score], L14) &lt; 4/5, "MEDIUM-HIGH", "HIGH"))))</f>
        <v>HIGH</v>
      </c>
    </row>
    <row r="15" spans="1:16" x14ac:dyDescent="0.25">
      <c r="A15" s="4" t="s">
        <v>70</v>
      </c>
      <c r="B15" s="60">
        <v>15</v>
      </c>
      <c r="C15">
        <v>998</v>
      </c>
      <c r="D15">
        <v>3.1413500000000001</v>
      </c>
      <c r="E15">
        <v>317.69799999999998</v>
      </c>
      <c r="F15" t="str">
        <f>IF(PERCENTRANK(Table2[Intersection Density (Mile Buffer)], E15) &lt; 1/5, "1", IF(PERCENTRANK(Table2[Intersection Density (Mile Buffer)], E15) &lt; 2/5, "2", IF(PERCENTRANK(Table2[Intersection Density (Mile Buffer)], E15) &lt; 3/5, "3", IF(PERCENTRANK(Table2[Intersection Density (Mile Buffer)], E15) &lt; 4/5, "4", "5"))))</f>
        <v>5</v>
      </c>
      <c r="G15">
        <v>250</v>
      </c>
      <c r="H15">
        <v>0.78527199999999997</v>
      </c>
      <c r="I15">
        <v>318.36099999999999</v>
      </c>
      <c r="J15" t="str">
        <f>IF(PERCENTRANK(Table2[Intersection Density (Half Mile Buffer)], I15) &lt; 1/5, "1", IF(PERCENTRANK(Table2[Intersection Density (Half Mile Buffer)], I15) &lt; 2/5, "2", IF(PERCENTRANK(Table2[Intersection Density (Half Mile Buffer)], I15) &lt; 3/5, "3", IF(PERCENTRANK(Table2[Intersection Density (Half Mile Buffer)], I15) &lt; 4/5, "4", "5"))))</f>
        <v>5</v>
      </c>
      <c r="K15" s="21">
        <v>10</v>
      </c>
      <c r="L15" s="67">
        <f>Table2[[#This Row],[Intersection Density Score Half Mile]]+K15</f>
        <v>15</v>
      </c>
      <c r="M15" s="67">
        <f>IF(PERCENTRANK(Table2[Pedestrain Access Score], L15) &lt; 1/5, 1, IF(PERCENTRANK(Table2[Pedestrain Access Score], L15) &lt; 2/5, 2, IF(PERCENTRANK(Table2[Pedestrain Access Score], L15) &lt; 3/5,3, IF(PERCENTRANK(Table2[Pedestrain Access Score], L15) &lt; 4/5, 4, 5))))</f>
        <v>5</v>
      </c>
      <c r="N15" t="str">
        <f>IF(PERCENTRANK(Table2[Pedestrain Access Score], L15) &lt; 1/5, "LOW", IF(PERCENTRANK(Table2[Pedestrain Access Score], L15) &lt; 2/5, "MEDIUM-LOW", IF(PERCENTRANK(Table2[Pedestrain Access Score], L15) &lt; 3/5, "MEDIUM", IF(PERCENTRANK(Table2[Pedestrain Access Score], L15) &lt; 4/5, "MEDIUM-HIGH", "HIGH"))))</f>
        <v>HIGH</v>
      </c>
    </row>
    <row r="16" spans="1:16" x14ac:dyDescent="0.25">
      <c r="A16" s="4" t="s">
        <v>71</v>
      </c>
      <c r="B16" s="60">
        <v>16</v>
      </c>
      <c r="C16">
        <v>952</v>
      </c>
      <c r="D16">
        <v>3.1413500000000001</v>
      </c>
      <c r="E16">
        <v>303.05399999999997</v>
      </c>
      <c r="F16" t="str">
        <f>IF(PERCENTRANK(Table2[Intersection Density (Mile Buffer)], E16) &lt; 1/5, "1", IF(PERCENTRANK(Table2[Intersection Density (Mile Buffer)], E16) &lt; 2/5, "2", IF(PERCENTRANK(Table2[Intersection Density (Mile Buffer)], E16) &lt; 3/5, "3", IF(PERCENTRANK(Table2[Intersection Density (Mile Buffer)], E16) &lt; 4/5, "4", "5"))))</f>
        <v>5</v>
      </c>
      <c r="G16">
        <v>261</v>
      </c>
      <c r="H16">
        <v>0.78527199999999997</v>
      </c>
      <c r="I16">
        <v>332.36900000000003</v>
      </c>
      <c r="J16" t="str">
        <f>IF(PERCENTRANK(Table2[Intersection Density (Half Mile Buffer)], I16) &lt; 1/5, "1", IF(PERCENTRANK(Table2[Intersection Density (Half Mile Buffer)], I16) &lt; 2/5, "2", IF(PERCENTRANK(Table2[Intersection Density (Half Mile Buffer)], I16) &lt; 3/5, "3", IF(PERCENTRANK(Table2[Intersection Density (Half Mile Buffer)], I16) &lt; 4/5, "4", "5"))))</f>
        <v>5</v>
      </c>
      <c r="K16" s="21">
        <v>11</v>
      </c>
      <c r="L16" s="67">
        <f>Table2[[#This Row],[Intersection Density Score Half Mile]]+K16</f>
        <v>16</v>
      </c>
      <c r="M16" s="67">
        <f>IF(PERCENTRANK(Table2[Pedestrain Access Score], L16) &lt; 1/5, 1, IF(PERCENTRANK(Table2[Pedestrain Access Score], L16) &lt; 2/5, 2, IF(PERCENTRANK(Table2[Pedestrain Access Score], L16) &lt; 3/5,3, IF(PERCENTRANK(Table2[Pedestrain Access Score], L16) &lt; 4/5, 4, 5))))</f>
        <v>5</v>
      </c>
      <c r="N16" t="str">
        <f>IF(PERCENTRANK(Table2[Pedestrain Access Score], L16) &lt; 1/5, "LOW", IF(PERCENTRANK(Table2[Pedestrain Access Score], L16) &lt; 2/5, "MEDIUM-LOW", IF(PERCENTRANK(Table2[Pedestrain Access Score], L16) &lt; 3/5, "MEDIUM", IF(PERCENTRANK(Table2[Pedestrain Access Score], L16) &lt; 4/5, "MEDIUM-HIGH", "HIGH"))))</f>
        <v>HIGH</v>
      </c>
    </row>
    <row r="17" spans="1:14" x14ac:dyDescent="0.25">
      <c r="A17" s="4" t="s">
        <v>348</v>
      </c>
      <c r="B17" s="60">
        <v>17</v>
      </c>
      <c r="C17">
        <v>1063</v>
      </c>
      <c r="D17">
        <v>3.1413500000000001</v>
      </c>
      <c r="E17">
        <v>338.39</v>
      </c>
      <c r="F17" t="str">
        <f>IF(PERCENTRANK(Table2[Intersection Density (Mile Buffer)], E17) &lt; 1/5, "1", IF(PERCENTRANK(Table2[Intersection Density (Mile Buffer)], E17) &lt; 2/5, "2", IF(PERCENTRANK(Table2[Intersection Density (Mile Buffer)], E17) &lt; 3/5, "3", IF(PERCENTRANK(Table2[Intersection Density (Mile Buffer)], E17) &lt; 4/5, "4", "5"))))</f>
        <v>5</v>
      </c>
      <c r="G17">
        <v>234</v>
      </c>
      <c r="H17">
        <v>0.78527199999999997</v>
      </c>
      <c r="I17">
        <v>297.98599999999999</v>
      </c>
      <c r="J17" t="str">
        <f>IF(PERCENTRANK(Table2[Intersection Density (Half Mile Buffer)], I17) &lt; 1/5, "1", IF(PERCENTRANK(Table2[Intersection Density (Half Mile Buffer)], I17) &lt; 2/5, "2", IF(PERCENTRANK(Table2[Intersection Density (Half Mile Buffer)], I17) &lt; 3/5, "3", IF(PERCENTRANK(Table2[Intersection Density (Half Mile Buffer)], I17) &lt; 4/5, "4", "5"))))</f>
        <v>5</v>
      </c>
      <c r="K17" s="21">
        <v>10</v>
      </c>
      <c r="L17" s="67">
        <f>Table2[[#This Row],[Intersection Density Score Half Mile]]+K17</f>
        <v>15</v>
      </c>
      <c r="M17" s="67">
        <f>IF(PERCENTRANK(Table2[Pedestrain Access Score], L17) &lt; 1/5, 1, IF(PERCENTRANK(Table2[Pedestrain Access Score], L17) &lt; 2/5, 2, IF(PERCENTRANK(Table2[Pedestrain Access Score], L17) &lt; 3/5,3, IF(PERCENTRANK(Table2[Pedestrain Access Score], L17) &lt; 4/5, 4, 5))))</f>
        <v>5</v>
      </c>
      <c r="N17" t="str">
        <f>IF(PERCENTRANK(Table2[Pedestrain Access Score], L17) &lt; 1/5, "LOW", IF(PERCENTRANK(Table2[Pedestrain Access Score], L17) &lt; 2/5, "MEDIUM-LOW", IF(PERCENTRANK(Table2[Pedestrain Access Score], L17) &lt; 3/5, "MEDIUM", IF(PERCENTRANK(Table2[Pedestrain Access Score], L17) &lt; 4/5, "MEDIUM-HIGH", "HIGH"))))</f>
        <v>HIGH</v>
      </c>
    </row>
    <row r="18" spans="1:14" x14ac:dyDescent="0.25">
      <c r="A18" s="12" t="s">
        <v>74</v>
      </c>
      <c r="B18" s="60">
        <v>18</v>
      </c>
      <c r="C18">
        <v>36</v>
      </c>
      <c r="D18">
        <v>3.1413500000000001</v>
      </c>
      <c r="E18">
        <v>11.46</v>
      </c>
      <c r="F18" t="str">
        <f>IF(PERCENTRANK(Table2[Intersection Density (Mile Buffer)], E18) &lt; 1/5, "1", IF(PERCENTRANK(Table2[Intersection Density (Mile Buffer)], E18) &lt; 2/5, "2", IF(PERCENTRANK(Table2[Intersection Density (Mile Buffer)], E18) &lt; 3/5, "3", IF(PERCENTRANK(Table2[Intersection Density (Mile Buffer)], E18) &lt; 4/5, "4", "5"))))</f>
        <v>1</v>
      </c>
      <c r="G18">
        <v>0</v>
      </c>
      <c r="H18">
        <v>0.78527199999999997</v>
      </c>
      <c r="I18">
        <v>0</v>
      </c>
      <c r="J18" t="str">
        <f>IF(PERCENTRANK(Table2[Intersection Density (Half Mile Buffer)], I18) &lt; 1/5, "1", IF(PERCENTRANK(Table2[Intersection Density (Half Mile Buffer)], I18) &lt; 2/5, "2", IF(PERCENTRANK(Table2[Intersection Density (Half Mile Buffer)], I18) &lt; 3/5, "3", IF(PERCENTRANK(Table2[Intersection Density (Half Mile Buffer)], I18) &lt; 4/5, "4", "5"))))</f>
        <v>1</v>
      </c>
      <c r="K18" s="21">
        <v>3</v>
      </c>
      <c r="L18" s="67">
        <f>Table2[[#This Row],[Intersection Density Score Half Mile]]+K18</f>
        <v>4</v>
      </c>
      <c r="M18" s="67">
        <f>IF(PERCENTRANK(Table2[Pedestrain Access Score], L18) &lt; 1/5, 1, IF(PERCENTRANK(Table2[Pedestrain Access Score], L18) &lt; 2/5, 2, IF(PERCENTRANK(Table2[Pedestrain Access Score], L18) &lt; 3/5,3, IF(PERCENTRANK(Table2[Pedestrain Access Score], L18) &lt; 4/5, 4, 5))))</f>
        <v>1</v>
      </c>
      <c r="N18" t="str">
        <f>IF(PERCENTRANK(Table2[Pedestrain Access Score], L18) &lt; 1/5, "LOW", IF(PERCENTRANK(Table2[Pedestrain Access Score], L18) &lt; 2/5, "MEDIUM-LOW", IF(PERCENTRANK(Table2[Pedestrain Access Score], L18) &lt; 3/5, "MEDIUM", IF(PERCENTRANK(Table2[Pedestrain Access Score], L18) &lt; 4/5, "MEDIUM-HIGH", "HIGH"))))</f>
        <v>LOW</v>
      </c>
    </row>
    <row r="19" spans="1:14" x14ac:dyDescent="0.25">
      <c r="A19" s="12" t="s">
        <v>346</v>
      </c>
      <c r="B19" s="60">
        <v>19</v>
      </c>
      <c r="C19">
        <v>78</v>
      </c>
      <c r="D19">
        <v>3.1413500000000001</v>
      </c>
      <c r="E19">
        <v>24.830100000000002</v>
      </c>
      <c r="F19" t="str">
        <f>IF(PERCENTRANK(Table2[Intersection Density (Mile Buffer)], E19) &lt; 1/5, "1", IF(PERCENTRANK(Table2[Intersection Density (Mile Buffer)], E19) &lt; 2/5, "2", IF(PERCENTRANK(Table2[Intersection Density (Mile Buffer)], E19) &lt; 3/5, "3", IF(PERCENTRANK(Table2[Intersection Density (Mile Buffer)], E19) &lt; 4/5, "4", "5"))))</f>
        <v>2</v>
      </c>
      <c r="G19">
        <v>15</v>
      </c>
      <c r="H19">
        <v>0.78527199999999997</v>
      </c>
      <c r="I19">
        <v>19.101700000000001</v>
      </c>
      <c r="J19" t="str">
        <f>IF(PERCENTRANK(Table2[Intersection Density (Half Mile Buffer)], I19) &lt; 1/5, "1", IF(PERCENTRANK(Table2[Intersection Density (Half Mile Buffer)], I19) &lt; 2/5, "2", IF(PERCENTRANK(Table2[Intersection Density (Half Mile Buffer)], I19) &lt; 3/5, "3", IF(PERCENTRANK(Table2[Intersection Density (Half Mile Buffer)], I19) &lt; 4/5, "4", "5"))))</f>
        <v>1</v>
      </c>
      <c r="K19" s="21">
        <v>2</v>
      </c>
      <c r="L19" s="67">
        <f>Table2[[#This Row],[Intersection Density Score Half Mile]]+K19</f>
        <v>4</v>
      </c>
      <c r="M19" s="67">
        <f>IF(PERCENTRANK(Table2[Pedestrain Access Score], L19) &lt; 1/5, 1, IF(PERCENTRANK(Table2[Pedestrain Access Score], L19) &lt; 2/5, 2, IF(PERCENTRANK(Table2[Pedestrain Access Score], L19) &lt; 3/5,3, IF(PERCENTRANK(Table2[Pedestrain Access Score], L19) &lt; 4/5, 4, 5))))</f>
        <v>1</v>
      </c>
      <c r="N19" t="str">
        <f>IF(PERCENTRANK(Table2[Pedestrain Access Score], L19) &lt; 1/5, "LOW", IF(PERCENTRANK(Table2[Pedestrain Access Score], L19) &lt; 2/5, "MEDIUM-LOW", IF(PERCENTRANK(Table2[Pedestrain Access Score], L19) &lt; 3/5, "MEDIUM", IF(PERCENTRANK(Table2[Pedestrain Access Score], L19) &lt; 4/5, "MEDIUM-HIGH", "HIGH"))))</f>
        <v>LOW</v>
      </c>
    </row>
    <row r="20" spans="1:14" x14ac:dyDescent="0.25">
      <c r="A20" s="12" t="s">
        <v>347</v>
      </c>
      <c r="B20" s="60">
        <v>20</v>
      </c>
      <c r="C20">
        <v>348</v>
      </c>
      <c r="D20">
        <v>3.1413500000000001</v>
      </c>
      <c r="E20">
        <v>110.78</v>
      </c>
      <c r="F20" t="str">
        <f>IF(PERCENTRANK(Table2[Intersection Density (Mile Buffer)], E20) &lt; 1/5, "1", IF(PERCENTRANK(Table2[Intersection Density (Mile Buffer)], E20) &lt; 2/5, "2", IF(PERCENTRANK(Table2[Intersection Density (Mile Buffer)], E20) &lt; 3/5, "3", IF(PERCENTRANK(Table2[Intersection Density (Mile Buffer)], E20) &lt; 4/5, "4", "5"))))</f>
        <v>4</v>
      </c>
      <c r="G20">
        <v>70</v>
      </c>
      <c r="H20">
        <v>0.78527199999999997</v>
      </c>
      <c r="I20">
        <v>89.141099999999994</v>
      </c>
      <c r="J20" t="str">
        <f>IF(PERCENTRANK(Table2[Intersection Density (Half Mile Buffer)], I20) &lt; 1/5, "1", IF(PERCENTRANK(Table2[Intersection Density (Half Mile Buffer)], I20) &lt; 2/5, "2", IF(PERCENTRANK(Table2[Intersection Density (Half Mile Buffer)], I20) &lt; 3/5, "3", IF(PERCENTRANK(Table2[Intersection Density (Half Mile Buffer)], I20) &lt; 4/5, "4", "5"))))</f>
        <v>3</v>
      </c>
      <c r="K20" s="21">
        <v>6</v>
      </c>
      <c r="L20" s="67">
        <f>Table2[[#This Row],[Intersection Density Score Half Mile]]+K20</f>
        <v>10</v>
      </c>
      <c r="M20" s="67">
        <f>IF(PERCENTRANK(Table2[Pedestrain Access Score], L20) &lt; 1/5, 1, IF(PERCENTRANK(Table2[Pedestrain Access Score], L20) &lt; 2/5, 2, IF(PERCENTRANK(Table2[Pedestrain Access Score], L20) &lt; 3/5,3, IF(PERCENTRANK(Table2[Pedestrain Access Score], L20) &lt; 4/5, 4, 5))))</f>
        <v>4</v>
      </c>
      <c r="N20" t="str">
        <f>IF(PERCENTRANK(Table2[Pedestrain Access Score], L20) &lt; 1/5, "LOW", IF(PERCENTRANK(Table2[Pedestrain Access Score], L20) &lt; 2/5, "MEDIUM-LOW", IF(PERCENTRANK(Table2[Pedestrain Access Score], L20) &lt; 3/5, "MEDIUM", IF(PERCENTRANK(Table2[Pedestrain Access Score], L20) &lt; 4/5, "MEDIUM-HIGH", "HIGH"))))</f>
        <v>MEDIUM-HIGH</v>
      </c>
    </row>
    <row r="21" spans="1:14" x14ac:dyDescent="0.25">
      <c r="A21" s="12" t="s">
        <v>84</v>
      </c>
      <c r="B21" s="60">
        <v>21</v>
      </c>
      <c r="C21">
        <v>263</v>
      </c>
      <c r="D21">
        <v>3.1413500000000001</v>
      </c>
      <c r="E21">
        <v>83.721999999999994</v>
      </c>
      <c r="F21" t="str">
        <f>IF(PERCENTRANK(Table2[Intersection Density (Mile Buffer)], E21) &lt; 1/5, "1", IF(PERCENTRANK(Table2[Intersection Density (Mile Buffer)], E21) &lt; 2/5, "2", IF(PERCENTRANK(Table2[Intersection Density (Mile Buffer)], E21) &lt; 3/5, "3", IF(PERCENTRANK(Table2[Intersection Density (Mile Buffer)], E21) &lt; 4/5, "4", "5"))))</f>
        <v>3</v>
      </c>
      <c r="G21">
        <v>100</v>
      </c>
      <c r="H21">
        <v>0.78527199999999997</v>
      </c>
      <c r="I21">
        <v>127.34399999999999</v>
      </c>
      <c r="J21" t="str">
        <f>IF(PERCENTRANK(Table2[Intersection Density (Half Mile Buffer)], I21) &lt; 1/5, "1", IF(PERCENTRANK(Table2[Intersection Density (Half Mile Buffer)], I21) &lt; 2/5, "2", IF(PERCENTRANK(Table2[Intersection Density (Half Mile Buffer)], I21) &lt; 3/5, "3", IF(PERCENTRANK(Table2[Intersection Density (Half Mile Buffer)], I21) &lt; 4/5, "4", "5"))))</f>
        <v>4</v>
      </c>
      <c r="K21" s="21">
        <v>3</v>
      </c>
      <c r="L21" s="67">
        <f>Table2[[#This Row],[Intersection Density Score Half Mile]]+K21</f>
        <v>6</v>
      </c>
      <c r="M21" s="67">
        <f>IF(PERCENTRANK(Table2[Pedestrain Access Score], L21) &lt; 1/5, 1, IF(PERCENTRANK(Table2[Pedestrain Access Score], L21) &lt; 2/5, 2, IF(PERCENTRANK(Table2[Pedestrain Access Score], L21) &lt; 3/5,3, IF(PERCENTRANK(Table2[Pedestrain Access Score], L21) &lt; 4/5, 4, 5))))</f>
        <v>2</v>
      </c>
      <c r="N21" t="str">
        <f>IF(PERCENTRANK(Table2[Pedestrain Access Score], L21) &lt; 1/5, "LOW", IF(PERCENTRANK(Table2[Pedestrain Access Score], L21) &lt; 2/5, "MEDIUM-LOW", IF(PERCENTRANK(Table2[Pedestrain Access Score], L21) &lt; 3/5, "MEDIUM", IF(PERCENTRANK(Table2[Pedestrain Access Score], L21) &lt; 4/5, "MEDIUM-HIGH", "HIGH"))))</f>
        <v>MEDIUM-LOW</v>
      </c>
    </row>
    <row r="22" spans="1:14" x14ac:dyDescent="0.25">
      <c r="A22" s="12" t="s">
        <v>86</v>
      </c>
      <c r="B22" s="60">
        <v>22</v>
      </c>
      <c r="C22">
        <v>257</v>
      </c>
      <c r="D22">
        <v>3.1413500000000001</v>
      </c>
      <c r="E22">
        <v>81.811999999999998</v>
      </c>
      <c r="F22" t="str">
        <f>IF(PERCENTRANK(Table2[Intersection Density (Mile Buffer)], E22) &lt; 1/5, "1", IF(PERCENTRANK(Table2[Intersection Density (Mile Buffer)], E22) &lt; 2/5, "2", IF(PERCENTRANK(Table2[Intersection Density (Mile Buffer)], E22) &lt; 3/5, "3", IF(PERCENTRANK(Table2[Intersection Density (Mile Buffer)], E22) &lt; 4/5, "4", "5"))))</f>
        <v>3</v>
      </c>
      <c r="G22">
        <v>83</v>
      </c>
      <c r="H22">
        <v>0.78527199999999997</v>
      </c>
      <c r="I22">
        <v>105.696</v>
      </c>
      <c r="J22" t="str">
        <f>IF(PERCENTRANK(Table2[Intersection Density (Half Mile Buffer)], I22) &lt; 1/5, "1", IF(PERCENTRANK(Table2[Intersection Density (Half Mile Buffer)], I22) &lt; 2/5, "2", IF(PERCENTRANK(Table2[Intersection Density (Half Mile Buffer)], I22) &lt; 3/5, "3", IF(PERCENTRANK(Table2[Intersection Density (Half Mile Buffer)], I22) &lt; 4/5, "4", "5"))))</f>
        <v>4</v>
      </c>
      <c r="K22" s="21">
        <v>3</v>
      </c>
      <c r="L22" s="67">
        <f>Table2[[#This Row],[Intersection Density Score Half Mile]]+K22</f>
        <v>6</v>
      </c>
      <c r="M22" s="67">
        <f>IF(PERCENTRANK(Table2[Pedestrain Access Score], L22) &lt; 1/5, 1, IF(PERCENTRANK(Table2[Pedestrain Access Score], L22) &lt; 2/5, 2, IF(PERCENTRANK(Table2[Pedestrain Access Score], L22) &lt; 3/5,3, IF(PERCENTRANK(Table2[Pedestrain Access Score], L22) &lt; 4/5, 4, 5))))</f>
        <v>2</v>
      </c>
      <c r="N22" t="str">
        <f>IF(PERCENTRANK(Table2[Pedestrain Access Score], L22) &lt; 1/5, "LOW", IF(PERCENTRANK(Table2[Pedestrain Access Score], L22) &lt; 2/5, "MEDIUM-LOW", IF(PERCENTRANK(Table2[Pedestrain Access Score], L22) &lt; 3/5, "MEDIUM", IF(PERCENTRANK(Table2[Pedestrain Access Score], L22) &lt; 4/5, "MEDIUM-HIGH", "HIGH"))))</f>
        <v>MEDIUM-LOW</v>
      </c>
    </row>
    <row r="23" spans="1:14" x14ac:dyDescent="0.25">
      <c r="A23" s="12" t="s">
        <v>88</v>
      </c>
      <c r="B23" s="60">
        <v>23</v>
      </c>
      <c r="C23">
        <v>240</v>
      </c>
      <c r="D23">
        <v>3.1413500000000001</v>
      </c>
      <c r="E23">
        <v>76.400300000000001</v>
      </c>
      <c r="F23" t="str">
        <f>IF(PERCENTRANK(Table2[Intersection Density (Mile Buffer)], E23) &lt; 1/5, "1", IF(PERCENTRANK(Table2[Intersection Density (Mile Buffer)], E23) &lt; 2/5, "2", IF(PERCENTRANK(Table2[Intersection Density (Mile Buffer)], E23) &lt; 3/5, "3", IF(PERCENTRANK(Table2[Intersection Density (Mile Buffer)], E23) &lt; 4/5, "4", "5"))))</f>
        <v>3</v>
      </c>
      <c r="G23">
        <v>60</v>
      </c>
      <c r="H23">
        <v>0.78527199999999997</v>
      </c>
      <c r="I23">
        <v>76.406599999999997</v>
      </c>
      <c r="J23" t="str">
        <f>IF(PERCENTRANK(Table2[Intersection Density (Half Mile Buffer)], I23) &lt; 1/5, "1", IF(PERCENTRANK(Table2[Intersection Density (Half Mile Buffer)], I23) &lt; 2/5, "2", IF(PERCENTRANK(Table2[Intersection Density (Half Mile Buffer)], I23) &lt; 3/5, "3", IF(PERCENTRANK(Table2[Intersection Density (Half Mile Buffer)], I23) &lt; 4/5, "4", "5"))))</f>
        <v>3</v>
      </c>
      <c r="K23" s="21">
        <v>3</v>
      </c>
      <c r="L23" s="67">
        <f>Table2[[#This Row],[Intersection Density Score Half Mile]]+K23</f>
        <v>6</v>
      </c>
      <c r="M23" s="67">
        <f>IF(PERCENTRANK(Table2[Pedestrain Access Score], L23) &lt; 1/5, 1, IF(PERCENTRANK(Table2[Pedestrain Access Score], L23) &lt; 2/5, 2, IF(PERCENTRANK(Table2[Pedestrain Access Score], L23) &lt; 3/5,3, IF(PERCENTRANK(Table2[Pedestrain Access Score], L23) &lt; 4/5, 4, 5))))</f>
        <v>2</v>
      </c>
      <c r="N23" t="str">
        <f>IF(PERCENTRANK(Table2[Pedestrain Access Score], L23) &lt; 1/5, "LOW", IF(PERCENTRANK(Table2[Pedestrain Access Score], L23) &lt; 2/5, "MEDIUM-LOW", IF(PERCENTRANK(Table2[Pedestrain Access Score], L23) &lt; 3/5, "MEDIUM", IF(PERCENTRANK(Table2[Pedestrain Access Score], L23) &lt; 4/5, "MEDIUM-HIGH", "HIGH"))))</f>
        <v>MEDIUM-LOW</v>
      </c>
    </row>
    <row r="24" spans="1:14" x14ac:dyDescent="0.25">
      <c r="A24" s="12" t="s">
        <v>89</v>
      </c>
      <c r="B24" s="60">
        <v>24</v>
      </c>
      <c r="C24">
        <v>175</v>
      </c>
      <c r="D24">
        <v>3.1413500000000001</v>
      </c>
      <c r="E24">
        <v>55.708500000000001</v>
      </c>
      <c r="F24" t="str">
        <f>IF(PERCENTRANK(Table2[Intersection Density (Mile Buffer)], E24) &lt; 1/5, "1", IF(PERCENTRANK(Table2[Intersection Density (Mile Buffer)], E24) &lt; 2/5, "2", IF(PERCENTRANK(Table2[Intersection Density (Mile Buffer)], E24) &lt; 3/5, "3", IF(PERCENTRANK(Table2[Intersection Density (Mile Buffer)], E24) &lt; 4/5, "4", "5"))))</f>
        <v>2</v>
      </c>
      <c r="G24">
        <v>48</v>
      </c>
      <c r="H24">
        <v>0.78527199999999997</v>
      </c>
      <c r="I24">
        <v>61.125300000000003</v>
      </c>
      <c r="J24" t="str">
        <f>IF(PERCENTRANK(Table2[Intersection Density (Half Mile Buffer)], I24) &lt; 1/5, "1", IF(PERCENTRANK(Table2[Intersection Density (Half Mile Buffer)], I24) &lt; 2/5, "2", IF(PERCENTRANK(Table2[Intersection Density (Half Mile Buffer)], I24) &lt; 3/5, "3", IF(PERCENTRANK(Table2[Intersection Density (Half Mile Buffer)], I24) &lt; 4/5, "4", "5"))))</f>
        <v>2</v>
      </c>
      <c r="K24" s="21">
        <v>3</v>
      </c>
      <c r="L24" s="67">
        <f>Table2[[#This Row],[Intersection Density Score Half Mile]]+K24</f>
        <v>5</v>
      </c>
      <c r="M24" s="67">
        <f>IF(PERCENTRANK(Table2[Pedestrain Access Score], L24) &lt; 1/5, 1, IF(PERCENTRANK(Table2[Pedestrain Access Score], L24) &lt; 2/5, 2, IF(PERCENTRANK(Table2[Pedestrain Access Score], L24) &lt; 3/5,3, IF(PERCENTRANK(Table2[Pedestrain Access Score], L24) &lt; 4/5, 4, 5))))</f>
        <v>2</v>
      </c>
      <c r="N24" t="str">
        <f>IF(PERCENTRANK(Table2[Pedestrain Access Score], L24) &lt; 1/5, "LOW", IF(PERCENTRANK(Table2[Pedestrain Access Score], L24) &lt; 2/5, "MEDIUM-LOW", IF(PERCENTRANK(Table2[Pedestrain Access Score], L24) &lt; 3/5, "MEDIUM", IF(PERCENTRANK(Table2[Pedestrain Access Score], L24) &lt; 4/5, "MEDIUM-HIGH", "HIGH"))))</f>
        <v>MEDIUM-LOW</v>
      </c>
    </row>
    <row r="25" spans="1:14" x14ac:dyDescent="0.25">
      <c r="A25" s="12" t="s">
        <v>91</v>
      </c>
      <c r="B25" s="60">
        <v>25</v>
      </c>
      <c r="C25">
        <v>245</v>
      </c>
      <c r="D25">
        <v>3.1413500000000001</v>
      </c>
      <c r="E25">
        <v>77.991900000000001</v>
      </c>
      <c r="F25" t="str">
        <f>IF(PERCENTRANK(Table2[Intersection Density (Mile Buffer)], E25) &lt; 1/5, "1", IF(PERCENTRANK(Table2[Intersection Density (Mile Buffer)], E25) &lt; 2/5, "2", IF(PERCENTRANK(Table2[Intersection Density (Mile Buffer)], E25) &lt; 3/5, "3", IF(PERCENTRANK(Table2[Intersection Density (Mile Buffer)], E25) &lt; 4/5, "4", "5"))))</f>
        <v>3</v>
      </c>
      <c r="G25">
        <v>49</v>
      </c>
      <c r="H25">
        <v>0.78527199999999997</v>
      </c>
      <c r="I25">
        <v>62.398800000000001</v>
      </c>
      <c r="J25" t="str">
        <f>IF(PERCENTRANK(Table2[Intersection Density (Half Mile Buffer)], I25) &lt; 1/5, "1", IF(PERCENTRANK(Table2[Intersection Density (Half Mile Buffer)], I25) &lt; 2/5, "2", IF(PERCENTRANK(Table2[Intersection Density (Half Mile Buffer)], I25) &lt; 3/5, "3", IF(PERCENTRANK(Table2[Intersection Density (Half Mile Buffer)], I25) &lt; 4/5, "4", "5"))))</f>
        <v>3</v>
      </c>
      <c r="K25" s="21">
        <v>3</v>
      </c>
      <c r="L25" s="67">
        <f>Table2[[#This Row],[Intersection Density Score Half Mile]]+K25</f>
        <v>6</v>
      </c>
      <c r="M25" s="67">
        <f>IF(PERCENTRANK(Table2[Pedestrain Access Score], L25) &lt; 1/5, 1, IF(PERCENTRANK(Table2[Pedestrain Access Score], L25) &lt; 2/5, 2, IF(PERCENTRANK(Table2[Pedestrain Access Score], L25) &lt; 3/5,3, IF(PERCENTRANK(Table2[Pedestrain Access Score], L25) &lt; 4/5, 4, 5))))</f>
        <v>2</v>
      </c>
      <c r="N25" t="str">
        <f>IF(PERCENTRANK(Table2[Pedestrain Access Score], L25) &lt; 1/5, "LOW", IF(PERCENTRANK(Table2[Pedestrain Access Score], L25) &lt; 2/5, "MEDIUM-LOW", IF(PERCENTRANK(Table2[Pedestrain Access Score], L25) &lt; 3/5, "MEDIUM", IF(PERCENTRANK(Table2[Pedestrain Access Score], L25) &lt; 4/5, "MEDIUM-HIGH", "HIGH"))))</f>
        <v>MEDIUM-LOW</v>
      </c>
    </row>
    <row r="26" spans="1:14" x14ac:dyDescent="0.25">
      <c r="A26" s="12" t="s">
        <v>93</v>
      </c>
      <c r="B26" s="60">
        <v>26</v>
      </c>
      <c r="C26">
        <v>272</v>
      </c>
      <c r="D26">
        <v>3.1413500000000001</v>
      </c>
      <c r="E26">
        <v>86.587000000000003</v>
      </c>
      <c r="F26" t="str">
        <f>IF(PERCENTRANK(Table2[Intersection Density (Mile Buffer)], E26) &lt; 1/5, "1", IF(PERCENTRANK(Table2[Intersection Density (Mile Buffer)], E26) &lt; 2/5, "2", IF(PERCENTRANK(Table2[Intersection Density (Mile Buffer)], E26) &lt; 3/5, "3", IF(PERCENTRANK(Table2[Intersection Density (Mile Buffer)], E26) &lt; 4/5, "4", "5"))))</f>
        <v>3</v>
      </c>
      <c r="G26">
        <v>56</v>
      </c>
      <c r="H26">
        <v>0.78527199999999997</v>
      </c>
      <c r="I26">
        <v>71.312899999999999</v>
      </c>
      <c r="J26" t="str">
        <f>IF(PERCENTRANK(Table2[Intersection Density (Half Mile Buffer)], I26) &lt; 1/5, "1", IF(PERCENTRANK(Table2[Intersection Density (Half Mile Buffer)], I26) &lt; 2/5, "2", IF(PERCENTRANK(Table2[Intersection Density (Half Mile Buffer)], I26) &lt; 3/5, "3", IF(PERCENTRANK(Table2[Intersection Density (Half Mile Buffer)], I26) &lt; 4/5, "4", "5"))))</f>
        <v>3</v>
      </c>
      <c r="K26" s="21">
        <v>3</v>
      </c>
      <c r="L26" s="67">
        <f>Table2[[#This Row],[Intersection Density Score Half Mile]]+K26</f>
        <v>6</v>
      </c>
      <c r="M26" s="67">
        <f>IF(PERCENTRANK(Table2[Pedestrain Access Score], L26) &lt; 1/5, 1, IF(PERCENTRANK(Table2[Pedestrain Access Score], L26) &lt; 2/5, 2, IF(PERCENTRANK(Table2[Pedestrain Access Score], L26) &lt; 3/5,3, IF(PERCENTRANK(Table2[Pedestrain Access Score], L26) &lt; 4/5, 4, 5))))</f>
        <v>2</v>
      </c>
      <c r="N26" t="str">
        <f>IF(PERCENTRANK(Table2[Pedestrain Access Score], L26) &lt; 1/5, "LOW", IF(PERCENTRANK(Table2[Pedestrain Access Score], L26) &lt; 2/5, "MEDIUM-LOW", IF(PERCENTRANK(Table2[Pedestrain Access Score], L26) &lt; 3/5, "MEDIUM", IF(PERCENTRANK(Table2[Pedestrain Access Score], L26) &lt; 4/5, "MEDIUM-HIGH", "HIGH"))))</f>
        <v>MEDIUM-LOW</v>
      </c>
    </row>
    <row r="27" spans="1:14" x14ac:dyDescent="0.25">
      <c r="A27" s="12" t="s">
        <v>94</v>
      </c>
      <c r="B27" s="60">
        <v>27</v>
      </c>
      <c r="C27">
        <v>261</v>
      </c>
      <c r="D27">
        <v>3.1413500000000001</v>
      </c>
      <c r="E27">
        <v>83.085300000000004</v>
      </c>
      <c r="F27" t="str">
        <f>IF(PERCENTRANK(Table2[Intersection Density (Mile Buffer)], E27) &lt; 1/5, "1", IF(PERCENTRANK(Table2[Intersection Density (Mile Buffer)], E27) &lt; 2/5, "2", IF(PERCENTRANK(Table2[Intersection Density (Mile Buffer)], E27) &lt; 3/5, "3", IF(PERCENTRANK(Table2[Intersection Density (Mile Buffer)], E27) &lt; 4/5, "4", "5"))))</f>
        <v>3</v>
      </c>
      <c r="G27">
        <v>48</v>
      </c>
      <c r="H27">
        <v>0.78527199999999997</v>
      </c>
      <c r="I27">
        <v>61.125300000000003</v>
      </c>
      <c r="J27" t="str">
        <f>IF(PERCENTRANK(Table2[Intersection Density (Half Mile Buffer)], I27) &lt; 1/5, "1", IF(PERCENTRANK(Table2[Intersection Density (Half Mile Buffer)], I27) &lt; 2/5, "2", IF(PERCENTRANK(Table2[Intersection Density (Half Mile Buffer)], I27) &lt; 3/5, "3", IF(PERCENTRANK(Table2[Intersection Density (Half Mile Buffer)], I27) &lt; 4/5, "4", "5"))))</f>
        <v>2</v>
      </c>
      <c r="K27" s="21">
        <v>5</v>
      </c>
      <c r="L27" s="67">
        <f>Table2[[#This Row],[Intersection Density Score Half Mile]]+K27</f>
        <v>8</v>
      </c>
      <c r="M27" s="67">
        <f>IF(PERCENTRANK(Table2[Pedestrain Access Score], L27) &lt; 1/5, 1, IF(PERCENTRANK(Table2[Pedestrain Access Score], L27) &lt; 2/5, 2, IF(PERCENTRANK(Table2[Pedestrain Access Score], L27) &lt; 3/5,3, IF(PERCENTRANK(Table2[Pedestrain Access Score], L27) &lt; 4/5, 4, 5))))</f>
        <v>3</v>
      </c>
      <c r="N27" t="str">
        <f>IF(PERCENTRANK(Table2[Pedestrain Access Score], L27) &lt; 1/5, "LOW", IF(PERCENTRANK(Table2[Pedestrain Access Score], L27) &lt; 2/5, "MEDIUM-LOW", IF(PERCENTRANK(Table2[Pedestrain Access Score], L27) &lt; 3/5, "MEDIUM", IF(PERCENTRANK(Table2[Pedestrain Access Score], L27) &lt; 4/5, "MEDIUM-HIGH", "HIGH"))))</f>
        <v>MEDIUM</v>
      </c>
    </row>
    <row r="28" spans="1:14" x14ac:dyDescent="0.25">
      <c r="A28" s="12" t="s">
        <v>96</v>
      </c>
      <c r="B28" s="60">
        <v>28</v>
      </c>
      <c r="C28">
        <v>212</v>
      </c>
      <c r="D28">
        <v>3.1413500000000001</v>
      </c>
      <c r="E28">
        <v>67.486900000000006</v>
      </c>
      <c r="F28" t="str">
        <f>IF(PERCENTRANK(Table2[Intersection Density (Mile Buffer)], E28) &lt; 1/5, "1", IF(PERCENTRANK(Table2[Intersection Density (Mile Buffer)], E28) &lt; 2/5, "2", IF(PERCENTRANK(Table2[Intersection Density (Mile Buffer)], E28) &lt; 3/5, "3", IF(PERCENTRANK(Table2[Intersection Density (Mile Buffer)], E28) &lt; 4/5, "4", "5"))))</f>
        <v>2</v>
      </c>
      <c r="G28">
        <v>53</v>
      </c>
      <c r="H28">
        <v>0.78527199999999997</v>
      </c>
      <c r="I28">
        <v>67.492500000000007</v>
      </c>
      <c r="J28" t="str">
        <f>IF(PERCENTRANK(Table2[Intersection Density (Half Mile Buffer)], I28) &lt; 1/5, "1", IF(PERCENTRANK(Table2[Intersection Density (Half Mile Buffer)], I28) &lt; 2/5, "2", IF(PERCENTRANK(Table2[Intersection Density (Half Mile Buffer)], I28) &lt; 3/5, "3", IF(PERCENTRANK(Table2[Intersection Density (Half Mile Buffer)], I28) &lt; 4/5, "4", "5"))))</f>
        <v>3</v>
      </c>
      <c r="K28" s="21">
        <v>6</v>
      </c>
      <c r="L28" s="67">
        <f>Table2[[#This Row],[Intersection Density Score Half Mile]]+K28</f>
        <v>8</v>
      </c>
      <c r="M28" s="67">
        <f>IF(PERCENTRANK(Table2[Pedestrain Access Score], L28) &lt; 1/5, 1, IF(PERCENTRANK(Table2[Pedestrain Access Score], L28) &lt; 2/5, 2, IF(PERCENTRANK(Table2[Pedestrain Access Score], L28) &lt; 3/5,3, IF(PERCENTRANK(Table2[Pedestrain Access Score], L28) &lt; 4/5, 4, 5))))</f>
        <v>3</v>
      </c>
      <c r="N28" t="str">
        <f>IF(PERCENTRANK(Table2[Pedestrain Access Score], L28) &lt; 1/5, "LOW", IF(PERCENTRANK(Table2[Pedestrain Access Score], L28) &lt; 2/5, "MEDIUM-LOW", IF(PERCENTRANK(Table2[Pedestrain Access Score], L28) &lt; 3/5, "MEDIUM", IF(PERCENTRANK(Table2[Pedestrain Access Score], L28) &lt; 4/5, "MEDIUM-HIGH", "HIGH"))))</f>
        <v>MEDIUM</v>
      </c>
    </row>
    <row r="29" spans="1:14" x14ac:dyDescent="0.25">
      <c r="A29" s="12" t="s">
        <v>98</v>
      </c>
      <c r="B29" s="60">
        <v>29</v>
      </c>
      <c r="C29">
        <v>714</v>
      </c>
      <c r="D29">
        <v>3.1413500000000001</v>
      </c>
      <c r="E29">
        <v>227.291</v>
      </c>
      <c r="F29" t="str">
        <f>IF(PERCENTRANK(Table2[Intersection Density (Mile Buffer)], E29) &lt; 1/5, "1", IF(PERCENTRANK(Table2[Intersection Density (Mile Buffer)], E29) &lt; 2/5, "2", IF(PERCENTRANK(Table2[Intersection Density (Mile Buffer)], E29) &lt; 3/5, "3", IF(PERCENTRANK(Table2[Intersection Density (Mile Buffer)], E29) &lt; 4/5, "4", "5"))))</f>
        <v>4</v>
      </c>
      <c r="G29">
        <v>209</v>
      </c>
      <c r="H29">
        <v>0.78527199999999997</v>
      </c>
      <c r="I29">
        <v>266.14999999999998</v>
      </c>
      <c r="J29" t="str">
        <f>IF(PERCENTRANK(Table2[Intersection Density (Half Mile Buffer)], I29) &lt; 1/5, "1", IF(PERCENTRANK(Table2[Intersection Density (Half Mile Buffer)], I29) &lt; 2/5, "2", IF(PERCENTRANK(Table2[Intersection Density (Half Mile Buffer)], I29) &lt; 3/5, "3", IF(PERCENTRANK(Table2[Intersection Density (Half Mile Buffer)], I29) &lt; 4/5, "4", "5"))))</f>
        <v>5</v>
      </c>
      <c r="K29" s="21">
        <v>6</v>
      </c>
      <c r="L29" s="67">
        <f>Table2[[#This Row],[Intersection Density Score Half Mile]]+K29</f>
        <v>10</v>
      </c>
      <c r="M29" s="67">
        <f>IF(PERCENTRANK(Table2[Pedestrain Access Score], L29) &lt; 1/5, 1, IF(PERCENTRANK(Table2[Pedestrain Access Score], L29) &lt; 2/5, 2, IF(PERCENTRANK(Table2[Pedestrain Access Score], L29) &lt; 3/5,3, IF(PERCENTRANK(Table2[Pedestrain Access Score], L29) &lt; 4/5, 4, 5))))</f>
        <v>4</v>
      </c>
      <c r="N29" t="str">
        <f>IF(PERCENTRANK(Table2[Pedestrain Access Score], L29) &lt; 1/5, "LOW", IF(PERCENTRANK(Table2[Pedestrain Access Score], L29) &lt; 2/5, "MEDIUM-LOW", IF(PERCENTRANK(Table2[Pedestrain Access Score], L29) &lt; 3/5, "MEDIUM", IF(PERCENTRANK(Table2[Pedestrain Access Score], L29) &lt; 4/5, "MEDIUM-HIGH", "HIGH"))))</f>
        <v>MEDIUM-HIGH</v>
      </c>
    </row>
    <row r="30" spans="1:14" x14ac:dyDescent="0.25">
      <c r="A30" s="12" t="s">
        <v>350</v>
      </c>
      <c r="B30" s="60">
        <v>30</v>
      </c>
      <c r="C30">
        <v>1007</v>
      </c>
      <c r="D30">
        <v>3.1413500000000001</v>
      </c>
      <c r="E30">
        <v>320.56299999999999</v>
      </c>
      <c r="F30" t="str">
        <f>IF(PERCENTRANK(Table2[Intersection Density (Mile Buffer)], E30) &lt; 1/5, "1", IF(PERCENTRANK(Table2[Intersection Density (Mile Buffer)], E30) &lt; 2/5, "2", IF(PERCENTRANK(Table2[Intersection Density (Mile Buffer)], E30) &lt; 3/5, "3", IF(PERCENTRANK(Table2[Intersection Density (Mile Buffer)], E30) &lt; 4/5, "4", "5"))))</f>
        <v>5</v>
      </c>
      <c r="G30">
        <v>233</v>
      </c>
      <c r="H30">
        <v>0.78527199999999997</v>
      </c>
      <c r="I30">
        <v>296.71199999999999</v>
      </c>
      <c r="J30" t="str">
        <f>IF(PERCENTRANK(Table2[Intersection Density (Half Mile Buffer)], I30) &lt; 1/5, "1", IF(PERCENTRANK(Table2[Intersection Density (Half Mile Buffer)], I30) &lt; 2/5, "2", IF(PERCENTRANK(Table2[Intersection Density (Half Mile Buffer)], I30) &lt; 3/5, "3", IF(PERCENTRANK(Table2[Intersection Density (Half Mile Buffer)], I30) &lt; 4/5, "4", "5"))))</f>
        <v>5</v>
      </c>
      <c r="K30" s="21">
        <v>7</v>
      </c>
      <c r="L30" s="67">
        <f>Table2[[#This Row],[Intersection Density Score Half Mile]]+K30</f>
        <v>12</v>
      </c>
      <c r="M30" s="67">
        <f>IF(PERCENTRANK(Table2[Pedestrain Access Score], L30) &lt; 1/5, 1, IF(PERCENTRANK(Table2[Pedestrain Access Score], L30) &lt; 2/5, 2, IF(PERCENTRANK(Table2[Pedestrain Access Score], L30) &lt; 3/5,3, IF(PERCENTRANK(Table2[Pedestrain Access Score], L30) &lt; 4/5, 4, 5))))</f>
        <v>5</v>
      </c>
      <c r="N30" t="str">
        <f>IF(PERCENTRANK(Table2[Pedestrain Access Score], L30) &lt; 1/5, "LOW", IF(PERCENTRANK(Table2[Pedestrain Access Score], L30) &lt; 2/5, "MEDIUM-LOW", IF(PERCENTRANK(Table2[Pedestrain Access Score], L30) &lt; 3/5, "MEDIUM", IF(PERCENTRANK(Table2[Pedestrain Access Score], L30) &lt; 4/5, "MEDIUM-HIGH", "HIGH"))))</f>
        <v>HIGH</v>
      </c>
    </row>
    <row r="31" spans="1:14" x14ac:dyDescent="0.25">
      <c r="A31" s="12" t="s">
        <v>267</v>
      </c>
      <c r="B31" s="60">
        <v>31</v>
      </c>
      <c r="C31">
        <v>1048</v>
      </c>
      <c r="D31">
        <v>3.1413500000000001</v>
      </c>
      <c r="E31">
        <v>333.61500000000001</v>
      </c>
      <c r="F31" t="str">
        <f>IF(PERCENTRANK(Table2[Intersection Density (Mile Buffer)], E31) &lt; 1/5, "1", IF(PERCENTRANK(Table2[Intersection Density (Mile Buffer)], E31) &lt; 2/5, "2", IF(PERCENTRANK(Table2[Intersection Density (Mile Buffer)], E31) &lt; 3/5, "3", IF(PERCENTRANK(Table2[Intersection Density (Mile Buffer)], E31) &lt; 4/5, "4", "5"))))</f>
        <v>5</v>
      </c>
      <c r="G31">
        <v>264</v>
      </c>
      <c r="H31">
        <v>0.78527199999999997</v>
      </c>
      <c r="I31">
        <v>336.18900000000002</v>
      </c>
      <c r="J31" t="str">
        <f>IF(PERCENTRANK(Table2[Intersection Density (Half Mile Buffer)], I31) &lt; 1/5, "1", IF(PERCENTRANK(Table2[Intersection Density (Half Mile Buffer)], I31) &lt; 2/5, "2", IF(PERCENTRANK(Table2[Intersection Density (Half Mile Buffer)], I31) &lt; 3/5, "3", IF(PERCENTRANK(Table2[Intersection Density (Half Mile Buffer)], I31) &lt; 4/5, "4", "5"))))</f>
        <v>5</v>
      </c>
      <c r="K31" s="21">
        <v>10</v>
      </c>
      <c r="L31" s="67">
        <f>Table2[[#This Row],[Intersection Density Score Half Mile]]+K31</f>
        <v>15</v>
      </c>
      <c r="M31" s="67">
        <f>IF(PERCENTRANK(Table2[Pedestrain Access Score], L31) &lt; 1/5, 1, IF(PERCENTRANK(Table2[Pedestrain Access Score], L31) &lt; 2/5, 2, IF(PERCENTRANK(Table2[Pedestrain Access Score], L31) &lt; 3/5,3, IF(PERCENTRANK(Table2[Pedestrain Access Score], L31) &lt; 4/5, 4, 5))))</f>
        <v>5</v>
      </c>
      <c r="N31" t="str">
        <f>IF(PERCENTRANK(Table2[Pedestrain Access Score], L31) &lt; 1/5, "LOW", IF(PERCENTRANK(Table2[Pedestrain Access Score], L31) &lt; 2/5, "MEDIUM-LOW", IF(PERCENTRANK(Table2[Pedestrain Access Score], L31) &lt; 3/5, "MEDIUM", IF(PERCENTRANK(Table2[Pedestrain Access Score], L31) &lt; 4/5, "MEDIUM-HIGH", "HIGH"))))</f>
        <v>HIGH</v>
      </c>
    </row>
    <row r="32" spans="1:14" x14ac:dyDescent="0.25">
      <c r="A32" s="12" t="s">
        <v>104</v>
      </c>
      <c r="B32" s="60">
        <v>32</v>
      </c>
      <c r="C32">
        <v>1059</v>
      </c>
      <c r="D32">
        <v>3.1413500000000001</v>
      </c>
      <c r="E32">
        <v>337.11599999999999</v>
      </c>
      <c r="F32" t="str">
        <f>IF(PERCENTRANK(Table2[Intersection Density (Mile Buffer)], E32) &lt; 1/5, "1", IF(PERCENTRANK(Table2[Intersection Density (Mile Buffer)], E32) &lt; 2/5, "2", IF(PERCENTRANK(Table2[Intersection Density (Mile Buffer)], E32) &lt; 3/5, "3", IF(PERCENTRANK(Table2[Intersection Density (Mile Buffer)], E32) &lt; 4/5, "4", "5"))))</f>
        <v>5</v>
      </c>
      <c r="G32">
        <v>290</v>
      </c>
      <c r="H32">
        <v>0.78527199999999997</v>
      </c>
      <c r="I32">
        <v>369.29899999999998</v>
      </c>
      <c r="J32" t="str">
        <f>IF(PERCENTRANK(Table2[Intersection Density (Half Mile Buffer)], I32) &lt; 1/5, "1", IF(PERCENTRANK(Table2[Intersection Density (Half Mile Buffer)], I32) &lt; 2/5, "2", IF(PERCENTRANK(Table2[Intersection Density (Half Mile Buffer)], I32) &lt; 3/5, "3", IF(PERCENTRANK(Table2[Intersection Density (Half Mile Buffer)], I32) &lt; 4/5, "4", "5"))))</f>
        <v>5</v>
      </c>
      <c r="K32" s="21">
        <v>10</v>
      </c>
      <c r="L32" s="67">
        <f>Table2[[#This Row],[Intersection Density Score Half Mile]]+K32</f>
        <v>15</v>
      </c>
      <c r="M32" s="67">
        <f>IF(PERCENTRANK(Table2[Pedestrain Access Score], L32) &lt; 1/5, 1, IF(PERCENTRANK(Table2[Pedestrain Access Score], L32) &lt; 2/5, 2, IF(PERCENTRANK(Table2[Pedestrain Access Score], L32) &lt; 3/5,3, IF(PERCENTRANK(Table2[Pedestrain Access Score], L32) &lt; 4/5, 4, 5))))</f>
        <v>5</v>
      </c>
      <c r="N32" t="str">
        <f>IF(PERCENTRANK(Table2[Pedestrain Access Score], L32) &lt; 1/5, "LOW", IF(PERCENTRANK(Table2[Pedestrain Access Score], L32) &lt; 2/5, "MEDIUM-LOW", IF(PERCENTRANK(Table2[Pedestrain Access Score], L32) &lt; 3/5, "MEDIUM", IF(PERCENTRANK(Table2[Pedestrain Access Score], L32) &lt; 4/5, "MEDIUM-HIGH", "HIGH"))))</f>
        <v>HIGH</v>
      </c>
    </row>
    <row r="33" spans="1:14" x14ac:dyDescent="0.25">
      <c r="A33" s="12" t="s">
        <v>105</v>
      </c>
      <c r="B33" s="60">
        <v>33</v>
      </c>
      <c r="C33">
        <v>1061</v>
      </c>
      <c r="D33">
        <v>3.1413500000000001</v>
      </c>
      <c r="E33">
        <v>337.75299999999999</v>
      </c>
      <c r="F33" t="str">
        <f>IF(PERCENTRANK(Table2[Intersection Density (Mile Buffer)], E33) &lt; 1/5, "1", IF(PERCENTRANK(Table2[Intersection Density (Mile Buffer)], E33) &lt; 2/5, "2", IF(PERCENTRANK(Table2[Intersection Density (Mile Buffer)], E33) &lt; 3/5, "3", IF(PERCENTRANK(Table2[Intersection Density (Mile Buffer)], E33) &lt; 4/5, "4", "5"))))</f>
        <v>5</v>
      </c>
      <c r="G33">
        <v>293</v>
      </c>
      <c r="H33">
        <v>0.78527199999999997</v>
      </c>
      <c r="I33">
        <v>373.11900000000003</v>
      </c>
      <c r="J33" t="str">
        <f>IF(PERCENTRANK(Table2[Intersection Density (Half Mile Buffer)], I33) &lt; 1/5, "1", IF(PERCENTRANK(Table2[Intersection Density (Half Mile Buffer)], I33) &lt; 2/5, "2", IF(PERCENTRANK(Table2[Intersection Density (Half Mile Buffer)], I33) &lt; 3/5, "3", IF(PERCENTRANK(Table2[Intersection Density (Half Mile Buffer)], I33) &lt; 4/5, "4", "5"))))</f>
        <v>5</v>
      </c>
      <c r="K33" s="21">
        <v>8</v>
      </c>
      <c r="L33" s="67">
        <f>Table2[[#This Row],[Intersection Density Score Half Mile]]+K33</f>
        <v>13</v>
      </c>
      <c r="M33" s="67">
        <f>IF(PERCENTRANK(Table2[Pedestrain Access Score], L33) &lt; 1/5, 1, IF(PERCENTRANK(Table2[Pedestrain Access Score], L33) &lt; 2/5, 2, IF(PERCENTRANK(Table2[Pedestrain Access Score], L33) &lt; 3/5,3, IF(PERCENTRANK(Table2[Pedestrain Access Score], L33) &lt; 4/5, 4, 5))))</f>
        <v>5</v>
      </c>
      <c r="N33" t="str">
        <f>IF(PERCENTRANK(Table2[Pedestrain Access Score], L33) &lt; 1/5, "LOW", IF(PERCENTRANK(Table2[Pedestrain Access Score], L33) &lt; 2/5, "MEDIUM-LOW", IF(PERCENTRANK(Table2[Pedestrain Access Score], L33) &lt; 3/5, "MEDIUM", IF(PERCENTRANK(Table2[Pedestrain Access Score], L33) &lt; 4/5, "MEDIUM-HIGH", "HIGH"))))</f>
        <v>HIGH</v>
      </c>
    </row>
    <row r="34" spans="1:14" x14ac:dyDescent="0.25">
      <c r="A34" s="12" t="s">
        <v>107</v>
      </c>
      <c r="B34" s="60">
        <v>34</v>
      </c>
      <c r="C34">
        <v>1017</v>
      </c>
      <c r="D34">
        <v>3.1413500000000001</v>
      </c>
      <c r="E34">
        <v>323.74599999999998</v>
      </c>
      <c r="F34" t="str">
        <f>IF(PERCENTRANK(Table2[Intersection Density (Mile Buffer)], E34) &lt; 1/5, "1", IF(PERCENTRANK(Table2[Intersection Density (Mile Buffer)], E34) &lt; 2/5, "2", IF(PERCENTRANK(Table2[Intersection Density (Mile Buffer)], E34) &lt; 3/5, "3", IF(PERCENTRANK(Table2[Intersection Density (Mile Buffer)], E34) &lt; 4/5, "4", "5"))))</f>
        <v>5</v>
      </c>
      <c r="G34">
        <v>269</v>
      </c>
      <c r="H34">
        <v>0.78527199999999997</v>
      </c>
      <c r="I34">
        <v>342.55599999999998</v>
      </c>
      <c r="J34" t="str">
        <f>IF(PERCENTRANK(Table2[Intersection Density (Half Mile Buffer)], I34) &lt; 1/5, "1", IF(PERCENTRANK(Table2[Intersection Density (Half Mile Buffer)], I34) &lt; 2/5, "2", IF(PERCENTRANK(Table2[Intersection Density (Half Mile Buffer)], I34) &lt; 3/5, "3", IF(PERCENTRANK(Table2[Intersection Density (Half Mile Buffer)], I34) &lt; 4/5, "4", "5"))))</f>
        <v>5</v>
      </c>
      <c r="K34" s="21">
        <v>9</v>
      </c>
      <c r="L34" s="67">
        <f>Table2[[#This Row],[Intersection Density Score Half Mile]]+K34</f>
        <v>14</v>
      </c>
      <c r="M34" s="67">
        <f>IF(PERCENTRANK(Table2[Pedestrain Access Score], L34) &lt; 1/5, 1, IF(PERCENTRANK(Table2[Pedestrain Access Score], L34) &lt; 2/5, 2, IF(PERCENTRANK(Table2[Pedestrain Access Score], L34) &lt; 3/5,3, IF(PERCENTRANK(Table2[Pedestrain Access Score], L34) &lt; 4/5, 4, 5))))</f>
        <v>5</v>
      </c>
      <c r="N34" t="str">
        <f>IF(PERCENTRANK(Table2[Pedestrain Access Score], L34) &lt; 1/5, "LOW", IF(PERCENTRANK(Table2[Pedestrain Access Score], L34) &lt; 2/5, "MEDIUM-LOW", IF(PERCENTRANK(Table2[Pedestrain Access Score], L34) &lt; 3/5, "MEDIUM", IF(PERCENTRANK(Table2[Pedestrain Access Score], L34) &lt; 4/5, "MEDIUM-HIGH", "HIGH"))))</f>
        <v>HIGH</v>
      </c>
    </row>
    <row r="35" spans="1:14" x14ac:dyDescent="0.25">
      <c r="A35" s="12" t="s">
        <v>268</v>
      </c>
      <c r="B35" s="60">
        <v>35</v>
      </c>
      <c r="C35">
        <v>974</v>
      </c>
      <c r="D35">
        <v>3.1413500000000001</v>
      </c>
      <c r="E35">
        <v>310.05799999999999</v>
      </c>
      <c r="F35" t="str">
        <f>IF(PERCENTRANK(Table2[Intersection Density (Mile Buffer)], E35) &lt; 1/5, "1", IF(PERCENTRANK(Table2[Intersection Density (Mile Buffer)], E35) &lt; 2/5, "2", IF(PERCENTRANK(Table2[Intersection Density (Mile Buffer)], E35) &lt; 3/5, "3", IF(PERCENTRANK(Table2[Intersection Density (Mile Buffer)], E35) &lt; 4/5, "4", "5"))))</f>
        <v>5</v>
      </c>
      <c r="G35">
        <v>260</v>
      </c>
      <c r="H35">
        <v>0.78527199999999997</v>
      </c>
      <c r="I35">
        <v>331.09500000000003</v>
      </c>
      <c r="J35" t="str">
        <f>IF(PERCENTRANK(Table2[Intersection Density (Half Mile Buffer)], I35) &lt; 1/5, "1", IF(PERCENTRANK(Table2[Intersection Density (Half Mile Buffer)], I35) &lt; 2/5, "2", IF(PERCENTRANK(Table2[Intersection Density (Half Mile Buffer)], I35) &lt; 3/5, "3", IF(PERCENTRANK(Table2[Intersection Density (Half Mile Buffer)], I35) &lt; 4/5, "4", "5"))))</f>
        <v>5</v>
      </c>
      <c r="K35" s="21">
        <v>8</v>
      </c>
      <c r="L35" s="67">
        <f>Table2[[#This Row],[Intersection Density Score Half Mile]]+K35</f>
        <v>13</v>
      </c>
      <c r="M35" s="67">
        <f>IF(PERCENTRANK(Table2[Pedestrain Access Score], L35) &lt; 1/5, 1, IF(PERCENTRANK(Table2[Pedestrain Access Score], L35) &lt; 2/5, 2, IF(PERCENTRANK(Table2[Pedestrain Access Score], L35) &lt; 3/5,3, IF(PERCENTRANK(Table2[Pedestrain Access Score], L35) &lt; 4/5, 4, 5))))</f>
        <v>5</v>
      </c>
      <c r="N35" t="str">
        <f>IF(PERCENTRANK(Table2[Pedestrain Access Score], L35) &lt; 1/5, "LOW", IF(PERCENTRANK(Table2[Pedestrain Access Score], L35) &lt; 2/5, "MEDIUM-LOW", IF(PERCENTRANK(Table2[Pedestrain Access Score], L35) &lt; 3/5, "MEDIUM", IF(PERCENTRANK(Table2[Pedestrain Access Score], L35) &lt; 4/5, "MEDIUM-HIGH", "HIGH"))))</f>
        <v>HIGH</v>
      </c>
    </row>
    <row r="36" spans="1:14" x14ac:dyDescent="0.25">
      <c r="A36" s="12" t="s">
        <v>111</v>
      </c>
      <c r="B36" s="60">
        <v>36</v>
      </c>
      <c r="C36">
        <v>865</v>
      </c>
      <c r="D36">
        <v>3.1413500000000001</v>
      </c>
      <c r="E36">
        <v>275.35899999999998</v>
      </c>
      <c r="F36" t="str">
        <f>IF(PERCENTRANK(Table2[Intersection Density (Mile Buffer)], E36) &lt; 1/5, "1", IF(PERCENTRANK(Table2[Intersection Density (Mile Buffer)], E36) &lt; 2/5, "2", IF(PERCENTRANK(Table2[Intersection Density (Mile Buffer)], E36) &lt; 3/5, "3", IF(PERCENTRANK(Table2[Intersection Density (Mile Buffer)], E36) &lt; 4/5, "4", "5"))))</f>
        <v>5</v>
      </c>
      <c r="G36">
        <v>193</v>
      </c>
      <c r="H36">
        <v>0.78527199999999997</v>
      </c>
      <c r="I36">
        <v>245.77500000000001</v>
      </c>
      <c r="J36" t="str">
        <f>IF(PERCENTRANK(Table2[Intersection Density (Half Mile Buffer)], I36) &lt; 1/5, "1", IF(PERCENTRANK(Table2[Intersection Density (Half Mile Buffer)], I36) &lt; 2/5, "2", IF(PERCENTRANK(Table2[Intersection Density (Half Mile Buffer)], I36) &lt; 3/5, "3", IF(PERCENTRANK(Table2[Intersection Density (Half Mile Buffer)], I36) &lt; 4/5, "4", "5"))))</f>
        <v>4</v>
      </c>
      <c r="K36" s="21">
        <v>6</v>
      </c>
      <c r="L36" s="67">
        <f>Table2[[#This Row],[Intersection Density Score Half Mile]]+K36</f>
        <v>11</v>
      </c>
      <c r="M36" s="67">
        <f>IF(PERCENTRANK(Table2[Pedestrain Access Score], L36) &lt; 1/5, 1, IF(PERCENTRANK(Table2[Pedestrain Access Score], L36) &lt; 2/5, 2, IF(PERCENTRANK(Table2[Pedestrain Access Score], L36) &lt; 3/5,3, IF(PERCENTRANK(Table2[Pedestrain Access Score], L36) &lt; 4/5, 4, 5))))</f>
        <v>4</v>
      </c>
      <c r="N36" t="str">
        <f>IF(PERCENTRANK(Table2[Pedestrain Access Score], L36) &lt; 1/5, "LOW", IF(PERCENTRANK(Table2[Pedestrain Access Score], L36) &lt; 2/5, "MEDIUM-LOW", IF(PERCENTRANK(Table2[Pedestrain Access Score], L36) &lt; 3/5, "MEDIUM", IF(PERCENTRANK(Table2[Pedestrain Access Score], L36) &lt; 4/5, "MEDIUM-HIGH", "HIGH"))))</f>
        <v>MEDIUM-HIGH</v>
      </c>
    </row>
    <row r="37" spans="1:14" x14ac:dyDescent="0.25">
      <c r="A37" s="12" t="s">
        <v>113</v>
      </c>
      <c r="B37" s="60">
        <v>37</v>
      </c>
      <c r="C37">
        <v>408</v>
      </c>
      <c r="D37">
        <v>3.1413500000000001</v>
      </c>
      <c r="E37">
        <v>129.88</v>
      </c>
      <c r="F37" t="str">
        <f>IF(PERCENTRANK(Table2[Intersection Density (Mile Buffer)], E37) &lt; 1/5, "1", IF(PERCENTRANK(Table2[Intersection Density (Mile Buffer)], E37) &lt; 2/5, "2", IF(PERCENTRANK(Table2[Intersection Density (Mile Buffer)], E37) &lt; 3/5, "3", IF(PERCENTRANK(Table2[Intersection Density (Mile Buffer)], E37) &lt; 4/5, "4", "5"))))</f>
        <v>4</v>
      </c>
      <c r="G37">
        <v>83</v>
      </c>
      <c r="H37">
        <v>0.78527199999999997</v>
      </c>
      <c r="I37">
        <v>105.696</v>
      </c>
      <c r="J37" t="str">
        <f>IF(PERCENTRANK(Table2[Intersection Density (Half Mile Buffer)], I37) &lt; 1/5, "1", IF(PERCENTRANK(Table2[Intersection Density (Half Mile Buffer)], I37) &lt; 2/5, "2", IF(PERCENTRANK(Table2[Intersection Density (Half Mile Buffer)], I37) &lt; 3/5, "3", IF(PERCENTRANK(Table2[Intersection Density (Half Mile Buffer)], I37) &lt; 4/5, "4", "5"))))</f>
        <v>4</v>
      </c>
      <c r="K37" s="21">
        <v>4</v>
      </c>
      <c r="L37" s="67">
        <f>Table2[[#This Row],[Intersection Density Score Half Mile]]+K37</f>
        <v>8</v>
      </c>
      <c r="M37" s="67">
        <f>IF(PERCENTRANK(Table2[Pedestrain Access Score], L37) &lt; 1/5, 1, IF(PERCENTRANK(Table2[Pedestrain Access Score], L37) &lt; 2/5, 2, IF(PERCENTRANK(Table2[Pedestrain Access Score], L37) &lt; 3/5,3, IF(PERCENTRANK(Table2[Pedestrain Access Score], L37) &lt; 4/5, 4, 5))))</f>
        <v>3</v>
      </c>
      <c r="N37" t="str">
        <f>IF(PERCENTRANK(Table2[Pedestrain Access Score], L37) &lt; 1/5, "LOW", IF(PERCENTRANK(Table2[Pedestrain Access Score], L37) &lt; 2/5, "MEDIUM-LOW", IF(PERCENTRANK(Table2[Pedestrain Access Score], L37) &lt; 3/5, "MEDIUM", IF(PERCENTRANK(Table2[Pedestrain Access Score], L37) &lt; 4/5, "MEDIUM-HIGH", "HIGH"))))</f>
        <v>MEDIUM</v>
      </c>
    </row>
    <row r="38" spans="1:14" x14ac:dyDescent="0.25">
      <c r="A38" s="12" t="s">
        <v>114</v>
      </c>
      <c r="B38" s="60">
        <v>38</v>
      </c>
      <c r="C38">
        <v>394</v>
      </c>
      <c r="D38">
        <v>3.1413500000000001</v>
      </c>
      <c r="E38">
        <v>125.42400000000001</v>
      </c>
      <c r="F38" t="str">
        <f>IF(PERCENTRANK(Table2[Intersection Density (Mile Buffer)], E38) &lt; 1/5, "1", IF(PERCENTRANK(Table2[Intersection Density (Mile Buffer)], E38) &lt; 2/5, "2", IF(PERCENTRANK(Table2[Intersection Density (Mile Buffer)], E38) &lt; 3/5, "3", IF(PERCENTRANK(Table2[Intersection Density (Mile Buffer)], E38) &lt; 4/5, "4", "5"))))</f>
        <v>4</v>
      </c>
      <c r="G38">
        <v>36</v>
      </c>
      <c r="H38">
        <v>0.78527199999999997</v>
      </c>
      <c r="I38">
        <v>45.844000000000001</v>
      </c>
      <c r="J38" t="str">
        <f>IF(PERCENTRANK(Table2[Intersection Density (Half Mile Buffer)], I38) &lt; 1/5, "1", IF(PERCENTRANK(Table2[Intersection Density (Half Mile Buffer)], I38) &lt; 2/5, "2", IF(PERCENTRANK(Table2[Intersection Density (Half Mile Buffer)], I38) &lt; 3/5, "3", IF(PERCENTRANK(Table2[Intersection Density (Half Mile Buffer)], I38) &lt; 4/5, "4", "5"))))</f>
        <v>2</v>
      </c>
      <c r="K38" s="21">
        <v>4</v>
      </c>
      <c r="L38" s="67">
        <f>Table2[[#This Row],[Intersection Density Score Half Mile]]+K38</f>
        <v>8</v>
      </c>
      <c r="M38" s="67">
        <f>IF(PERCENTRANK(Table2[Pedestrain Access Score], L38) &lt; 1/5, 1, IF(PERCENTRANK(Table2[Pedestrain Access Score], L38) &lt; 2/5, 2, IF(PERCENTRANK(Table2[Pedestrain Access Score], L38) &lt; 3/5,3, IF(PERCENTRANK(Table2[Pedestrain Access Score], L38) &lt; 4/5, 4, 5))))</f>
        <v>3</v>
      </c>
      <c r="N38" t="str">
        <f>IF(PERCENTRANK(Table2[Pedestrain Access Score], L38) &lt; 1/5, "LOW", IF(PERCENTRANK(Table2[Pedestrain Access Score], L38) &lt; 2/5, "MEDIUM-LOW", IF(PERCENTRANK(Table2[Pedestrain Access Score], L38) &lt; 3/5, "MEDIUM", IF(PERCENTRANK(Table2[Pedestrain Access Score], L38) &lt; 4/5, "MEDIUM-HIGH", "HIGH"))))</f>
        <v>MEDIUM</v>
      </c>
    </row>
    <row r="39" spans="1:14" x14ac:dyDescent="0.25">
      <c r="A39" s="12" t="s">
        <v>115</v>
      </c>
      <c r="B39" s="60">
        <v>39</v>
      </c>
      <c r="C39">
        <v>223</v>
      </c>
      <c r="D39">
        <v>3.1413500000000001</v>
      </c>
      <c r="E39">
        <v>70.988600000000005</v>
      </c>
      <c r="F39" t="str">
        <f>IF(PERCENTRANK(Table2[Intersection Density (Mile Buffer)], E39) &lt; 1/5, "1", IF(PERCENTRANK(Table2[Intersection Density (Mile Buffer)], E39) &lt; 2/5, "2", IF(PERCENTRANK(Table2[Intersection Density (Mile Buffer)], E39) &lt; 3/5, "3", IF(PERCENTRANK(Table2[Intersection Density (Mile Buffer)], E39) &lt; 4/5, "4", "5"))))</f>
        <v>3</v>
      </c>
      <c r="G39">
        <v>69</v>
      </c>
      <c r="H39">
        <v>0.78527199999999997</v>
      </c>
      <c r="I39">
        <v>87.867599999999996</v>
      </c>
      <c r="J39" t="str">
        <f>IF(PERCENTRANK(Table2[Intersection Density (Half Mile Buffer)], I39) &lt; 1/5, "1", IF(PERCENTRANK(Table2[Intersection Density (Half Mile Buffer)], I39) &lt; 2/5, "2", IF(PERCENTRANK(Table2[Intersection Density (Half Mile Buffer)], I39) &lt; 3/5, "3", IF(PERCENTRANK(Table2[Intersection Density (Half Mile Buffer)], I39) &lt; 4/5, "4", "5"))))</f>
        <v>3</v>
      </c>
      <c r="K39" s="21">
        <v>7</v>
      </c>
      <c r="L39" s="67">
        <f>Table2[[#This Row],[Intersection Density Score Half Mile]]+K39</f>
        <v>10</v>
      </c>
      <c r="M39" s="67">
        <f>IF(PERCENTRANK(Table2[Pedestrain Access Score], L39) &lt; 1/5, 1, IF(PERCENTRANK(Table2[Pedestrain Access Score], L39) &lt; 2/5, 2, IF(PERCENTRANK(Table2[Pedestrain Access Score], L39) &lt; 3/5,3, IF(PERCENTRANK(Table2[Pedestrain Access Score], L39) &lt; 4/5, 4, 5))))</f>
        <v>4</v>
      </c>
      <c r="N39" t="str">
        <f>IF(PERCENTRANK(Table2[Pedestrain Access Score], L39) &lt; 1/5, "LOW", IF(PERCENTRANK(Table2[Pedestrain Access Score], L39) &lt; 2/5, "MEDIUM-LOW", IF(PERCENTRANK(Table2[Pedestrain Access Score], L39) &lt; 3/5, "MEDIUM", IF(PERCENTRANK(Table2[Pedestrain Access Score], L39) &lt; 4/5, "MEDIUM-HIGH", "HIGH"))))</f>
        <v>MEDIUM-HIGH</v>
      </c>
    </row>
    <row r="40" spans="1:14" x14ac:dyDescent="0.25">
      <c r="A40" s="12" t="s">
        <v>117</v>
      </c>
      <c r="B40" s="60">
        <v>40</v>
      </c>
      <c r="C40">
        <v>139</v>
      </c>
      <c r="D40">
        <v>3.1413500000000001</v>
      </c>
      <c r="E40">
        <v>44.2485</v>
      </c>
      <c r="F40" t="str">
        <f>IF(PERCENTRANK(Table2[Intersection Density (Mile Buffer)], E40) &lt; 1/5, "1", IF(PERCENTRANK(Table2[Intersection Density (Mile Buffer)], E40) &lt; 2/5, "2", IF(PERCENTRANK(Table2[Intersection Density (Mile Buffer)], E40) &lt; 3/5, "3", IF(PERCENTRANK(Table2[Intersection Density (Mile Buffer)], E40) &lt; 4/5, "4", "5"))))</f>
        <v>2</v>
      </c>
      <c r="G40">
        <v>30</v>
      </c>
      <c r="H40">
        <v>0.78527199999999997</v>
      </c>
      <c r="I40">
        <v>38.203299999999999</v>
      </c>
      <c r="J40" t="str">
        <f>IF(PERCENTRANK(Table2[Intersection Density (Half Mile Buffer)], I40) &lt; 1/5, "1", IF(PERCENTRANK(Table2[Intersection Density (Half Mile Buffer)], I40) &lt; 2/5, "2", IF(PERCENTRANK(Table2[Intersection Density (Half Mile Buffer)], I40) &lt; 3/5, "3", IF(PERCENTRANK(Table2[Intersection Density (Half Mile Buffer)], I40) &lt; 4/5, "4", "5"))))</f>
        <v>2</v>
      </c>
      <c r="K40" s="21">
        <v>2</v>
      </c>
      <c r="L40" s="67">
        <f>Table2[[#This Row],[Intersection Density Score Half Mile]]+K40</f>
        <v>4</v>
      </c>
      <c r="M40" s="67">
        <f>IF(PERCENTRANK(Table2[Pedestrain Access Score], L40) &lt; 1/5, 1, IF(PERCENTRANK(Table2[Pedestrain Access Score], L40) &lt; 2/5, 2, IF(PERCENTRANK(Table2[Pedestrain Access Score], L40) &lt; 3/5,3, IF(PERCENTRANK(Table2[Pedestrain Access Score], L40) &lt; 4/5, 4, 5))))</f>
        <v>1</v>
      </c>
      <c r="N40" t="str">
        <f>IF(PERCENTRANK(Table2[Pedestrain Access Score], L40) &lt; 1/5, "LOW", IF(PERCENTRANK(Table2[Pedestrain Access Score], L40) &lt; 2/5, "MEDIUM-LOW", IF(PERCENTRANK(Table2[Pedestrain Access Score], L40) &lt; 3/5, "MEDIUM", IF(PERCENTRANK(Table2[Pedestrain Access Score], L40) &lt; 4/5, "MEDIUM-HIGH", "HIGH"))))</f>
        <v>LOW</v>
      </c>
    </row>
    <row r="41" spans="1:14" x14ac:dyDescent="0.25">
      <c r="A41" s="12" t="s">
        <v>119</v>
      </c>
      <c r="B41" s="60">
        <v>41</v>
      </c>
      <c r="C41">
        <v>252</v>
      </c>
      <c r="D41">
        <v>3.1413500000000001</v>
      </c>
      <c r="E41">
        <v>80.220299999999995</v>
      </c>
      <c r="F41" t="str">
        <f>IF(PERCENTRANK(Table2[Intersection Density (Mile Buffer)], E41) &lt; 1/5, "1", IF(PERCENTRANK(Table2[Intersection Density (Mile Buffer)], E41) &lt; 2/5, "2", IF(PERCENTRANK(Table2[Intersection Density (Mile Buffer)], E41) &lt; 3/5, "3", IF(PERCENTRANK(Table2[Intersection Density (Mile Buffer)], E41) &lt; 4/5, "4", "5"))))</f>
        <v>3</v>
      </c>
      <c r="G41">
        <v>55</v>
      </c>
      <c r="H41">
        <v>0.78527199999999997</v>
      </c>
      <c r="I41">
        <v>70.039400000000001</v>
      </c>
      <c r="J41" t="str">
        <f>IF(PERCENTRANK(Table2[Intersection Density (Half Mile Buffer)], I41) &lt; 1/5, "1", IF(PERCENTRANK(Table2[Intersection Density (Half Mile Buffer)], I41) &lt; 2/5, "2", IF(PERCENTRANK(Table2[Intersection Density (Half Mile Buffer)], I41) &lt; 3/5, "3", IF(PERCENTRANK(Table2[Intersection Density (Half Mile Buffer)], I41) &lt; 4/5, "4", "5"))))</f>
        <v>3</v>
      </c>
      <c r="K41" s="21">
        <v>6</v>
      </c>
      <c r="L41" s="67">
        <f>Table2[[#This Row],[Intersection Density Score Half Mile]]+K41</f>
        <v>9</v>
      </c>
      <c r="M41" s="67">
        <f>IF(PERCENTRANK(Table2[Pedestrain Access Score], L41) &lt; 1/5, 1, IF(PERCENTRANK(Table2[Pedestrain Access Score], L41) &lt; 2/5, 2, IF(PERCENTRANK(Table2[Pedestrain Access Score], L41) &lt; 3/5,3, IF(PERCENTRANK(Table2[Pedestrain Access Score], L41) &lt; 4/5, 4, 5))))</f>
        <v>4</v>
      </c>
      <c r="N41" t="str">
        <f>IF(PERCENTRANK(Table2[Pedestrain Access Score], L41) &lt; 1/5, "LOW", IF(PERCENTRANK(Table2[Pedestrain Access Score], L41) &lt; 2/5, "MEDIUM-LOW", IF(PERCENTRANK(Table2[Pedestrain Access Score], L41) &lt; 3/5, "MEDIUM", IF(PERCENTRANK(Table2[Pedestrain Access Score], L41) &lt; 4/5, "MEDIUM-HIGH", "HIGH"))))</f>
        <v>MEDIUM-HIGH</v>
      </c>
    </row>
    <row r="42" spans="1:14" x14ac:dyDescent="0.25">
      <c r="A42" s="12" t="s">
        <v>121</v>
      </c>
      <c r="B42" s="60">
        <v>42</v>
      </c>
      <c r="C42">
        <v>250</v>
      </c>
      <c r="D42">
        <v>3.1413500000000001</v>
      </c>
      <c r="E42">
        <v>79.583600000000004</v>
      </c>
      <c r="F42" t="str">
        <f>IF(PERCENTRANK(Table2[Intersection Density (Mile Buffer)], E42) &lt; 1/5, "1", IF(PERCENTRANK(Table2[Intersection Density (Mile Buffer)], E42) &lt; 2/5, "2", IF(PERCENTRANK(Table2[Intersection Density (Mile Buffer)], E42) &lt; 3/5, "3", IF(PERCENTRANK(Table2[Intersection Density (Mile Buffer)], E42) &lt; 4/5, "4", "5"))))</f>
        <v>3</v>
      </c>
      <c r="G42">
        <v>50</v>
      </c>
      <c r="H42">
        <v>0.78527199999999997</v>
      </c>
      <c r="I42">
        <v>63.672199999999997</v>
      </c>
      <c r="J42" t="str">
        <f>IF(PERCENTRANK(Table2[Intersection Density (Half Mile Buffer)], I42) &lt; 1/5, "1", IF(PERCENTRANK(Table2[Intersection Density (Half Mile Buffer)], I42) &lt; 2/5, "2", IF(PERCENTRANK(Table2[Intersection Density (Half Mile Buffer)], I42) &lt; 3/5, "3", IF(PERCENTRANK(Table2[Intersection Density (Half Mile Buffer)], I42) &lt; 4/5, "4", "5"))))</f>
        <v>3</v>
      </c>
      <c r="K42" s="21">
        <v>6</v>
      </c>
      <c r="L42" s="67">
        <f>Table2[[#This Row],[Intersection Density Score Half Mile]]+K42</f>
        <v>9</v>
      </c>
      <c r="M42" s="67">
        <f>IF(PERCENTRANK(Table2[Pedestrain Access Score], L42) &lt; 1/5, 1, IF(PERCENTRANK(Table2[Pedestrain Access Score], L42) &lt; 2/5, 2, IF(PERCENTRANK(Table2[Pedestrain Access Score], L42) &lt; 3/5,3, IF(PERCENTRANK(Table2[Pedestrain Access Score], L42) &lt; 4/5, 4, 5))))</f>
        <v>4</v>
      </c>
      <c r="N42" t="str">
        <f>IF(PERCENTRANK(Table2[Pedestrain Access Score], L42) &lt; 1/5, "LOW", IF(PERCENTRANK(Table2[Pedestrain Access Score], L42) &lt; 2/5, "MEDIUM-LOW", IF(PERCENTRANK(Table2[Pedestrain Access Score], L42) &lt; 3/5, "MEDIUM", IF(PERCENTRANK(Table2[Pedestrain Access Score], L42) &lt; 4/5, "MEDIUM-HIGH", "HIGH"))))</f>
        <v>MEDIUM-HIGH</v>
      </c>
    </row>
    <row r="43" spans="1:14" x14ac:dyDescent="0.25">
      <c r="A43" s="12" t="s">
        <v>123</v>
      </c>
      <c r="B43" s="60">
        <v>43</v>
      </c>
      <c r="C43">
        <v>192</v>
      </c>
      <c r="D43">
        <v>3.1413500000000001</v>
      </c>
      <c r="E43">
        <v>61.120199999999997</v>
      </c>
      <c r="F43" t="str">
        <f>IF(PERCENTRANK(Table2[Intersection Density (Mile Buffer)], E43) &lt; 1/5, "1", IF(PERCENTRANK(Table2[Intersection Density (Mile Buffer)], E43) &lt; 2/5, "2", IF(PERCENTRANK(Table2[Intersection Density (Mile Buffer)], E43) &lt; 3/5, "3", IF(PERCENTRANK(Table2[Intersection Density (Mile Buffer)], E43) &lt; 4/5, "4", "5"))))</f>
        <v>2</v>
      </c>
      <c r="G43">
        <v>46</v>
      </c>
      <c r="H43">
        <v>0.78527199999999997</v>
      </c>
      <c r="I43">
        <v>58.578400000000002</v>
      </c>
      <c r="J43" t="str">
        <f>IF(PERCENTRANK(Table2[Intersection Density (Half Mile Buffer)], I43) &lt; 1/5, "1", IF(PERCENTRANK(Table2[Intersection Density (Half Mile Buffer)], I43) &lt; 2/5, "2", IF(PERCENTRANK(Table2[Intersection Density (Half Mile Buffer)], I43) &lt; 3/5, "3", IF(PERCENTRANK(Table2[Intersection Density (Half Mile Buffer)], I43) &lt; 4/5, "4", "5"))))</f>
        <v>2</v>
      </c>
      <c r="K43" s="21">
        <v>3</v>
      </c>
      <c r="L43" s="67">
        <f>Table2[[#This Row],[Intersection Density Score Half Mile]]+K43</f>
        <v>5</v>
      </c>
      <c r="M43" s="67">
        <f>IF(PERCENTRANK(Table2[Pedestrain Access Score], L43) &lt; 1/5, 1, IF(PERCENTRANK(Table2[Pedestrain Access Score], L43) &lt; 2/5, 2, IF(PERCENTRANK(Table2[Pedestrain Access Score], L43) &lt; 3/5,3, IF(PERCENTRANK(Table2[Pedestrain Access Score], L43) &lt; 4/5, 4, 5))))</f>
        <v>2</v>
      </c>
      <c r="N43" t="str">
        <f>IF(PERCENTRANK(Table2[Pedestrain Access Score], L43) &lt; 1/5, "LOW", IF(PERCENTRANK(Table2[Pedestrain Access Score], L43) &lt; 2/5, "MEDIUM-LOW", IF(PERCENTRANK(Table2[Pedestrain Access Score], L43) &lt; 3/5, "MEDIUM", IF(PERCENTRANK(Table2[Pedestrain Access Score], L43) &lt; 4/5, "MEDIUM-HIGH", "HIGH"))))</f>
        <v>MEDIUM-LOW</v>
      </c>
    </row>
    <row r="44" spans="1:14" x14ac:dyDescent="0.25">
      <c r="A44" s="12" t="s">
        <v>124</v>
      </c>
      <c r="B44" s="60">
        <v>44</v>
      </c>
      <c r="C44">
        <v>53</v>
      </c>
      <c r="D44">
        <v>3.1413500000000001</v>
      </c>
      <c r="E44">
        <v>16.871700000000001</v>
      </c>
      <c r="F44" t="str">
        <f>IF(PERCENTRANK(Table2[Intersection Density (Mile Buffer)], E44) &lt; 1/5, "1", IF(PERCENTRANK(Table2[Intersection Density (Mile Buffer)], E44) &lt; 2/5, "2", IF(PERCENTRANK(Table2[Intersection Density (Mile Buffer)], E44) &lt; 3/5, "3", IF(PERCENTRANK(Table2[Intersection Density (Mile Buffer)], E44) &lt; 4/5, "4", "5"))))</f>
        <v>1</v>
      </c>
      <c r="G44">
        <v>13</v>
      </c>
      <c r="H44">
        <v>0.78527199999999997</v>
      </c>
      <c r="I44">
        <v>16.5548</v>
      </c>
      <c r="J44" t="str">
        <f>IF(PERCENTRANK(Table2[Intersection Density (Half Mile Buffer)], I44) &lt; 1/5, "1", IF(PERCENTRANK(Table2[Intersection Density (Half Mile Buffer)], I44) &lt; 2/5, "2", IF(PERCENTRANK(Table2[Intersection Density (Half Mile Buffer)], I44) &lt; 3/5, "3", IF(PERCENTRANK(Table2[Intersection Density (Half Mile Buffer)], I44) &lt; 4/5, "4", "5"))))</f>
        <v>1</v>
      </c>
      <c r="K44" s="21">
        <v>2</v>
      </c>
      <c r="L44" s="67">
        <f>Table2[[#This Row],[Intersection Density Score Half Mile]]+K44</f>
        <v>3</v>
      </c>
      <c r="M44" s="67">
        <f>IF(PERCENTRANK(Table2[Pedestrain Access Score], L44) &lt; 1/5, 1, IF(PERCENTRANK(Table2[Pedestrain Access Score], L44) &lt; 2/5, 2, IF(PERCENTRANK(Table2[Pedestrain Access Score], L44) &lt; 3/5,3, IF(PERCENTRANK(Table2[Pedestrain Access Score], L44) &lt; 4/5, 4, 5))))</f>
        <v>1</v>
      </c>
      <c r="N44" t="str">
        <f>IF(PERCENTRANK(Table2[Pedestrain Access Score], L44) &lt; 1/5, "LOW", IF(PERCENTRANK(Table2[Pedestrain Access Score], L44) &lt; 2/5, "MEDIUM-LOW", IF(PERCENTRANK(Table2[Pedestrain Access Score], L44) &lt; 3/5, "MEDIUM", IF(PERCENTRANK(Table2[Pedestrain Access Score], L44) &lt; 4/5, "MEDIUM-HIGH", "HIGH"))))</f>
        <v>LOW</v>
      </c>
    </row>
    <row r="45" spans="1:14" x14ac:dyDescent="0.25">
      <c r="A45" s="12" t="s">
        <v>125</v>
      </c>
      <c r="B45" s="60">
        <v>45</v>
      </c>
      <c r="C45">
        <v>50</v>
      </c>
      <c r="D45">
        <v>3.1413500000000001</v>
      </c>
      <c r="E45">
        <v>15.916700000000001</v>
      </c>
      <c r="F45" t="str">
        <f>IF(PERCENTRANK(Table2[Intersection Density (Mile Buffer)], E45) &lt; 1/5, "1", IF(PERCENTRANK(Table2[Intersection Density (Mile Buffer)], E45) &lt; 2/5, "2", IF(PERCENTRANK(Table2[Intersection Density (Mile Buffer)], E45) &lt; 3/5, "3", IF(PERCENTRANK(Table2[Intersection Density (Mile Buffer)], E45) &lt; 4/5, "4", "5"))))</f>
        <v>1</v>
      </c>
      <c r="G45">
        <v>10</v>
      </c>
      <c r="H45">
        <v>0.78527199999999997</v>
      </c>
      <c r="I45">
        <v>12.734400000000001</v>
      </c>
      <c r="J45" t="str">
        <f>IF(PERCENTRANK(Table2[Intersection Density (Half Mile Buffer)], I45) &lt; 1/5, "1", IF(PERCENTRANK(Table2[Intersection Density (Half Mile Buffer)], I45) &lt; 2/5, "2", IF(PERCENTRANK(Table2[Intersection Density (Half Mile Buffer)], I45) &lt; 3/5, "3", IF(PERCENTRANK(Table2[Intersection Density (Half Mile Buffer)], I45) &lt; 4/5, "4", "5"))))</f>
        <v>1</v>
      </c>
      <c r="K45" s="21">
        <v>1</v>
      </c>
      <c r="L45" s="67">
        <f>Table2[[#This Row],[Intersection Density Score Half Mile]]+K45</f>
        <v>2</v>
      </c>
      <c r="M45" s="67">
        <f>IF(PERCENTRANK(Table2[Pedestrain Access Score], L45) &lt; 1/5, 1, IF(PERCENTRANK(Table2[Pedestrain Access Score], L45) &lt; 2/5, 2, IF(PERCENTRANK(Table2[Pedestrain Access Score], L45) &lt; 3/5,3, IF(PERCENTRANK(Table2[Pedestrain Access Score], L45) &lt; 4/5, 4, 5))))</f>
        <v>1</v>
      </c>
      <c r="N45" t="str">
        <f>IF(PERCENTRANK(Table2[Pedestrain Access Score], L45) &lt; 1/5, "LOW", IF(PERCENTRANK(Table2[Pedestrain Access Score], L45) &lt; 2/5, "MEDIUM-LOW", IF(PERCENTRANK(Table2[Pedestrain Access Score], L45) &lt; 3/5, "MEDIUM", IF(PERCENTRANK(Table2[Pedestrain Access Score], L45) &lt; 4/5, "MEDIUM-HIGH", "HIGH"))))</f>
        <v>LOW</v>
      </c>
    </row>
    <row r="46" spans="1:14" x14ac:dyDescent="0.25">
      <c r="A46" s="12" t="s">
        <v>126</v>
      </c>
      <c r="B46" s="60">
        <v>46</v>
      </c>
      <c r="C46">
        <v>50</v>
      </c>
      <c r="D46">
        <v>3.1413500000000001</v>
      </c>
      <c r="E46">
        <v>15.916700000000001</v>
      </c>
      <c r="F46" t="str">
        <f>IF(PERCENTRANK(Table2[Intersection Density (Mile Buffer)], E46) &lt; 1/5, "1", IF(PERCENTRANK(Table2[Intersection Density (Mile Buffer)], E46) &lt; 2/5, "2", IF(PERCENTRANK(Table2[Intersection Density (Mile Buffer)], E46) &lt; 3/5, "3", IF(PERCENTRANK(Table2[Intersection Density (Mile Buffer)], E46) &lt; 4/5, "4", "5"))))</f>
        <v>1</v>
      </c>
      <c r="G46">
        <v>11</v>
      </c>
      <c r="H46">
        <v>0.78527199999999997</v>
      </c>
      <c r="I46">
        <v>14.007899999999999</v>
      </c>
      <c r="J46" t="str">
        <f>IF(PERCENTRANK(Table2[Intersection Density (Half Mile Buffer)], I46) &lt; 1/5, "1", IF(PERCENTRANK(Table2[Intersection Density (Half Mile Buffer)], I46) &lt; 2/5, "2", IF(PERCENTRANK(Table2[Intersection Density (Half Mile Buffer)], I46) &lt; 3/5, "3", IF(PERCENTRANK(Table2[Intersection Density (Half Mile Buffer)], I46) &lt; 4/5, "4", "5"))))</f>
        <v>1</v>
      </c>
      <c r="K46" s="21">
        <v>4</v>
      </c>
      <c r="L46" s="67">
        <f>Table2[[#This Row],[Intersection Density Score Half Mile]]+K46</f>
        <v>5</v>
      </c>
      <c r="M46" s="67">
        <f>IF(PERCENTRANK(Table2[Pedestrain Access Score], L46) &lt; 1/5, 1, IF(PERCENTRANK(Table2[Pedestrain Access Score], L46) &lt; 2/5, 2, IF(PERCENTRANK(Table2[Pedestrain Access Score], L46) &lt; 3/5,3, IF(PERCENTRANK(Table2[Pedestrain Access Score], L46) &lt; 4/5, 4, 5))))</f>
        <v>2</v>
      </c>
      <c r="N46" t="str">
        <f>IF(PERCENTRANK(Table2[Pedestrain Access Score], L46) &lt; 1/5, "LOW", IF(PERCENTRANK(Table2[Pedestrain Access Score], L46) &lt; 2/5, "MEDIUM-LOW", IF(PERCENTRANK(Table2[Pedestrain Access Score], L46) &lt; 3/5, "MEDIUM", IF(PERCENTRANK(Table2[Pedestrain Access Score], L46) &lt; 4/5, "MEDIUM-HIGH", "HIGH"))))</f>
        <v>MEDIUM-LOW</v>
      </c>
    </row>
    <row r="47" spans="1:14" x14ac:dyDescent="0.25">
      <c r="A47" s="12" t="s">
        <v>127</v>
      </c>
      <c r="B47" s="60">
        <v>47</v>
      </c>
      <c r="C47">
        <v>62</v>
      </c>
      <c r="D47">
        <v>3.1413500000000001</v>
      </c>
      <c r="E47">
        <v>19.736699999999999</v>
      </c>
      <c r="F47" t="str">
        <f>IF(PERCENTRANK(Table2[Intersection Density (Mile Buffer)], E47) &lt; 1/5, "1", IF(PERCENTRANK(Table2[Intersection Density (Mile Buffer)], E47) &lt; 2/5, "2", IF(PERCENTRANK(Table2[Intersection Density (Mile Buffer)], E47) &lt; 3/5, "3", IF(PERCENTRANK(Table2[Intersection Density (Mile Buffer)], E47) &lt; 4/5, "4", "5"))))</f>
        <v>1</v>
      </c>
      <c r="G47">
        <v>18</v>
      </c>
      <c r="H47">
        <v>0.78527199999999997</v>
      </c>
      <c r="I47">
        <v>22.922000000000001</v>
      </c>
      <c r="J47" t="str">
        <f>IF(PERCENTRANK(Table2[Intersection Density (Half Mile Buffer)], I47) &lt; 1/5, "1", IF(PERCENTRANK(Table2[Intersection Density (Half Mile Buffer)], I47) &lt; 2/5, "2", IF(PERCENTRANK(Table2[Intersection Density (Half Mile Buffer)], I47) &lt; 3/5, "3", IF(PERCENTRANK(Table2[Intersection Density (Half Mile Buffer)], I47) &lt; 4/5, "4", "5"))))</f>
        <v>1</v>
      </c>
      <c r="K47" s="21">
        <v>1</v>
      </c>
      <c r="L47" s="67">
        <f>Table2[[#This Row],[Intersection Density Score Half Mile]]+K47</f>
        <v>2</v>
      </c>
      <c r="M47" s="67">
        <f>IF(PERCENTRANK(Table2[Pedestrain Access Score], L47) &lt; 1/5, 1, IF(PERCENTRANK(Table2[Pedestrain Access Score], L47) &lt; 2/5, 2, IF(PERCENTRANK(Table2[Pedestrain Access Score], L47) &lt; 3/5,3, IF(PERCENTRANK(Table2[Pedestrain Access Score], L47) &lt; 4/5, 4, 5))))</f>
        <v>1</v>
      </c>
      <c r="N47" t="str">
        <f>IF(PERCENTRANK(Table2[Pedestrain Access Score], L47) &lt; 1/5, "LOW", IF(PERCENTRANK(Table2[Pedestrain Access Score], L47) &lt; 2/5, "MEDIUM-LOW", IF(PERCENTRANK(Table2[Pedestrain Access Score], L47) &lt; 3/5, "MEDIUM", IF(PERCENTRANK(Table2[Pedestrain Access Score], L47) &lt; 4/5, "MEDIUM-HIGH", "HIGH"))))</f>
        <v>LOW</v>
      </c>
    </row>
    <row r="48" spans="1:14" x14ac:dyDescent="0.25">
      <c r="A48" s="12" t="s">
        <v>128</v>
      </c>
      <c r="B48" s="60">
        <v>48</v>
      </c>
      <c r="C48">
        <v>56</v>
      </c>
      <c r="D48">
        <v>3.1413500000000001</v>
      </c>
      <c r="E48">
        <v>17.826699999999999</v>
      </c>
      <c r="F48" t="str">
        <f>IF(PERCENTRANK(Table2[Intersection Density (Mile Buffer)], E48) &lt; 1/5, "1", IF(PERCENTRANK(Table2[Intersection Density (Mile Buffer)], E48) &lt; 2/5, "2", IF(PERCENTRANK(Table2[Intersection Density (Mile Buffer)], E48) &lt; 3/5, "3", IF(PERCENTRANK(Table2[Intersection Density (Mile Buffer)], E48) &lt; 4/5, "4", "5"))))</f>
        <v>1</v>
      </c>
      <c r="G48">
        <v>15</v>
      </c>
      <c r="H48">
        <v>0.78527199999999997</v>
      </c>
      <c r="I48">
        <v>19.101700000000001</v>
      </c>
      <c r="J48" t="str">
        <f>IF(PERCENTRANK(Table2[Intersection Density (Half Mile Buffer)], I48) &lt; 1/5, "1", IF(PERCENTRANK(Table2[Intersection Density (Half Mile Buffer)], I48) &lt; 2/5, "2", IF(PERCENTRANK(Table2[Intersection Density (Half Mile Buffer)], I48) &lt; 3/5, "3", IF(PERCENTRANK(Table2[Intersection Density (Half Mile Buffer)], I48) &lt; 4/5, "4", "5"))))</f>
        <v>1</v>
      </c>
      <c r="K48" s="21">
        <v>5</v>
      </c>
      <c r="L48" s="67">
        <f>Table2[[#This Row],[Intersection Density Score Half Mile]]+K48</f>
        <v>6</v>
      </c>
      <c r="M48" s="67">
        <f>IF(PERCENTRANK(Table2[Pedestrain Access Score], L48) &lt; 1/5, 1, IF(PERCENTRANK(Table2[Pedestrain Access Score], L48) &lt; 2/5, 2, IF(PERCENTRANK(Table2[Pedestrain Access Score], L48) &lt; 3/5,3, IF(PERCENTRANK(Table2[Pedestrain Access Score], L48) &lt; 4/5, 4, 5))))</f>
        <v>2</v>
      </c>
      <c r="N48" t="str">
        <f>IF(PERCENTRANK(Table2[Pedestrain Access Score], L48) &lt; 1/5, "LOW", IF(PERCENTRANK(Table2[Pedestrain Access Score], L48) &lt; 2/5, "MEDIUM-LOW", IF(PERCENTRANK(Table2[Pedestrain Access Score], L48) &lt; 3/5, "MEDIUM", IF(PERCENTRANK(Table2[Pedestrain Access Score], L48) &lt; 4/5, "MEDIUM-HIGH", "HIGH"))))</f>
        <v>MEDIUM-LOW</v>
      </c>
    </row>
    <row r="49" spans="1:14" x14ac:dyDescent="0.25">
      <c r="A49" s="12" t="s">
        <v>130</v>
      </c>
      <c r="B49" s="60">
        <v>49</v>
      </c>
      <c r="C49">
        <v>59</v>
      </c>
      <c r="D49">
        <v>3.1413500000000001</v>
      </c>
      <c r="E49">
        <v>18.781700000000001</v>
      </c>
      <c r="F49" t="str">
        <f>IF(PERCENTRANK(Table2[Intersection Density (Mile Buffer)], E49) &lt; 1/5, "1", IF(PERCENTRANK(Table2[Intersection Density (Mile Buffer)], E49) &lt; 2/5, "2", IF(PERCENTRANK(Table2[Intersection Density (Mile Buffer)], E49) &lt; 3/5, "3", IF(PERCENTRANK(Table2[Intersection Density (Mile Buffer)], E49) &lt; 4/5, "4", "5"))))</f>
        <v>1</v>
      </c>
      <c r="G49">
        <v>40</v>
      </c>
      <c r="H49">
        <v>0.78527199999999997</v>
      </c>
      <c r="I49">
        <v>50.937800000000003</v>
      </c>
      <c r="J49" t="str">
        <f>IF(PERCENTRANK(Table2[Intersection Density (Half Mile Buffer)], I49) &lt; 1/5, "1", IF(PERCENTRANK(Table2[Intersection Density (Half Mile Buffer)], I49) &lt; 2/5, "2", IF(PERCENTRANK(Table2[Intersection Density (Half Mile Buffer)], I49) &lt; 3/5, "3", IF(PERCENTRANK(Table2[Intersection Density (Half Mile Buffer)], I49) &lt; 4/5, "4", "5"))))</f>
        <v>2</v>
      </c>
      <c r="K49" s="21">
        <v>2</v>
      </c>
      <c r="L49" s="67">
        <f>Table2[[#This Row],[Intersection Density Score Half Mile]]+K49</f>
        <v>3</v>
      </c>
      <c r="M49" s="67">
        <f>IF(PERCENTRANK(Table2[Pedestrain Access Score], L49) &lt; 1/5, 1, IF(PERCENTRANK(Table2[Pedestrain Access Score], L49) &lt; 2/5, 2, IF(PERCENTRANK(Table2[Pedestrain Access Score], L49) &lt; 3/5,3, IF(PERCENTRANK(Table2[Pedestrain Access Score], L49) &lt; 4/5, 4, 5))))</f>
        <v>1</v>
      </c>
      <c r="N49" t="str">
        <f>IF(PERCENTRANK(Table2[Pedestrain Access Score], L49) &lt; 1/5, "LOW", IF(PERCENTRANK(Table2[Pedestrain Access Score], L49) &lt; 2/5, "MEDIUM-LOW", IF(PERCENTRANK(Table2[Pedestrain Access Score], L49) &lt; 3/5, "MEDIUM", IF(PERCENTRANK(Table2[Pedestrain Access Score], L49) &lt; 4/5, "MEDIUM-HIGH", "HIGH"))))</f>
        <v>LOW</v>
      </c>
    </row>
    <row r="50" spans="1:14" x14ac:dyDescent="0.25">
      <c r="A50" s="12" t="s">
        <v>135</v>
      </c>
      <c r="B50" s="60">
        <v>50</v>
      </c>
      <c r="C50">
        <v>339</v>
      </c>
      <c r="D50">
        <v>3.1413500000000001</v>
      </c>
      <c r="E50">
        <v>107.91500000000001</v>
      </c>
      <c r="F50" t="str">
        <f>IF(PERCENTRANK(Table2[Intersection Density (Mile Buffer)], E50) &lt; 1/5, "1", IF(PERCENTRANK(Table2[Intersection Density (Mile Buffer)], E50) &lt; 2/5, "2", IF(PERCENTRANK(Table2[Intersection Density (Mile Buffer)], E50) &lt; 3/5, "3", IF(PERCENTRANK(Table2[Intersection Density (Mile Buffer)], E50) &lt; 4/5, "4", "5"))))</f>
        <v>4</v>
      </c>
      <c r="G50">
        <v>140</v>
      </c>
      <c r="H50">
        <v>0.78527199999999997</v>
      </c>
      <c r="I50">
        <v>178.28200000000001</v>
      </c>
      <c r="J50" t="str">
        <f>IF(PERCENTRANK(Table2[Intersection Density (Half Mile Buffer)], I50) &lt; 1/5, "1", IF(PERCENTRANK(Table2[Intersection Density (Half Mile Buffer)], I50) &lt; 2/5, "2", IF(PERCENTRANK(Table2[Intersection Density (Half Mile Buffer)], I50) &lt; 3/5, "3", IF(PERCENTRANK(Table2[Intersection Density (Half Mile Buffer)], I50) &lt; 4/5, "4", "5"))))</f>
        <v>4</v>
      </c>
      <c r="K50" s="21">
        <v>2</v>
      </c>
      <c r="L50" s="67">
        <f>Table2[[#This Row],[Intersection Density Score Half Mile]]+K50</f>
        <v>6</v>
      </c>
      <c r="M50" s="67">
        <f>IF(PERCENTRANK(Table2[Pedestrain Access Score], L50) &lt; 1/5, 1, IF(PERCENTRANK(Table2[Pedestrain Access Score], L50) &lt; 2/5, 2, IF(PERCENTRANK(Table2[Pedestrain Access Score], L50) &lt; 3/5,3, IF(PERCENTRANK(Table2[Pedestrain Access Score], L50) &lt; 4/5, 4, 5))))</f>
        <v>2</v>
      </c>
      <c r="N50" t="str">
        <f>IF(PERCENTRANK(Table2[Pedestrain Access Score], L50) &lt; 1/5, "LOW", IF(PERCENTRANK(Table2[Pedestrain Access Score], L50) &lt; 2/5, "MEDIUM-LOW", IF(PERCENTRANK(Table2[Pedestrain Access Score], L50) &lt; 3/5, "MEDIUM", IF(PERCENTRANK(Table2[Pedestrain Access Score], L50) &lt; 4/5, "MEDIUM-HIGH", "HIGH"))))</f>
        <v>MEDIUM-LOW</v>
      </c>
    </row>
    <row r="51" spans="1:14" x14ac:dyDescent="0.25">
      <c r="A51" s="12" t="s">
        <v>140</v>
      </c>
      <c r="B51" s="60">
        <v>51</v>
      </c>
      <c r="C51">
        <v>99</v>
      </c>
      <c r="D51">
        <v>3.1413500000000001</v>
      </c>
      <c r="E51">
        <v>31.5151</v>
      </c>
      <c r="F51" t="str">
        <f>IF(PERCENTRANK(Table2[Intersection Density (Mile Buffer)], E51) &lt; 1/5, "1", IF(PERCENTRANK(Table2[Intersection Density (Mile Buffer)], E51) &lt; 2/5, "2", IF(PERCENTRANK(Table2[Intersection Density (Mile Buffer)], E51) &lt; 3/5, "3", IF(PERCENTRANK(Table2[Intersection Density (Mile Buffer)], E51) &lt; 4/5, "4", "5"))))</f>
        <v>2</v>
      </c>
      <c r="G51">
        <v>25</v>
      </c>
      <c r="H51">
        <v>0.78527199999999997</v>
      </c>
      <c r="I51">
        <v>31.836099999999998</v>
      </c>
      <c r="J51" t="str">
        <f>IF(PERCENTRANK(Table2[Intersection Density (Half Mile Buffer)], I51) &lt; 1/5, "1", IF(PERCENTRANK(Table2[Intersection Density (Half Mile Buffer)], I51) &lt; 2/5, "2", IF(PERCENTRANK(Table2[Intersection Density (Half Mile Buffer)], I51) &lt; 3/5, "3", IF(PERCENTRANK(Table2[Intersection Density (Half Mile Buffer)], I51) &lt; 4/5, "4", "5"))))</f>
        <v>2</v>
      </c>
      <c r="K51" s="21">
        <v>3</v>
      </c>
      <c r="L51" s="67">
        <f>Table2[[#This Row],[Intersection Density Score Half Mile]]+K51</f>
        <v>5</v>
      </c>
      <c r="M51" s="67">
        <f>IF(PERCENTRANK(Table2[Pedestrain Access Score], L51) &lt; 1/5, 1, IF(PERCENTRANK(Table2[Pedestrain Access Score], L51) &lt; 2/5, 2, IF(PERCENTRANK(Table2[Pedestrain Access Score], L51) &lt; 3/5,3, IF(PERCENTRANK(Table2[Pedestrain Access Score], L51) &lt; 4/5, 4, 5))))</f>
        <v>2</v>
      </c>
      <c r="N51" t="str">
        <f>IF(PERCENTRANK(Table2[Pedestrain Access Score], L51) &lt; 1/5, "LOW", IF(PERCENTRANK(Table2[Pedestrain Access Score], L51) &lt; 2/5, "MEDIUM-LOW", IF(PERCENTRANK(Table2[Pedestrain Access Score], L51) &lt; 3/5, "MEDIUM", IF(PERCENTRANK(Table2[Pedestrain Access Score], L51) &lt; 4/5, "MEDIUM-HIGH", "HIGH"))))</f>
        <v>MEDIUM-LOW</v>
      </c>
    </row>
    <row r="52" spans="1:14" x14ac:dyDescent="0.25">
      <c r="A52" s="12" t="s">
        <v>143</v>
      </c>
      <c r="B52" s="60">
        <v>52</v>
      </c>
      <c r="C52">
        <v>119</v>
      </c>
      <c r="D52">
        <v>3.1413500000000001</v>
      </c>
      <c r="E52">
        <v>37.881799999999998</v>
      </c>
      <c r="F52" t="str">
        <f>IF(PERCENTRANK(Table2[Intersection Density (Mile Buffer)], E52) &lt; 1/5, "1", IF(PERCENTRANK(Table2[Intersection Density (Mile Buffer)], E52) &lt; 2/5, "2", IF(PERCENTRANK(Table2[Intersection Density (Mile Buffer)], E52) &lt; 3/5, "3", IF(PERCENTRANK(Table2[Intersection Density (Mile Buffer)], E52) &lt; 4/5, "4", "5"))))</f>
        <v>2</v>
      </c>
      <c r="G52">
        <v>26</v>
      </c>
      <c r="H52">
        <v>0.78527199999999997</v>
      </c>
      <c r="I52">
        <v>33.109499999999997</v>
      </c>
      <c r="J52" t="str">
        <f>IF(PERCENTRANK(Table2[Intersection Density (Half Mile Buffer)], I52) &lt; 1/5, "1", IF(PERCENTRANK(Table2[Intersection Density (Half Mile Buffer)], I52) &lt; 2/5, "2", IF(PERCENTRANK(Table2[Intersection Density (Half Mile Buffer)], I52) &lt; 3/5, "3", IF(PERCENTRANK(Table2[Intersection Density (Half Mile Buffer)], I52) &lt; 4/5, "4", "5"))))</f>
        <v>2</v>
      </c>
      <c r="K52" s="21">
        <v>1</v>
      </c>
      <c r="L52" s="67">
        <f>Table2[[#This Row],[Intersection Density Score Half Mile]]+K52</f>
        <v>3</v>
      </c>
      <c r="M52" s="67">
        <f>IF(PERCENTRANK(Table2[Pedestrain Access Score], L52) &lt; 1/5, 1, IF(PERCENTRANK(Table2[Pedestrain Access Score], L52) &lt; 2/5, 2, IF(PERCENTRANK(Table2[Pedestrain Access Score], L52) &lt; 3/5,3, IF(PERCENTRANK(Table2[Pedestrain Access Score], L52) &lt; 4/5, 4, 5))))</f>
        <v>1</v>
      </c>
      <c r="N52" t="str">
        <f>IF(PERCENTRANK(Table2[Pedestrain Access Score], L52) &lt; 1/5, "LOW", IF(PERCENTRANK(Table2[Pedestrain Access Score], L52) &lt; 2/5, "MEDIUM-LOW", IF(PERCENTRANK(Table2[Pedestrain Access Score], L52) &lt; 3/5, "MEDIUM", IF(PERCENTRANK(Table2[Pedestrain Access Score], L52) &lt; 4/5, "MEDIUM-HIGH", "HIGH"))))</f>
        <v>LOW</v>
      </c>
    </row>
    <row r="53" spans="1:14" x14ac:dyDescent="0.25">
      <c r="A53" s="12" t="s">
        <v>147</v>
      </c>
      <c r="B53" s="60">
        <v>53</v>
      </c>
      <c r="C53">
        <v>817</v>
      </c>
      <c r="D53">
        <v>3.1413500000000001</v>
      </c>
      <c r="E53">
        <v>260.07900000000001</v>
      </c>
      <c r="F53" t="str">
        <f>IF(PERCENTRANK(Table2[Intersection Density (Mile Buffer)], E53) &lt; 1/5, "1", IF(PERCENTRANK(Table2[Intersection Density (Mile Buffer)], E53) &lt; 2/5, "2", IF(PERCENTRANK(Table2[Intersection Density (Mile Buffer)], E53) &lt; 3/5, "3", IF(PERCENTRANK(Table2[Intersection Density (Mile Buffer)], E53) &lt; 4/5, "4", "5"))))</f>
        <v>5</v>
      </c>
      <c r="G53">
        <v>217</v>
      </c>
      <c r="H53">
        <v>0.78527199999999997</v>
      </c>
      <c r="I53">
        <v>276.33699999999999</v>
      </c>
      <c r="J53" t="str">
        <f>IF(PERCENTRANK(Table2[Intersection Density (Half Mile Buffer)], I53) &lt; 1/5, "1", IF(PERCENTRANK(Table2[Intersection Density (Half Mile Buffer)], I53) &lt; 2/5, "2", IF(PERCENTRANK(Table2[Intersection Density (Half Mile Buffer)], I53) &lt; 3/5, "3", IF(PERCENTRANK(Table2[Intersection Density (Half Mile Buffer)], I53) &lt; 4/5, "4", "5"))))</f>
        <v>5</v>
      </c>
      <c r="K53" s="21">
        <v>6</v>
      </c>
      <c r="L53" s="67">
        <f>Table2[[#This Row],[Intersection Density Score Half Mile]]+K53</f>
        <v>11</v>
      </c>
      <c r="M53" s="67">
        <f>IF(PERCENTRANK(Table2[Pedestrain Access Score], L53) &lt; 1/5, 1, IF(PERCENTRANK(Table2[Pedestrain Access Score], L53) &lt; 2/5, 2, IF(PERCENTRANK(Table2[Pedestrain Access Score], L53) &lt; 3/5,3, IF(PERCENTRANK(Table2[Pedestrain Access Score], L53) &lt; 4/5, 4, 5))))</f>
        <v>4</v>
      </c>
      <c r="N53" t="str">
        <f>IF(PERCENTRANK(Table2[Pedestrain Access Score], L53) &lt; 1/5, "LOW", IF(PERCENTRANK(Table2[Pedestrain Access Score], L53) &lt; 2/5, "MEDIUM-LOW", IF(PERCENTRANK(Table2[Pedestrain Access Score], L53) &lt; 3/5, "MEDIUM", IF(PERCENTRANK(Table2[Pedestrain Access Score], L53) &lt; 4/5, "MEDIUM-HIGH", "HIGH"))))</f>
        <v>MEDIUM-HIGH</v>
      </c>
    </row>
    <row r="54" spans="1:14" x14ac:dyDescent="0.25">
      <c r="A54" s="12" t="s">
        <v>149</v>
      </c>
      <c r="B54" s="60">
        <v>54</v>
      </c>
      <c r="C54">
        <v>256</v>
      </c>
      <c r="D54">
        <v>3.1413500000000001</v>
      </c>
      <c r="E54">
        <v>81.493600000000001</v>
      </c>
      <c r="F54" t="str">
        <f>IF(PERCENTRANK(Table2[Intersection Density (Mile Buffer)], E54) &lt; 1/5, "1", IF(PERCENTRANK(Table2[Intersection Density (Mile Buffer)], E54) &lt; 2/5, "2", IF(PERCENTRANK(Table2[Intersection Density (Mile Buffer)], E54) &lt; 3/5, "3", IF(PERCENTRANK(Table2[Intersection Density (Mile Buffer)], E54) &lt; 4/5, "4", "5"))))</f>
        <v>3</v>
      </c>
      <c r="G54">
        <v>93</v>
      </c>
      <c r="H54">
        <v>0.78527199999999997</v>
      </c>
      <c r="I54">
        <v>118.43</v>
      </c>
      <c r="J54" t="str">
        <f>IF(PERCENTRANK(Table2[Intersection Density (Half Mile Buffer)], I54) &lt; 1/5, "1", IF(PERCENTRANK(Table2[Intersection Density (Half Mile Buffer)], I54) &lt; 2/5, "2", IF(PERCENTRANK(Table2[Intersection Density (Half Mile Buffer)], I54) &lt; 3/5, "3", IF(PERCENTRANK(Table2[Intersection Density (Half Mile Buffer)], I54) &lt; 4/5, "4", "5"))))</f>
        <v>4</v>
      </c>
      <c r="K54" s="21">
        <v>3</v>
      </c>
      <c r="L54" s="67">
        <f>Table2[[#This Row],[Intersection Density Score Half Mile]]+K54</f>
        <v>6</v>
      </c>
      <c r="M54" s="67">
        <f>IF(PERCENTRANK(Table2[Pedestrain Access Score], L54) &lt; 1/5, 1, IF(PERCENTRANK(Table2[Pedestrain Access Score], L54) &lt; 2/5, 2, IF(PERCENTRANK(Table2[Pedestrain Access Score], L54) &lt; 3/5,3, IF(PERCENTRANK(Table2[Pedestrain Access Score], L54) &lt; 4/5, 4, 5))))</f>
        <v>2</v>
      </c>
      <c r="N54" t="str">
        <f>IF(PERCENTRANK(Table2[Pedestrain Access Score], L54) &lt; 1/5, "LOW", IF(PERCENTRANK(Table2[Pedestrain Access Score], L54) &lt; 2/5, "MEDIUM-LOW", IF(PERCENTRANK(Table2[Pedestrain Access Score], L54) &lt; 3/5, "MEDIUM", IF(PERCENTRANK(Table2[Pedestrain Access Score], L54) &lt; 4/5, "MEDIUM-HIGH", "HIGH"))))</f>
        <v>MEDIUM-LOW</v>
      </c>
    </row>
    <row r="55" spans="1:14" x14ac:dyDescent="0.25">
      <c r="A55" s="12" t="s">
        <v>248</v>
      </c>
      <c r="B55" s="60">
        <v>55</v>
      </c>
      <c r="C55">
        <v>30</v>
      </c>
      <c r="D55">
        <v>3.1413500000000001</v>
      </c>
      <c r="E55">
        <v>9.5500299999999996</v>
      </c>
      <c r="F55" t="str">
        <f>IF(PERCENTRANK(Table2[Intersection Density (Mile Buffer)], E55) &lt; 1/5, "1", IF(PERCENTRANK(Table2[Intersection Density (Mile Buffer)], E55) &lt; 2/5, "2", IF(PERCENTRANK(Table2[Intersection Density (Mile Buffer)], E55) &lt; 3/5, "3", IF(PERCENTRANK(Table2[Intersection Density (Mile Buffer)], E55) &lt; 4/5, "4", "5"))))</f>
        <v>1</v>
      </c>
      <c r="G55">
        <v>2</v>
      </c>
      <c r="H55">
        <v>0.78527199999999997</v>
      </c>
      <c r="I55">
        <v>2.5468899999999999</v>
      </c>
      <c r="J55" t="str">
        <f>IF(PERCENTRANK(Table2[Intersection Density (Half Mile Buffer)], I55) &lt; 1/5, "1", IF(PERCENTRANK(Table2[Intersection Density (Half Mile Buffer)], I55) &lt; 2/5, "2", IF(PERCENTRANK(Table2[Intersection Density (Half Mile Buffer)], I55) &lt; 3/5, "3", IF(PERCENTRANK(Table2[Intersection Density (Half Mile Buffer)], I55) &lt; 4/5, "4", "5"))))</f>
        <v>1</v>
      </c>
      <c r="K55" s="21">
        <v>2</v>
      </c>
      <c r="L55" s="67">
        <f>Table2[[#This Row],[Intersection Density Score Half Mile]]+K55</f>
        <v>3</v>
      </c>
      <c r="M55" s="67">
        <f>IF(PERCENTRANK(Table2[Pedestrain Access Score], L55) &lt; 1/5, 1, IF(PERCENTRANK(Table2[Pedestrain Access Score], L55) &lt; 2/5, 2, IF(PERCENTRANK(Table2[Pedestrain Access Score], L55) &lt; 3/5,3, IF(PERCENTRANK(Table2[Pedestrain Access Score], L55) &lt; 4/5, 4, 5))))</f>
        <v>1</v>
      </c>
      <c r="N55" t="str">
        <f>IF(PERCENTRANK(Table2[Pedestrain Access Score], L55) &lt; 1/5, "LOW", IF(PERCENTRANK(Table2[Pedestrain Access Score], L55) &lt; 2/5, "MEDIUM-LOW", IF(PERCENTRANK(Table2[Pedestrain Access Score], L55) &lt; 3/5, "MEDIUM", IF(PERCENTRANK(Table2[Pedestrain Access Score], L55) &lt; 4/5, "MEDIUM-HIGH", "HIGH"))))</f>
        <v>LOW</v>
      </c>
    </row>
    <row r="56" spans="1:14" x14ac:dyDescent="0.25">
      <c r="A56" s="12" t="s">
        <v>153</v>
      </c>
      <c r="B56" s="60">
        <v>57</v>
      </c>
      <c r="C56">
        <v>115</v>
      </c>
      <c r="D56">
        <v>3.1413500000000001</v>
      </c>
      <c r="E56">
        <v>36.608499999999999</v>
      </c>
      <c r="F56" t="str">
        <f>IF(PERCENTRANK(Table2[Intersection Density (Mile Buffer)], E56) &lt; 1/5, "1", IF(PERCENTRANK(Table2[Intersection Density (Mile Buffer)], E56) &lt; 2/5, "2", IF(PERCENTRANK(Table2[Intersection Density (Mile Buffer)], E56) &lt; 3/5, "3", IF(PERCENTRANK(Table2[Intersection Density (Mile Buffer)], E56) &lt; 4/5, "4", "5"))))</f>
        <v>2</v>
      </c>
      <c r="G56">
        <v>41</v>
      </c>
      <c r="H56">
        <v>0.78527199999999997</v>
      </c>
      <c r="I56">
        <v>52.211199999999998</v>
      </c>
      <c r="J56" t="str">
        <f>IF(PERCENTRANK(Table2[Intersection Density (Half Mile Buffer)], I56) &lt; 1/5, "1", IF(PERCENTRANK(Table2[Intersection Density (Half Mile Buffer)], I56) &lt; 2/5, "2", IF(PERCENTRANK(Table2[Intersection Density (Half Mile Buffer)], I56) &lt; 3/5, "3", IF(PERCENTRANK(Table2[Intersection Density (Half Mile Buffer)], I56) &lt; 4/5, "4", "5"))))</f>
        <v>2</v>
      </c>
      <c r="K56" s="21">
        <v>2</v>
      </c>
      <c r="L56" s="67">
        <f>Table2[[#This Row],[Intersection Density Score Half Mile]]+K56</f>
        <v>4</v>
      </c>
      <c r="M56" s="67">
        <f>IF(PERCENTRANK(Table2[Pedestrain Access Score], L56) &lt; 1/5, 1, IF(PERCENTRANK(Table2[Pedestrain Access Score], L56) &lt; 2/5, 2, IF(PERCENTRANK(Table2[Pedestrain Access Score], L56) &lt; 3/5,3, IF(PERCENTRANK(Table2[Pedestrain Access Score], L56) &lt; 4/5, 4, 5))))</f>
        <v>1</v>
      </c>
      <c r="N56" t="str">
        <f>IF(PERCENTRANK(Table2[Pedestrain Access Score], L56) &lt; 1/5, "LOW", IF(PERCENTRANK(Table2[Pedestrain Access Score], L56) &lt; 2/5, "MEDIUM-LOW", IF(PERCENTRANK(Table2[Pedestrain Access Score], L56) &lt; 3/5, "MEDIUM", IF(PERCENTRANK(Table2[Pedestrain Access Score], L56) &lt; 4/5, "MEDIUM-HIGH", "HIGH"))))</f>
        <v>LOW</v>
      </c>
    </row>
    <row r="57" spans="1:14" x14ac:dyDescent="0.25">
      <c r="A57" s="12" t="s">
        <v>156</v>
      </c>
      <c r="B57" s="60">
        <v>58</v>
      </c>
      <c r="C57">
        <v>48</v>
      </c>
      <c r="D57">
        <v>3.1413500000000001</v>
      </c>
      <c r="E57">
        <v>15.280099999999999</v>
      </c>
      <c r="F57" t="str">
        <f>IF(PERCENTRANK(Table2[Intersection Density (Mile Buffer)], E57) &lt; 1/5, "1", IF(PERCENTRANK(Table2[Intersection Density (Mile Buffer)], E57) &lt; 2/5, "2", IF(PERCENTRANK(Table2[Intersection Density (Mile Buffer)], E57) &lt; 3/5, "3", IF(PERCENTRANK(Table2[Intersection Density (Mile Buffer)], E57) &lt; 4/5, "4", "5"))))</f>
        <v>1</v>
      </c>
      <c r="G57">
        <v>4</v>
      </c>
      <c r="H57">
        <v>0.78527199999999997</v>
      </c>
      <c r="I57">
        <v>5.0937799999999998</v>
      </c>
      <c r="J57" t="str">
        <f>IF(PERCENTRANK(Table2[Intersection Density (Half Mile Buffer)], I57) &lt; 1/5, "1", IF(PERCENTRANK(Table2[Intersection Density (Half Mile Buffer)], I57) &lt; 2/5, "2", IF(PERCENTRANK(Table2[Intersection Density (Half Mile Buffer)], I57) &lt; 3/5, "3", IF(PERCENTRANK(Table2[Intersection Density (Half Mile Buffer)], I57) &lt; 4/5, "4", "5"))))</f>
        <v>1</v>
      </c>
      <c r="K57" s="21">
        <v>3</v>
      </c>
      <c r="L57" s="67">
        <f>Table2[[#This Row],[Intersection Density Score Half Mile]]+K57</f>
        <v>4</v>
      </c>
      <c r="M57" s="67">
        <f>IF(PERCENTRANK(Table2[Pedestrain Access Score], L57) &lt; 1/5, 1, IF(PERCENTRANK(Table2[Pedestrain Access Score], L57) &lt; 2/5, 2, IF(PERCENTRANK(Table2[Pedestrain Access Score], L57) &lt; 3/5,3, IF(PERCENTRANK(Table2[Pedestrain Access Score], L57) &lt; 4/5, 4, 5))))</f>
        <v>1</v>
      </c>
      <c r="N57" t="str">
        <f>IF(PERCENTRANK(Table2[Pedestrain Access Score], L57) &lt; 1/5, "LOW", IF(PERCENTRANK(Table2[Pedestrain Access Score], L57) &lt; 2/5, "MEDIUM-LOW", IF(PERCENTRANK(Table2[Pedestrain Access Score], L57) &lt; 3/5, "MEDIUM", IF(PERCENTRANK(Table2[Pedestrain Access Score], L57) &lt; 4/5, "MEDIUM-HIGH", "HIGH"))))</f>
        <v>LOW</v>
      </c>
    </row>
    <row r="58" spans="1:14" x14ac:dyDescent="0.25">
      <c r="A58" s="12" t="s">
        <v>160</v>
      </c>
      <c r="B58" s="60">
        <v>59</v>
      </c>
      <c r="C58">
        <v>261</v>
      </c>
      <c r="D58">
        <v>3.1413500000000001</v>
      </c>
      <c r="E58">
        <v>83.085300000000004</v>
      </c>
      <c r="F58" t="str">
        <f>IF(PERCENTRANK(Table2[Intersection Density (Mile Buffer)], E58) &lt; 1/5, "1", IF(PERCENTRANK(Table2[Intersection Density (Mile Buffer)], E58) &lt; 2/5, "2", IF(PERCENTRANK(Table2[Intersection Density (Mile Buffer)], E58) &lt; 3/5, "3", IF(PERCENTRANK(Table2[Intersection Density (Mile Buffer)], E58) &lt; 4/5, "4", "5"))))</f>
        <v>3</v>
      </c>
      <c r="G58">
        <v>73</v>
      </c>
      <c r="H58">
        <v>0.78527199999999997</v>
      </c>
      <c r="I58">
        <v>92.961399999999998</v>
      </c>
      <c r="J58" t="str">
        <f>IF(PERCENTRANK(Table2[Intersection Density (Half Mile Buffer)], I58) &lt; 1/5, "1", IF(PERCENTRANK(Table2[Intersection Density (Half Mile Buffer)], I58) &lt; 2/5, "2", IF(PERCENTRANK(Table2[Intersection Density (Half Mile Buffer)], I58) &lt; 3/5, "3", IF(PERCENTRANK(Table2[Intersection Density (Half Mile Buffer)], I58) &lt; 4/5, "4", "5"))))</f>
        <v>3</v>
      </c>
      <c r="K58" s="21">
        <v>3</v>
      </c>
      <c r="L58" s="67">
        <f>Table2[[#This Row],[Intersection Density Score Half Mile]]+K58</f>
        <v>6</v>
      </c>
      <c r="M58" s="67">
        <f>IF(PERCENTRANK(Table2[Pedestrain Access Score], L58) &lt; 1/5, 1, IF(PERCENTRANK(Table2[Pedestrain Access Score], L58) &lt; 2/5, 2, IF(PERCENTRANK(Table2[Pedestrain Access Score], L58) &lt; 3/5,3, IF(PERCENTRANK(Table2[Pedestrain Access Score], L58) &lt; 4/5, 4, 5))))</f>
        <v>2</v>
      </c>
      <c r="N58" t="str">
        <f>IF(PERCENTRANK(Table2[Pedestrain Access Score], L58) &lt; 1/5, "LOW", IF(PERCENTRANK(Table2[Pedestrain Access Score], L58) &lt; 2/5, "MEDIUM-LOW", IF(PERCENTRANK(Table2[Pedestrain Access Score], L58) &lt; 3/5, "MEDIUM", IF(PERCENTRANK(Table2[Pedestrain Access Score], L58) &lt; 4/5, "MEDIUM-HIGH", "HIGH"))))</f>
        <v>MEDIUM-LOW</v>
      </c>
    </row>
    <row r="59" spans="1:14" x14ac:dyDescent="0.25">
      <c r="A59" s="12" t="s">
        <v>162</v>
      </c>
      <c r="B59" s="60">
        <v>60</v>
      </c>
      <c r="C59">
        <v>223</v>
      </c>
      <c r="D59">
        <v>3.1413500000000001</v>
      </c>
      <c r="E59">
        <v>70.988600000000005</v>
      </c>
      <c r="F59" t="str">
        <f>IF(PERCENTRANK(Table2[Intersection Density (Mile Buffer)], E59) &lt; 1/5, "1", IF(PERCENTRANK(Table2[Intersection Density (Mile Buffer)], E59) &lt; 2/5, "2", IF(PERCENTRANK(Table2[Intersection Density (Mile Buffer)], E59) &lt; 3/5, "3", IF(PERCENTRANK(Table2[Intersection Density (Mile Buffer)], E59) &lt; 4/5, "4", "5"))))</f>
        <v>3</v>
      </c>
      <c r="G59">
        <v>49</v>
      </c>
      <c r="H59">
        <v>0.78527199999999997</v>
      </c>
      <c r="I59">
        <v>62.398800000000001</v>
      </c>
      <c r="J59" t="str">
        <f>IF(PERCENTRANK(Table2[Intersection Density (Half Mile Buffer)], I59) &lt; 1/5, "1", IF(PERCENTRANK(Table2[Intersection Density (Half Mile Buffer)], I59) &lt; 2/5, "2", IF(PERCENTRANK(Table2[Intersection Density (Half Mile Buffer)], I59) &lt; 3/5, "3", IF(PERCENTRANK(Table2[Intersection Density (Half Mile Buffer)], I59) &lt; 4/5, "4", "5"))))</f>
        <v>3</v>
      </c>
      <c r="K59" s="21">
        <v>2</v>
      </c>
      <c r="L59" s="67">
        <f>Table2[[#This Row],[Intersection Density Score Half Mile]]+K59</f>
        <v>5</v>
      </c>
      <c r="M59" s="67">
        <f>IF(PERCENTRANK(Table2[Pedestrain Access Score], L59) &lt; 1/5, 1, IF(PERCENTRANK(Table2[Pedestrain Access Score], L59) &lt; 2/5, 2, IF(PERCENTRANK(Table2[Pedestrain Access Score], L59) &lt; 3/5,3, IF(PERCENTRANK(Table2[Pedestrain Access Score], L59) &lt; 4/5, 4, 5))))</f>
        <v>2</v>
      </c>
      <c r="N59" t="str">
        <f>IF(PERCENTRANK(Table2[Pedestrain Access Score], L59) &lt; 1/5, "LOW", IF(PERCENTRANK(Table2[Pedestrain Access Score], L59) &lt; 2/5, "MEDIUM-LOW", IF(PERCENTRANK(Table2[Pedestrain Access Score], L59) &lt; 3/5, "MEDIUM", IF(PERCENTRANK(Table2[Pedestrain Access Score], L59) &lt; 4/5, "MEDIUM-HIGH", "HIGH"))))</f>
        <v>MEDIUM-LOW</v>
      </c>
    </row>
    <row r="60" spans="1:14" x14ac:dyDescent="0.25">
      <c r="A60" s="12" t="s">
        <v>169</v>
      </c>
      <c r="B60" s="60">
        <v>63</v>
      </c>
      <c r="C60">
        <v>104</v>
      </c>
      <c r="D60">
        <v>3.1413500000000001</v>
      </c>
      <c r="E60">
        <v>33.1068</v>
      </c>
      <c r="F60" t="str">
        <f>IF(PERCENTRANK(Table2[Intersection Density (Mile Buffer)], E60) &lt; 1/5, "1", IF(PERCENTRANK(Table2[Intersection Density (Mile Buffer)], E60) &lt; 2/5, "2", IF(PERCENTRANK(Table2[Intersection Density (Mile Buffer)], E60) &lt; 3/5, "3", IF(PERCENTRANK(Table2[Intersection Density (Mile Buffer)], E60) &lt; 4/5, "4", "5"))))</f>
        <v>2</v>
      </c>
      <c r="G60">
        <v>34</v>
      </c>
      <c r="H60">
        <v>0.78527199999999997</v>
      </c>
      <c r="I60">
        <v>43.2971</v>
      </c>
      <c r="J60" t="str">
        <f>IF(PERCENTRANK(Table2[Intersection Density (Half Mile Buffer)], I60) &lt; 1/5, "1", IF(PERCENTRANK(Table2[Intersection Density (Half Mile Buffer)], I60) &lt; 2/5, "2", IF(PERCENTRANK(Table2[Intersection Density (Half Mile Buffer)], I60) &lt; 3/5, "3", IF(PERCENTRANK(Table2[Intersection Density (Half Mile Buffer)], I60) &lt; 4/5, "4", "5"))))</f>
        <v>2</v>
      </c>
      <c r="K60" s="21">
        <v>3</v>
      </c>
      <c r="L60" s="67">
        <f>Table2[[#This Row],[Intersection Density Score Half Mile]]+K60</f>
        <v>5</v>
      </c>
      <c r="M60" s="67">
        <f>IF(PERCENTRANK(Table2[Pedestrain Access Score], L60) &lt; 1/5, 1, IF(PERCENTRANK(Table2[Pedestrain Access Score], L60) &lt; 2/5, 2, IF(PERCENTRANK(Table2[Pedestrain Access Score], L60) &lt; 3/5,3, IF(PERCENTRANK(Table2[Pedestrain Access Score], L60) &lt; 4/5, 4, 5))))</f>
        <v>2</v>
      </c>
      <c r="N60" t="str">
        <f>IF(PERCENTRANK(Table2[Pedestrain Access Score], L60) &lt; 1/5, "LOW", IF(PERCENTRANK(Table2[Pedestrain Access Score], L60) &lt; 2/5, "MEDIUM-LOW", IF(PERCENTRANK(Table2[Pedestrain Access Score], L60) &lt; 3/5, "MEDIUM", IF(PERCENTRANK(Table2[Pedestrain Access Score], L60) &lt; 4/5, "MEDIUM-HIGH", "HIGH"))))</f>
        <v>MEDIUM-LOW</v>
      </c>
    </row>
    <row r="61" spans="1:14" x14ac:dyDescent="0.25">
      <c r="A61" s="12" t="s">
        <v>171</v>
      </c>
      <c r="B61" s="60">
        <v>64</v>
      </c>
      <c r="C61">
        <v>74</v>
      </c>
      <c r="D61">
        <v>3.1413500000000001</v>
      </c>
      <c r="E61">
        <v>23.556799999999999</v>
      </c>
      <c r="F61" t="str">
        <f>IF(PERCENTRANK(Table2[Intersection Density (Mile Buffer)], E61) &lt; 1/5, "1", IF(PERCENTRANK(Table2[Intersection Density (Mile Buffer)], E61) &lt; 2/5, "2", IF(PERCENTRANK(Table2[Intersection Density (Mile Buffer)], E61) &lt; 3/5, "3", IF(PERCENTRANK(Table2[Intersection Density (Mile Buffer)], E61) &lt; 4/5, "4", "5"))))</f>
        <v>1</v>
      </c>
      <c r="G61">
        <v>24</v>
      </c>
      <c r="H61">
        <v>0.78527199999999997</v>
      </c>
      <c r="I61">
        <v>30.5627</v>
      </c>
      <c r="J61" t="str">
        <f>IF(PERCENTRANK(Table2[Intersection Density (Half Mile Buffer)], I61) &lt; 1/5, "1", IF(PERCENTRANK(Table2[Intersection Density (Half Mile Buffer)], I61) &lt; 2/5, "2", IF(PERCENTRANK(Table2[Intersection Density (Half Mile Buffer)], I61) &lt; 3/5, "3", IF(PERCENTRANK(Table2[Intersection Density (Half Mile Buffer)], I61) &lt; 4/5, "4", "5"))))</f>
        <v>1</v>
      </c>
      <c r="K61" s="21">
        <v>1</v>
      </c>
      <c r="L61" s="67">
        <f>Table2[[#This Row],[Intersection Density Score Half Mile]]+K61</f>
        <v>2</v>
      </c>
      <c r="M61" s="67">
        <f>IF(PERCENTRANK(Table2[Pedestrain Access Score], L61) &lt; 1/5, 1, IF(PERCENTRANK(Table2[Pedestrain Access Score], L61) &lt; 2/5, 2, IF(PERCENTRANK(Table2[Pedestrain Access Score], L61) &lt; 3/5,3, IF(PERCENTRANK(Table2[Pedestrain Access Score], L61) &lt; 4/5, 4, 5))))</f>
        <v>1</v>
      </c>
      <c r="N61" t="str">
        <f>IF(PERCENTRANK(Table2[Pedestrain Access Score], L61) &lt; 1/5, "LOW", IF(PERCENTRANK(Table2[Pedestrain Access Score], L61) &lt; 2/5, "MEDIUM-LOW", IF(PERCENTRANK(Table2[Pedestrain Access Score], L61) &lt; 3/5, "MEDIUM", IF(PERCENTRANK(Table2[Pedestrain Access Score], L61) &lt; 4/5, "MEDIUM-HIGH", "HIGH"))))</f>
        <v>LOW</v>
      </c>
    </row>
    <row r="62" spans="1:14" x14ac:dyDescent="0.25">
      <c r="A62" s="12" t="s">
        <v>175</v>
      </c>
      <c r="B62" s="60">
        <v>65</v>
      </c>
      <c r="C62">
        <v>30</v>
      </c>
      <c r="D62">
        <v>3.1413500000000001</v>
      </c>
      <c r="E62">
        <v>9.5500299999999996</v>
      </c>
      <c r="F62" t="str">
        <f>IF(PERCENTRANK(Table2[Intersection Density (Mile Buffer)], E62) &lt; 1/5, "1", IF(PERCENTRANK(Table2[Intersection Density (Mile Buffer)], E62) &lt; 2/5, "2", IF(PERCENTRANK(Table2[Intersection Density (Mile Buffer)], E62) &lt; 3/5, "3", IF(PERCENTRANK(Table2[Intersection Density (Mile Buffer)], E62) &lt; 4/5, "4", "5"))))</f>
        <v>1</v>
      </c>
      <c r="G62">
        <v>10</v>
      </c>
      <c r="H62">
        <v>0.78527199999999997</v>
      </c>
      <c r="I62">
        <v>12.734400000000001</v>
      </c>
      <c r="J62" t="str">
        <f>IF(PERCENTRANK(Table2[Intersection Density (Half Mile Buffer)], I62) &lt; 1/5, "1", IF(PERCENTRANK(Table2[Intersection Density (Half Mile Buffer)], I62) &lt; 2/5, "2", IF(PERCENTRANK(Table2[Intersection Density (Half Mile Buffer)], I62) &lt; 3/5, "3", IF(PERCENTRANK(Table2[Intersection Density (Half Mile Buffer)], I62) &lt; 4/5, "4", "5"))))</f>
        <v>1</v>
      </c>
      <c r="K62" s="21">
        <v>1</v>
      </c>
      <c r="L62" s="67">
        <f>Table2[[#This Row],[Intersection Density Score Half Mile]]+K62</f>
        <v>2</v>
      </c>
      <c r="M62" s="67">
        <f>IF(PERCENTRANK(Table2[Pedestrain Access Score], L62) &lt; 1/5, 1, IF(PERCENTRANK(Table2[Pedestrain Access Score], L62) &lt; 2/5, 2, IF(PERCENTRANK(Table2[Pedestrain Access Score], L62) &lt; 3/5,3, IF(PERCENTRANK(Table2[Pedestrain Access Score], L62) &lt; 4/5, 4, 5))))</f>
        <v>1</v>
      </c>
      <c r="N62" t="str">
        <f>IF(PERCENTRANK(Table2[Pedestrain Access Score], L62) &lt; 1/5, "LOW", IF(PERCENTRANK(Table2[Pedestrain Access Score], L62) &lt; 2/5, "MEDIUM-LOW", IF(PERCENTRANK(Table2[Pedestrain Access Score], L62) &lt; 3/5, "MEDIUM", IF(PERCENTRANK(Table2[Pedestrain Access Score], L62) &lt; 4/5, "MEDIUM-HIGH", "HIGH"))))</f>
        <v>LOW</v>
      </c>
    </row>
    <row r="63" spans="1:14" x14ac:dyDescent="0.25">
      <c r="A63" s="12" t="s">
        <v>177</v>
      </c>
      <c r="B63" s="60">
        <v>66</v>
      </c>
      <c r="C63">
        <v>76</v>
      </c>
      <c r="D63">
        <v>3.1413500000000001</v>
      </c>
      <c r="E63">
        <v>24.1934</v>
      </c>
      <c r="F63" t="str">
        <f>IF(PERCENTRANK(Table2[Intersection Density (Mile Buffer)], E63) &lt; 1/5, "1", IF(PERCENTRANK(Table2[Intersection Density (Mile Buffer)], E63) &lt; 2/5, "2", IF(PERCENTRANK(Table2[Intersection Density (Mile Buffer)], E63) &lt; 3/5, "3", IF(PERCENTRANK(Table2[Intersection Density (Mile Buffer)], E63) &lt; 4/5, "4", "5"))))</f>
        <v>2</v>
      </c>
      <c r="G63">
        <v>14</v>
      </c>
      <c r="H63">
        <v>0.78527199999999997</v>
      </c>
      <c r="I63">
        <v>17.828199999999999</v>
      </c>
      <c r="J63" t="str">
        <f>IF(PERCENTRANK(Table2[Intersection Density (Half Mile Buffer)], I63) &lt; 1/5, "1", IF(PERCENTRANK(Table2[Intersection Density (Half Mile Buffer)], I63) &lt; 2/5, "2", IF(PERCENTRANK(Table2[Intersection Density (Half Mile Buffer)], I63) &lt; 3/5, "3", IF(PERCENTRANK(Table2[Intersection Density (Half Mile Buffer)], I63) &lt; 4/5, "4", "5"))))</f>
        <v>1</v>
      </c>
      <c r="K63" s="21">
        <v>1</v>
      </c>
      <c r="L63" s="67">
        <f>Table2[[#This Row],[Intersection Density Score Half Mile]]+K63</f>
        <v>3</v>
      </c>
      <c r="M63" s="67">
        <f>IF(PERCENTRANK(Table2[Pedestrain Access Score], L63) &lt; 1/5, 1, IF(PERCENTRANK(Table2[Pedestrain Access Score], L63) &lt; 2/5, 2, IF(PERCENTRANK(Table2[Pedestrain Access Score], L63) &lt; 3/5,3, IF(PERCENTRANK(Table2[Pedestrain Access Score], L63) &lt; 4/5, 4, 5))))</f>
        <v>1</v>
      </c>
      <c r="N63" t="str">
        <f>IF(PERCENTRANK(Table2[Pedestrain Access Score], L63) &lt; 1/5, "LOW", IF(PERCENTRANK(Table2[Pedestrain Access Score], L63) &lt; 2/5, "MEDIUM-LOW", IF(PERCENTRANK(Table2[Pedestrain Access Score], L63) &lt; 3/5, "MEDIUM", IF(PERCENTRANK(Table2[Pedestrain Access Score], L63) &lt; 4/5, "MEDIUM-HIGH", "HIGH"))))</f>
        <v>LOW</v>
      </c>
    </row>
    <row r="64" spans="1:14" x14ac:dyDescent="0.25">
      <c r="A64" s="12" t="s">
        <v>181</v>
      </c>
      <c r="B64" s="60">
        <v>68</v>
      </c>
      <c r="C64">
        <v>237</v>
      </c>
      <c r="D64">
        <v>3.1413500000000001</v>
      </c>
      <c r="E64">
        <v>75.445300000000003</v>
      </c>
      <c r="F64" t="str">
        <f>IF(PERCENTRANK(Table2[Intersection Density (Mile Buffer)], E64) &lt; 1/5, "1", IF(PERCENTRANK(Table2[Intersection Density (Mile Buffer)], E64) &lt; 2/5, "2", IF(PERCENTRANK(Table2[Intersection Density (Mile Buffer)], E64) &lt; 3/5, "3", IF(PERCENTRANK(Table2[Intersection Density (Mile Buffer)], E64) &lt; 4/5, "4", "5"))))</f>
        <v>3</v>
      </c>
      <c r="G64">
        <v>67</v>
      </c>
      <c r="H64">
        <v>0.78527199999999997</v>
      </c>
      <c r="I64">
        <v>85.320800000000006</v>
      </c>
      <c r="J64" t="str">
        <f>IF(PERCENTRANK(Table2[Intersection Density (Half Mile Buffer)], I64) &lt; 1/5, "1", IF(PERCENTRANK(Table2[Intersection Density (Half Mile Buffer)], I64) &lt; 2/5, "2", IF(PERCENTRANK(Table2[Intersection Density (Half Mile Buffer)], I64) &lt; 3/5, "3", IF(PERCENTRANK(Table2[Intersection Density (Half Mile Buffer)], I64) &lt; 4/5, "4", "5"))))</f>
        <v>3</v>
      </c>
      <c r="K64" s="21">
        <v>3</v>
      </c>
      <c r="L64" s="67">
        <f>Table2[[#This Row],[Intersection Density Score Half Mile]]+K64</f>
        <v>6</v>
      </c>
      <c r="M64" s="67">
        <f>IF(PERCENTRANK(Table2[Pedestrain Access Score], L64) &lt; 1/5, 1, IF(PERCENTRANK(Table2[Pedestrain Access Score], L64) &lt; 2/5, 2, IF(PERCENTRANK(Table2[Pedestrain Access Score], L64) &lt; 3/5,3, IF(PERCENTRANK(Table2[Pedestrain Access Score], L64) &lt; 4/5, 4, 5))))</f>
        <v>2</v>
      </c>
      <c r="N64" t="str">
        <f>IF(PERCENTRANK(Table2[Pedestrain Access Score], L64) &lt; 1/5, "LOW", IF(PERCENTRANK(Table2[Pedestrain Access Score], L64) &lt; 2/5, "MEDIUM-LOW", IF(PERCENTRANK(Table2[Pedestrain Access Score], L64) &lt; 3/5, "MEDIUM", IF(PERCENTRANK(Table2[Pedestrain Access Score], L64) &lt; 4/5, "MEDIUM-HIGH", "HIGH"))))</f>
        <v>MEDIUM-LOW</v>
      </c>
    </row>
    <row r="65" spans="1:14" x14ac:dyDescent="0.25">
      <c r="A65" s="5" t="s">
        <v>184</v>
      </c>
      <c r="B65" s="60">
        <v>69</v>
      </c>
      <c r="C65">
        <v>78</v>
      </c>
      <c r="D65">
        <v>3.1413500000000001</v>
      </c>
      <c r="E65">
        <v>24.830100000000002</v>
      </c>
      <c r="F65" t="str">
        <f>IF(PERCENTRANK(Table2[Intersection Density (Mile Buffer)], E65) &lt; 1/5, "1", IF(PERCENTRANK(Table2[Intersection Density (Mile Buffer)], E65) &lt; 2/5, "2", IF(PERCENTRANK(Table2[Intersection Density (Mile Buffer)], E65) &lt; 3/5, "3", IF(PERCENTRANK(Table2[Intersection Density (Mile Buffer)], E65) &lt; 4/5, "4", "5"))))</f>
        <v>2</v>
      </c>
      <c r="G65">
        <v>28</v>
      </c>
      <c r="H65">
        <v>0.78527199999999997</v>
      </c>
      <c r="I65">
        <v>35.656399999999998</v>
      </c>
      <c r="J65" t="str">
        <f>IF(PERCENTRANK(Table2[Intersection Density (Half Mile Buffer)], I65) &lt; 1/5, "1", IF(PERCENTRANK(Table2[Intersection Density (Half Mile Buffer)], I65) &lt; 2/5, "2", IF(PERCENTRANK(Table2[Intersection Density (Half Mile Buffer)], I65) &lt; 3/5, "3", IF(PERCENTRANK(Table2[Intersection Density (Half Mile Buffer)], I65) &lt; 4/5, "4", "5"))))</f>
        <v>2</v>
      </c>
      <c r="K65" s="21">
        <v>2</v>
      </c>
      <c r="L65" s="67">
        <f>Table2[[#This Row],[Intersection Density Score Half Mile]]+K65</f>
        <v>4</v>
      </c>
      <c r="M65" s="67">
        <f>IF(PERCENTRANK(Table2[Pedestrain Access Score], L65) &lt; 1/5, 1, IF(PERCENTRANK(Table2[Pedestrain Access Score], L65) &lt; 2/5, 2, IF(PERCENTRANK(Table2[Pedestrain Access Score], L65) &lt; 3/5,3, IF(PERCENTRANK(Table2[Pedestrain Access Score], L65) &lt; 4/5, 4, 5))))</f>
        <v>1</v>
      </c>
      <c r="N65" t="str">
        <f>IF(PERCENTRANK(Table2[Pedestrain Access Score], L65) &lt; 1/5, "LOW", IF(PERCENTRANK(Table2[Pedestrain Access Score], L65) &lt; 2/5, "MEDIUM-LOW", IF(PERCENTRANK(Table2[Pedestrain Access Score], L65) &lt; 3/5, "MEDIUM", IF(PERCENTRANK(Table2[Pedestrain Access Score], L65) &lt; 4/5, "MEDIUM-HIGH", "HIGH"))))</f>
        <v>LOW</v>
      </c>
    </row>
    <row r="66" spans="1:14" x14ac:dyDescent="0.25">
      <c r="A66" s="5" t="s">
        <v>186</v>
      </c>
      <c r="B66" s="60">
        <v>70</v>
      </c>
      <c r="C66">
        <v>258</v>
      </c>
      <c r="D66">
        <v>3.1413500000000001</v>
      </c>
      <c r="E66">
        <v>82.130300000000005</v>
      </c>
      <c r="F66" t="str">
        <f>IF(PERCENTRANK(Table2[Intersection Density (Mile Buffer)], E66) &lt; 1/5, "1", IF(PERCENTRANK(Table2[Intersection Density (Mile Buffer)], E66) &lt; 2/5, "2", IF(PERCENTRANK(Table2[Intersection Density (Mile Buffer)], E66) &lt; 3/5, "3", IF(PERCENTRANK(Table2[Intersection Density (Mile Buffer)], E66) &lt; 4/5, "4", "5"))))</f>
        <v>3</v>
      </c>
      <c r="G66">
        <v>57</v>
      </c>
      <c r="H66">
        <v>0.78527199999999997</v>
      </c>
      <c r="I66">
        <v>72.586299999999994</v>
      </c>
      <c r="J66" t="str">
        <f>IF(PERCENTRANK(Table2[Intersection Density (Half Mile Buffer)], I66) &lt; 1/5, "1", IF(PERCENTRANK(Table2[Intersection Density (Half Mile Buffer)], I66) &lt; 2/5, "2", IF(PERCENTRANK(Table2[Intersection Density (Half Mile Buffer)], I66) &lt; 3/5, "3", IF(PERCENTRANK(Table2[Intersection Density (Half Mile Buffer)], I66) &lt; 4/5, "4", "5"))))</f>
        <v>3</v>
      </c>
      <c r="K66" s="21">
        <v>6</v>
      </c>
      <c r="L66" s="67">
        <f>Table2[[#This Row],[Intersection Density Score Half Mile]]+K66</f>
        <v>9</v>
      </c>
      <c r="M66" s="67">
        <f>IF(PERCENTRANK(Table2[Pedestrain Access Score], L66) &lt; 1/5, 1, IF(PERCENTRANK(Table2[Pedestrain Access Score], L66) &lt; 2/5, 2, IF(PERCENTRANK(Table2[Pedestrain Access Score], L66) &lt; 3/5,3, IF(PERCENTRANK(Table2[Pedestrain Access Score], L66) &lt; 4/5, 4, 5))))</f>
        <v>4</v>
      </c>
      <c r="N66" t="str">
        <f>IF(PERCENTRANK(Table2[Pedestrain Access Score], L66) &lt; 1/5, "LOW", IF(PERCENTRANK(Table2[Pedestrain Access Score], L66) &lt; 2/5, "MEDIUM-LOW", IF(PERCENTRANK(Table2[Pedestrain Access Score], L66) &lt; 3/5, "MEDIUM", IF(PERCENTRANK(Table2[Pedestrain Access Score], L66) &lt; 4/5, "MEDIUM-HIGH", "HIGH"))))</f>
        <v>MEDIUM-HIGH</v>
      </c>
    </row>
    <row r="67" spans="1:14" x14ac:dyDescent="0.25">
      <c r="A67" s="5" t="s">
        <v>188</v>
      </c>
      <c r="B67" s="60">
        <v>71</v>
      </c>
      <c r="C67">
        <v>289</v>
      </c>
      <c r="D67">
        <v>3.1413500000000001</v>
      </c>
      <c r="E67">
        <v>91.998699999999999</v>
      </c>
      <c r="F67" t="str">
        <f>IF(PERCENTRANK(Table2[Intersection Density (Mile Buffer)], E67) &lt; 1/5, "1", IF(PERCENTRANK(Table2[Intersection Density (Mile Buffer)], E67) &lt; 2/5, "2", IF(PERCENTRANK(Table2[Intersection Density (Mile Buffer)], E67) &lt; 3/5, "3", IF(PERCENTRANK(Table2[Intersection Density (Mile Buffer)], E67) &lt; 4/5, "4", "5"))))</f>
        <v>4</v>
      </c>
      <c r="G67">
        <v>91</v>
      </c>
      <c r="H67">
        <v>0.78527199999999997</v>
      </c>
      <c r="I67">
        <v>115.883</v>
      </c>
      <c r="J67" t="str">
        <f>IF(PERCENTRANK(Table2[Intersection Density (Half Mile Buffer)], I67) &lt; 1/5, "1", IF(PERCENTRANK(Table2[Intersection Density (Half Mile Buffer)], I67) &lt; 2/5, "2", IF(PERCENTRANK(Table2[Intersection Density (Half Mile Buffer)], I67) &lt; 3/5, "3", IF(PERCENTRANK(Table2[Intersection Density (Half Mile Buffer)], I67) &lt; 4/5, "4", "5"))))</f>
        <v>4</v>
      </c>
      <c r="K67" s="21">
        <v>3</v>
      </c>
      <c r="L67" s="67">
        <f>Table2[[#This Row],[Intersection Density Score Half Mile]]+K67</f>
        <v>7</v>
      </c>
      <c r="M67" s="67">
        <f>IF(PERCENTRANK(Table2[Pedestrain Access Score], L67) &lt; 1/5, 1, IF(PERCENTRANK(Table2[Pedestrain Access Score], L67) &lt; 2/5, 2, IF(PERCENTRANK(Table2[Pedestrain Access Score], L67) &lt; 3/5,3, IF(PERCENTRANK(Table2[Pedestrain Access Score], L67) &lt; 4/5, 4, 5))))</f>
        <v>3</v>
      </c>
      <c r="N67" t="str">
        <f>IF(PERCENTRANK(Table2[Pedestrain Access Score], L67) &lt; 1/5, "LOW", IF(PERCENTRANK(Table2[Pedestrain Access Score], L67) &lt; 2/5, "MEDIUM-LOW", IF(PERCENTRANK(Table2[Pedestrain Access Score], L67) &lt; 3/5, "MEDIUM", IF(PERCENTRANK(Table2[Pedestrain Access Score], L67) &lt; 4/5, "MEDIUM-HIGH", "HIGH"))))</f>
        <v>MEDIUM</v>
      </c>
    </row>
    <row r="68" spans="1:14" x14ac:dyDescent="0.25">
      <c r="A68" s="5" t="s">
        <v>192</v>
      </c>
      <c r="B68" s="60">
        <v>72</v>
      </c>
      <c r="C68">
        <v>456</v>
      </c>
      <c r="D68">
        <v>3.1413500000000001</v>
      </c>
      <c r="E68">
        <v>145.161</v>
      </c>
      <c r="F68" t="str">
        <f>IF(PERCENTRANK(Table2[Intersection Density (Mile Buffer)], E68) &lt; 1/5, "1", IF(PERCENTRANK(Table2[Intersection Density (Mile Buffer)], E68) &lt; 2/5, "2", IF(PERCENTRANK(Table2[Intersection Density (Mile Buffer)], E68) &lt; 3/5, "3", IF(PERCENTRANK(Table2[Intersection Density (Mile Buffer)], E68) &lt; 4/5, "4", "5"))))</f>
        <v>4</v>
      </c>
      <c r="G68">
        <v>116</v>
      </c>
      <c r="H68">
        <v>0.78527199999999997</v>
      </c>
      <c r="I68">
        <v>147.72</v>
      </c>
      <c r="J68" t="str">
        <f>IF(PERCENTRANK(Table2[Intersection Density (Half Mile Buffer)], I68) &lt; 1/5, "1", IF(PERCENTRANK(Table2[Intersection Density (Half Mile Buffer)], I68) &lt; 2/5, "2", IF(PERCENTRANK(Table2[Intersection Density (Half Mile Buffer)], I68) &lt; 3/5, "3", IF(PERCENTRANK(Table2[Intersection Density (Half Mile Buffer)], I68) &lt; 4/5, "4", "5"))))</f>
        <v>4</v>
      </c>
      <c r="K68" s="21">
        <v>6</v>
      </c>
      <c r="L68" s="67">
        <f>Table2[[#This Row],[Intersection Density Score Half Mile]]+K68</f>
        <v>10</v>
      </c>
      <c r="M68" s="67">
        <f>IF(PERCENTRANK(Table2[Pedestrain Access Score], L68) &lt; 1/5, 1, IF(PERCENTRANK(Table2[Pedestrain Access Score], L68) &lt; 2/5, 2, IF(PERCENTRANK(Table2[Pedestrain Access Score], L68) &lt; 3/5,3, IF(PERCENTRANK(Table2[Pedestrain Access Score], L68) &lt; 4/5, 4, 5))))</f>
        <v>4</v>
      </c>
      <c r="N68" t="str">
        <f>IF(PERCENTRANK(Table2[Pedestrain Access Score], L68) &lt; 1/5, "LOW", IF(PERCENTRANK(Table2[Pedestrain Access Score], L68) &lt; 2/5, "MEDIUM-LOW", IF(PERCENTRANK(Table2[Pedestrain Access Score], L68) &lt; 3/5, "MEDIUM", IF(PERCENTRANK(Table2[Pedestrain Access Score], L68) &lt; 4/5, "MEDIUM-HIGH", "HIGH"))))</f>
        <v>MEDIUM-HIGH</v>
      </c>
    </row>
    <row r="69" spans="1:14" x14ac:dyDescent="0.25">
      <c r="A69" s="12" t="s">
        <v>198</v>
      </c>
      <c r="B69" s="60">
        <v>75</v>
      </c>
      <c r="C69">
        <v>2</v>
      </c>
      <c r="D69">
        <v>3.1413500000000001</v>
      </c>
      <c r="E69">
        <v>0.63666900000000004</v>
      </c>
      <c r="F69" t="str">
        <f>IF(PERCENTRANK(Table2[Intersection Density (Mile Buffer)], E69) &lt; 1/5, "1", IF(PERCENTRANK(Table2[Intersection Density (Mile Buffer)], E69) &lt; 2/5, "2", IF(PERCENTRANK(Table2[Intersection Density (Mile Buffer)], E69) &lt; 3/5, "3", IF(PERCENTRANK(Table2[Intersection Density (Mile Buffer)], E69) &lt; 4/5, "4", "5"))))</f>
        <v>1</v>
      </c>
      <c r="G69">
        <v>0</v>
      </c>
      <c r="H69">
        <v>0.78527199999999997</v>
      </c>
      <c r="I69">
        <v>0</v>
      </c>
      <c r="J69" t="str">
        <f>IF(PERCENTRANK(Table2[Intersection Density (Half Mile Buffer)], I69) &lt; 1/5, "1", IF(PERCENTRANK(Table2[Intersection Density (Half Mile Buffer)], I69) &lt; 2/5, "2", IF(PERCENTRANK(Table2[Intersection Density (Half Mile Buffer)], I69) &lt; 3/5, "3", IF(PERCENTRANK(Table2[Intersection Density (Half Mile Buffer)], I69) &lt; 4/5, "4", "5"))))</f>
        <v>1</v>
      </c>
      <c r="L69" s="68">
        <f>Table2[[#This Row],[Intersection Density Score Half Mile]]+K69</f>
        <v>1</v>
      </c>
      <c r="M69" s="68">
        <f>IF(PERCENTRANK(Table2[Pedestrain Access Score], L69) &lt; 1/5, 1, IF(PERCENTRANK(Table2[Pedestrain Access Score], L69) &lt; 2/5, 2, IF(PERCENTRANK(Table2[Pedestrain Access Score], L69) &lt; 3/5,3, IF(PERCENTRANK(Table2[Pedestrain Access Score], L69) &lt; 4/5, 4, 5))))</f>
        <v>1</v>
      </c>
      <c r="N69" t="str">
        <f>IF(PERCENTRANK(Table2[Pedestrain Access Score], L69) &lt; 1/5, "LOW", IF(PERCENTRANK(Table2[Pedestrain Access Score], L69) &lt; 2/5, "MEDIUM-LOW", IF(PERCENTRANK(Table2[Pedestrain Access Score], L69) &lt; 3/5, "MEDIUM", IF(PERCENTRANK(Table2[Pedestrain Access Score], L69) &lt; 4/5, "MEDIUM-HIGH", "HIGH"))))</f>
        <v>LOW</v>
      </c>
    </row>
    <row r="70" spans="1:14" x14ac:dyDescent="0.25">
      <c r="A70" s="12" t="s">
        <v>200</v>
      </c>
      <c r="B70" s="60">
        <v>76</v>
      </c>
      <c r="C70">
        <v>202</v>
      </c>
      <c r="D70">
        <v>3.1413500000000001</v>
      </c>
      <c r="E70">
        <v>64.303600000000003</v>
      </c>
      <c r="F70" t="str">
        <f>IF(PERCENTRANK(Table2[Intersection Density (Mile Buffer)], E70) &lt; 1/5, "1", IF(PERCENTRANK(Table2[Intersection Density (Mile Buffer)], E70) &lt; 2/5, "2", IF(PERCENTRANK(Table2[Intersection Density (Mile Buffer)], E70) &lt; 3/5, "3", IF(PERCENTRANK(Table2[Intersection Density (Mile Buffer)], E70) &lt; 4/5, "4", "5"))))</f>
        <v>2</v>
      </c>
      <c r="G70">
        <v>111</v>
      </c>
      <c r="H70">
        <v>0.78527199999999997</v>
      </c>
      <c r="I70">
        <v>141.352</v>
      </c>
      <c r="J70" t="str">
        <f>IF(PERCENTRANK(Table2[Intersection Density (Half Mile Buffer)], I70) &lt; 1/5, "1", IF(PERCENTRANK(Table2[Intersection Density (Half Mile Buffer)], I70) &lt; 2/5, "2", IF(PERCENTRANK(Table2[Intersection Density (Half Mile Buffer)], I70) &lt; 3/5, "3", IF(PERCENTRANK(Table2[Intersection Density (Half Mile Buffer)], I70) &lt; 4/5, "4", "5"))))</f>
        <v>4</v>
      </c>
      <c r="K70" s="21">
        <v>3</v>
      </c>
      <c r="L70" s="67">
        <f>Table2[[#This Row],[Intersection Density Score Half Mile]]+K70</f>
        <v>5</v>
      </c>
      <c r="M70" s="67">
        <f>IF(PERCENTRANK(Table2[Pedestrain Access Score], L70) &lt; 1/5, 1, IF(PERCENTRANK(Table2[Pedestrain Access Score], L70) &lt; 2/5, 2, IF(PERCENTRANK(Table2[Pedestrain Access Score], L70) &lt; 3/5,3, IF(PERCENTRANK(Table2[Pedestrain Access Score], L70) &lt; 4/5, 4, 5))))</f>
        <v>2</v>
      </c>
      <c r="N70" t="str">
        <f>IF(PERCENTRANK(Table2[Pedestrain Access Score], L70) &lt; 1/5, "LOW", IF(PERCENTRANK(Table2[Pedestrain Access Score], L70) &lt; 2/5, "MEDIUM-LOW", IF(PERCENTRANK(Table2[Pedestrain Access Score], L70) &lt; 3/5, "MEDIUM", IF(PERCENTRANK(Table2[Pedestrain Access Score], L70) &lt; 4/5, "MEDIUM-HIGH", "HIGH"))))</f>
        <v>MEDIUM-LOW</v>
      </c>
    </row>
    <row r="71" spans="1:14" x14ac:dyDescent="0.25">
      <c r="A71" s="12" t="s">
        <v>204</v>
      </c>
      <c r="B71" s="60">
        <v>77</v>
      </c>
      <c r="C71">
        <v>62</v>
      </c>
      <c r="D71">
        <v>3.1413500000000001</v>
      </c>
      <c r="E71">
        <v>19.736699999999999</v>
      </c>
      <c r="F71" t="str">
        <f>IF(PERCENTRANK(Table2[Intersection Density (Mile Buffer)], E71) &lt; 1/5, "1", IF(PERCENTRANK(Table2[Intersection Density (Mile Buffer)], E71) &lt; 2/5, "2", IF(PERCENTRANK(Table2[Intersection Density (Mile Buffer)], E71) &lt; 3/5, "3", IF(PERCENTRANK(Table2[Intersection Density (Mile Buffer)], E71) &lt; 4/5, "4", "5"))))</f>
        <v>1</v>
      </c>
      <c r="G71">
        <v>31</v>
      </c>
      <c r="H71">
        <v>0.78527199999999997</v>
      </c>
      <c r="I71">
        <v>39.476799999999997</v>
      </c>
      <c r="J71" t="str">
        <f>IF(PERCENTRANK(Table2[Intersection Density (Half Mile Buffer)], I71) &lt; 1/5, "1", IF(PERCENTRANK(Table2[Intersection Density (Half Mile Buffer)], I71) &lt; 2/5, "2", IF(PERCENTRANK(Table2[Intersection Density (Half Mile Buffer)], I71) &lt; 3/5, "3", IF(PERCENTRANK(Table2[Intersection Density (Half Mile Buffer)], I71) &lt; 4/5, "4", "5"))))</f>
        <v>2</v>
      </c>
      <c r="K71" s="21">
        <v>1</v>
      </c>
      <c r="L71" s="67">
        <f>Table2[[#This Row],[Intersection Density Score Half Mile]]+K71</f>
        <v>2</v>
      </c>
      <c r="M71" s="67">
        <f>IF(PERCENTRANK(Table2[Pedestrain Access Score], L71) &lt; 1/5, 1, IF(PERCENTRANK(Table2[Pedestrain Access Score], L71) &lt; 2/5, 2, IF(PERCENTRANK(Table2[Pedestrain Access Score], L71) &lt; 3/5,3, IF(PERCENTRANK(Table2[Pedestrain Access Score], L71) &lt; 4/5, 4, 5))))</f>
        <v>1</v>
      </c>
      <c r="N71" t="str">
        <f>IF(PERCENTRANK(Table2[Pedestrain Access Score], L71) &lt; 1/5, "LOW", IF(PERCENTRANK(Table2[Pedestrain Access Score], L71) &lt; 2/5, "MEDIUM-LOW", IF(PERCENTRANK(Table2[Pedestrain Access Score], L71) &lt; 3/5, "MEDIUM", IF(PERCENTRANK(Table2[Pedestrain Access Score], L71) &lt; 4/5, "MEDIUM-HIGH", "HIGH"))))</f>
        <v>LOW</v>
      </c>
    </row>
    <row r="72" spans="1:14" x14ac:dyDescent="0.25">
      <c r="A72" s="12" t="s">
        <v>208</v>
      </c>
      <c r="B72" s="60">
        <v>78</v>
      </c>
      <c r="C72">
        <v>357</v>
      </c>
      <c r="D72">
        <v>3.1413500000000001</v>
      </c>
      <c r="E72">
        <v>113.645</v>
      </c>
      <c r="F72" t="str">
        <f>IF(PERCENTRANK(Table2[Intersection Density (Mile Buffer)], E72) &lt; 1/5, "1", IF(PERCENTRANK(Table2[Intersection Density (Mile Buffer)], E72) &lt; 2/5, "2", IF(PERCENTRANK(Table2[Intersection Density (Mile Buffer)], E72) &lt; 3/5, "3", IF(PERCENTRANK(Table2[Intersection Density (Mile Buffer)], E72) &lt; 4/5, "4", "5"))))</f>
        <v>4</v>
      </c>
      <c r="G72">
        <v>96</v>
      </c>
      <c r="H72">
        <v>0.78527199999999997</v>
      </c>
      <c r="I72">
        <v>122.251</v>
      </c>
      <c r="J72" t="str">
        <f>IF(PERCENTRANK(Table2[Intersection Density (Half Mile Buffer)], I72) &lt; 1/5, "1", IF(PERCENTRANK(Table2[Intersection Density (Half Mile Buffer)], I72) &lt; 2/5, "2", IF(PERCENTRANK(Table2[Intersection Density (Half Mile Buffer)], I72) &lt; 3/5, "3", IF(PERCENTRANK(Table2[Intersection Density (Half Mile Buffer)], I72) &lt; 4/5, "4", "5"))))</f>
        <v>4</v>
      </c>
      <c r="K72" s="21">
        <v>5</v>
      </c>
      <c r="L72" s="67">
        <f>Table2[[#This Row],[Intersection Density Score Half Mile]]+K72</f>
        <v>9</v>
      </c>
      <c r="M72" s="67">
        <f>IF(PERCENTRANK(Table2[Pedestrain Access Score], L72) &lt; 1/5, 1, IF(PERCENTRANK(Table2[Pedestrain Access Score], L72) &lt; 2/5, 2, IF(PERCENTRANK(Table2[Pedestrain Access Score], L72) &lt; 3/5,3, IF(PERCENTRANK(Table2[Pedestrain Access Score], L72) &lt; 4/5, 4, 5))))</f>
        <v>4</v>
      </c>
      <c r="N72" t="str">
        <f>IF(PERCENTRANK(Table2[Pedestrain Access Score], L72) &lt; 1/5, "LOW", IF(PERCENTRANK(Table2[Pedestrain Access Score], L72) &lt; 2/5, "MEDIUM-LOW", IF(PERCENTRANK(Table2[Pedestrain Access Score], L72) &lt; 3/5, "MEDIUM", IF(PERCENTRANK(Table2[Pedestrain Access Score], L72) &lt; 4/5, "MEDIUM-HIGH", "HIGH"))))</f>
        <v>MEDIUM-HIGH</v>
      </c>
    </row>
    <row r="73" spans="1:14" x14ac:dyDescent="0.25">
      <c r="A73" s="12" t="s">
        <v>212</v>
      </c>
      <c r="B73" s="60">
        <v>79</v>
      </c>
      <c r="C73">
        <v>50</v>
      </c>
      <c r="D73">
        <v>3.1413500000000001</v>
      </c>
      <c r="E73">
        <v>15.916700000000001</v>
      </c>
      <c r="F73" t="str">
        <f>IF(PERCENTRANK(Table2[Intersection Density (Mile Buffer)], E73) &lt; 1/5, "1", IF(PERCENTRANK(Table2[Intersection Density (Mile Buffer)], E73) &lt; 2/5, "2", IF(PERCENTRANK(Table2[Intersection Density (Mile Buffer)], E73) &lt; 3/5, "3", IF(PERCENTRANK(Table2[Intersection Density (Mile Buffer)], E73) &lt; 4/5, "4", "5"))))</f>
        <v>1</v>
      </c>
      <c r="G73">
        <v>27</v>
      </c>
      <c r="H73">
        <v>0.78527199999999997</v>
      </c>
      <c r="I73">
        <v>34.383000000000003</v>
      </c>
      <c r="J73" t="str">
        <f>IF(PERCENTRANK(Table2[Intersection Density (Half Mile Buffer)], I73) &lt; 1/5, "1", IF(PERCENTRANK(Table2[Intersection Density (Half Mile Buffer)], I73) &lt; 2/5, "2", IF(PERCENTRANK(Table2[Intersection Density (Half Mile Buffer)], I73) &lt; 3/5, "3", IF(PERCENTRANK(Table2[Intersection Density (Half Mile Buffer)], I73) &lt; 4/5, "4", "5"))))</f>
        <v>2</v>
      </c>
      <c r="K73" s="21">
        <v>3</v>
      </c>
      <c r="L73" s="67">
        <f>Table2[[#This Row],[Intersection Density Score Half Mile]]+K73</f>
        <v>4</v>
      </c>
      <c r="M73" s="67">
        <f>IF(PERCENTRANK(Table2[Pedestrain Access Score], L73) &lt; 1/5, 1, IF(PERCENTRANK(Table2[Pedestrain Access Score], L73) &lt; 2/5, 2, IF(PERCENTRANK(Table2[Pedestrain Access Score], L73) &lt; 3/5,3, IF(PERCENTRANK(Table2[Pedestrain Access Score], L73) &lt; 4/5, 4, 5))))</f>
        <v>1</v>
      </c>
      <c r="N73" t="str">
        <f>IF(PERCENTRANK(Table2[Pedestrain Access Score], L73) &lt; 1/5, "LOW", IF(PERCENTRANK(Table2[Pedestrain Access Score], L73) &lt; 2/5, "MEDIUM-LOW", IF(PERCENTRANK(Table2[Pedestrain Access Score], L73) &lt; 3/5, "MEDIUM", IF(PERCENTRANK(Table2[Pedestrain Access Score], L73) &lt; 4/5, "MEDIUM-HIGH", "HIGH"))))</f>
        <v>LOW</v>
      </c>
    </row>
    <row r="74" spans="1:14" x14ac:dyDescent="0.25">
      <c r="A74" s="12" t="s">
        <v>214</v>
      </c>
      <c r="B74" s="60">
        <v>80</v>
      </c>
      <c r="C74">
        <v>13</v>
      </c>
      <c r="D74">
        <v>3.1413500000000001</v>
      </c>
      <c r="E74">
        <v>4.13835</v>
      </c>
      <c r="F74" t="str">
        <f>IF(PERCENTRANK(Table2[Intersection Density (Mile Buffer)], E74) &lt; 1/5, "1", IF(PERCENTRANK(Table2[Intersection Density (Mile Buffer)], E74) &lt; 2/5, "2", IF(PERCENTRANK(Table2[Intersection Density (Mile Buffer)], E74) &lt; 3/5, "3", IF(PERCENTRANK(Table2[Intersection Density (Mile Buffer)], E74) &lt; 4/5, "4", "5"))))</f>
        <v>1</v>
      </c>
      <c r="G74">
        <v>9</v>
      </c>
      <c r="H74">
        <v>0.78527199999999997</v>
      </c>
      <c r="I74">
        <v>11.461</v>
      </c>
      <c r="J74" t="str">
        <f>IF(PERCENTRANK(Table2[Intersection Density (Half Mile Buffer)], I74) &lt; 1/5, "1", IF(PERCENTRANK(Table2[Intersection Density (Half Mile Buffer)], I74) &lt; 2/5, "2", IF(PERCENTRANK(Table2[Intersection Density (Half Mile Buffer)], I74) &lt; 3/5, "3", IF(PERCENTRANK(Table2[Intersection Density (Half Mile Buffer)], I74) &lt; 4/5, "4", "5"))))</f>
        <v>1</v>
      </c>
      <c r="K74" s="21">
        <v>1</v>
      </c>
      <c r="L74" s="67">
        <f>Table2[[#This Row],[Intersection Density Score Half Mile]]+K74</f>
        <v>2</v>
      </c>
      <c r="M74" s="67">
        <f>IF(PERCENTRANK(Table2[Pedestrain Access Score], L74) &lt; 1/5, 1, IF(PERCENTRANK(Table2[Pedestrain Access Score], L74) &lt; 2/5, 2, IF(PERCENTRANK(Table2[Pedestrain Access Score], L74) &lt; 3/5,3, IF(PERCENTRANK(Table2[Pedestrain Access Score], L74) &lt; 4/5, 4, 5))))</f>
        <v>1</v>
      </c>
      <c r="N74" t="str">
        <f>IF(PERCENTRANK(Table2[Pedestrain Access Score], L74) &lt; 1/5, "LOW", IF(PERCENTRANK(Table2[Pedestrain Access Score], L74) &lt; 2/5, "MEDIUM-LOW", IF(PERCENTRANK(Table2[Pedestrain Access Score], L74) &lt; 3/5, "MEDIUM", IF(PERCENTRANK(Table2[Pedestrain Access Score], L74) &lt; 4/5, "MEDIUM-HIGH", "HIGH"))))</f>
        <v>LOW</v>
      </c>
    </row>
    <row r="75" spans="1:14" x14ac:dyDescent="0.25">
      <c r="A75" s="12" t="s">
        <v>218</v>
      </c>
      <c r="B75" s="60">
        <v>81</v>
      </c>
      <c r="C75">
        <v>9</v>
      </c>
      <c r="D75">
        <v>3.1413500000000001</v>
      </c>
      <c r="E75">
        <v>2.8650099999999998</v>
      </c>
      <c r="F75" t="str">
        <f>IF(PERCENTRANK(Table2[Intersection Density (Mile Buffer)], E75) &lt; 1/5, "1", IF(PERCENTRANK(Table2[Intersection Density (Mile Buffer)], E75) &lt; 2/5, "2", IF(PERCENTRANK(Table2[Intersection Density (Mile Buffer)], E75) &lt; 3/5, "3", IF(PERCENTRANK(Table2[Intersection Density (Mile Buffer)], E75) &lt; 4/5, "4", "5"))))</f>
        <v>1</v>
      </c>
      <c r="G75">
        <v>3</v>
      </c>
      <c r="H75">
        <v>0.78527199999999997</v>
      </c>
      <c r="I75">
        <v>3.8203299999999998</v>
      </c>
      <c r="J75" t="str">
        <f>IF(PERCENTRANK(Table2[Intersection Density (Half Mile Buffer)], I75) &lt; 1/5, "1", IF(PERCENTRANK(Table2[Intersection Density (Half Mile Buffer)], I75) &lt; 2/5, "2", IF(PERCENTRANK(Table2[Intersection Density (Half Mile Buffer)], I75) &lt; 3/5, "3", IF(PERCENTRANK(Table2[Intersection Density (Half Mile Buffer)], I75) &lt; 4/5, "4", "5"))))</f>
        <v>1</v>
      </c>
      <c r="K75" s="21">
        <v>1</v>
      </c>
      <c r="L75" s="67">
        <f>Table2[[#This Row],[Intersection Density Score Half Mile]]+K75</f>
        <v>2</v>
      </c>
      <c r="M75" s="67">
        <f>IF(PERCENTRANK(Table2[Pedestrain Access Score], L75) &lt; 1/5, 1, IF(PERCENTRANK(Table2[Pedestrain Access Score], L75) &lt; 2/5, 2, IF(PERCENTRANK(Table2[Pedestrain Access Score], L75) &lt; 3/5,3, IF(PERCENTRANK(Table2[Pedestrain Access Score], L75) &lt; 4/5, 4, 5))))</f>
        <v>1</v>
      </c>
      <c r="N75" t="str">
        <f>IF(PERCENTRANK(Table2[Pedestrain Access Score], L75) &lt; 1/5, "LOW", IF(PERCENTRANK(Table2[Pedestrain Access Score], L75) &lt; 2/5, "MEDIUM-LOW", IF(PERCENTRANK(Table2[Pedestrain Access Score], L75) &lt; 3/5, "MEDIUM", IF(PERCENTRANK(Table2[Pedestrain Access Score], L75) &lt; 4/5, "MEDIUM-HIGH", "HIGH"))))</f>
        <v>LOW</v>
      </c>
    </row>
    <row r="76" spans="1:14" x14ac:dyDescent="0.25">
      <c r="A76" s="12" t="s">
        <v>220</v>
      </c>
      <c r="B76" s="60">
        <v>82</v>
      </c>
      <c r="C76">
        <v>11</v>
      </c>
      <c r="D76">
        <v>3.1413500000000001</v>
      </c>
      <c r="E76">
        <v>3.5016799999999999</v>
      </c>
      <c r="F76" t="str">
        <f>IF(PERCENTRANK(Table2[Intersection Density (Mile Buffer)], E76) &lt; 1/5, "1", IF(PERCENTRANK(Table2[Intersection Density (Mile Buffer)], E76) &lt; 2/5, "2", IF(PERCENTRANK(Table2[Intersection Density (Mile Buffer)], E76) &lt; 3/5, "3", IF(PERCENTRANK(Table2[Intersection Density (Mile Buffer)], E76) &lt; 4/5, "4", "5"))))</f>
        <v>1</v>
      </c>
      <c r="G76">
        <v>4</v>
      </c>
      <c r="H76">
        <v>0.78527199999999997</v>
      </c>
      <c r="I76">
        <v>5.0937799999999998</v>
      </c>
      <c r="J76" t="str">
        <f>IF(PERCENTRANK(Table2[Intersection Density (Half Mile Buffer)], I76) &lt; 1/5, "1", IF(PERCENTRANK(Table2[Intersection Density (Half Mile Buffer)], I76) &lt; 2/5, "2", IF(PERCENTRANK(Table2[Intersection Density (Half Mile Buffer)], I76) &lt; 3/5, "3", IF(PERCENTRANK(Table2[Intersection Density (Half Mile Buffer)], I76) &lt; 4/5, "4", "5"))))</f>
        <v>1</v>
      </c>
      <c r="K76" s="21">
        <v>2</v>
      </c>
      <c r="L76" s="67">
        <f>Table2[[#This Row],[Intersection Density Score Half Mile]]+K76</f>
        <v>3</v>
      </c>
      <c r="M76" s="67">
        <f>IF(PERCENTRANK(Table2[Pedestrain Access Score], L76) &lt; 1/5, 1, IF(PERCENTRANK(Table2[Pedestrain Access Score], L76) &lt; 2/5, 2, IF(PERCENTRANK(Table2[Pedestrain Access Score], L76) &lt; 3/5,3, IF(PERCENTRANK(Table2[Pedestrain Access Score], L76) &lt; 4/5, 4, 5))))</f>
        <v>1</v>
      </c>
      <c r="N76" t="str">
        <f>IF(PERCENTRANK(Table2[Pedestrain Access Score], L76) &lt; 1/5, "LOW", IF(PERCENTRANK(Table2[Pedestrain Access Score], L76) &lt; 2/5, "MEDIUM-LOW", IF(PERCENTRANK(Table2[Pedestrain Access Score], L76) &lt; 3/5, "MEDIUM", IF(PERCENTRANK(Table2[Pedestrain Access Score], L76) &lt; 4/5, "MEDIUM-HIGH", "HIGH"))))</f>
        <v>LOW</v>
      </c>
    </row>
    <row r="77" spans="1:14" x14ac:dyDescent="0.25">
      <c r="A77" s="12" t="s">
        <v>222</v>
      </c>
      <c r="B77" s="60">
        <v>83</v>
      </c>
      <c r="C77">
        <v>197</v>
      </c>
      <c r="D77">
        <v>3.1413500000000001</v>
      </c>
      <c r="E77">
        <v>62.7119</v>
      </c>
      <c r="F77" t="str">
        <f>IF(PERCENTRANK(Table2[Intersection Density (Mile Buffer)], E77) &lt; 1/5, "1", IF(PERCENTRANK(Table2[Intersection Density (Mile Buffer)], E77) &lt; 2/5, "2", IF(PERCENTRANK(Table2[Intersection Density (Mile Buffer)], E77) &lt; 3/5, "3", IF(PERCENTRANK(Table2[Intersection Density (Mile Buffer)], E77) &lt; 4/5, "4", "5"))))</f>
        <v>2</v>
      </c>
      <c r="G77">
        <v>45</v>
      </c>
      <c r="H77">
        <v>0.78527199999999997</v>
      </c>
      <c r="I77">
        <v>57.305</v>
      </c>
      <c r="J77" t="str">
        <f>IF(PERCENTRANK(Table2[Intersection Density (Half Mile Buffer)], I77) &lt; 1/5, "1", IF(PERCENTRANK(Table2[Intersection Density (Half Mile Buffer)], I77) &lt; 2/5, "2", IF(PERCENTRANK(Table2[Intersection Density (Half Mile Buffer)], I77) &lt; 3/5, "3", IF(PERCENTRANK(Table2[Intersection Density (Half Mile Buffer)], I77) &lt; 4/5, "4", "5"))))</f>
        <v>2</v>
      </c>
      <c r="K77" s="21">
        <v>4</v>
      </c>
      <c r="L77" s="67">
        <f>Table2[[#This Row],[Intersection Density Score Half Mile]]+K77</f>
        <v>6</v>
      </c>
      <c r="M77" s="67">
        <f>IF(PERCENTRANK(Table2[Pedestrain Access Score], L77) &lt; 1/5, 1, IF(PERCENTRANK(Table2[Pedestrain Access Score], L77) &lt; 2/5, 2, IF(PERCENTRANK(Table2[Pedestrain Access Score], L77) &lt; 3/5,3, IF(PERCENTRANK(Table2[Pedestrain Access Score], L77) &lt; 4/5, 4, 5))))</f>
        <v>2</v>
      </c>
      <c r="N77" t="str">
        <f>IF(PERCENTRANK(Table2[Pedestrain Access Score], L77) &lt; 1/5, "LOW", IF(PERCENTRANK(Table2[Pedestrain Access Score], L77) &lt; 2/5, "MEDIUM-LOW", IF(PERCENTRANK(Table2[Pedestrain Access Score], L77) &lt; 3/5, "MEDIUM", IF(PERCENTRANK(Table2[Pedestrain Access Score], L77) &lt; 4/5, "MEDIUM-HIGH", "HIGH"))))</f>
        <v>MEDIUM-LOW</v>
      </c>
    </row>
    <row r="78" spans="1:14" x14ac:dyDescent="0.25">
      <c r="A78" s="12" t="s">
        <v>224</v>
      </c>
      <c r="B78" s="60">
        <v>84</v>
      </c>
      <c r="C78">
        <v>152</v>
      </c>
      <c r="D78">
        <v>3.1413500000000001</v>
      </c>
      <c r="E78">
        <v>48.386800000000001</v>
      </c>
      <c r="F78" t="str">
        <f>IF(PERCENTRANK(Table2[Intersection Density (Mile Buffer)], E78) &lt; 1/5, "1", IF(PERCENTRANK(Table2[Intersection Density (Mile Buffer)], E78) &lt; 2/5, "2", IF(PERCENTRANK(Table2[Intersection Density (Mile Buffer)], E78) &lt; 3/5, "3", IF(PERCENTRANK(Table2[Intersection Density (Mile Buffer)], E78) &lt; 4/5, "4", "5"))))</f>
        <v>2</v>
      </c>
      <c r="G78">
        <v>28</v>
      </c>
      <c r="H78">
        <v>0.78527199999999997</v>
      </c>
      <c r="I78">
        <v>35.656399999999998</v>
      </c>
      <c r="J78" t="str">
        <f>IF(PERCENTRANK(Table2[Intersection Density (Half Mile Buffer)], I78) &lt; 1/5, "1", IF(PERCENTRANK(Table2[Intersection Density (Half Mile Buffer)], I78) &lt; 2/5, "2", IF(PERCENTRANK(Table2[Intersection Density (Half Mile Buffer)], I78) &lt; 3/5, "3", IF(PERCENTRANK(Table2[Intersection Density (Half Mile Buffer)], I78) &lt; 4/5, "4", "5"))))</f>
        <v>2</v>
      </c>
      <c r="K78" s="21">
        <v>2</v>
      </c>
      <c r="L78" s="67">
        <f>Table2[[#This Row],[Intersection Density Score Half Mile]]+K78</f>
        <v>4</v>
      </c>
      <c r="M78" s="67">
        <f>IF(PERCENTRANK(Table2[Pedestrain Access Score], L78) &lt; 1/5, 1, IF(PERCENTRANK(Table2[Pedestrain Access Score], L78) &lt; 2/5, 2, IF(PERCENTRANK(Table2[Pedestrain Access Score], L78) &lt; 3/5,3, IF(PERCENTRANK(Table2[Pedestrain Access Score], L78) &lt; 4/5, 4, 5))))</f>
        <v>1</v>
      </c>
      <c r="N78" t="str">
        <f>IF(PERCENTRANK(Table2[Pedestrain Access Score], L78) &lt; 1/5, "LOW", IF(PERCENTRANK(Table2[Pedestrain Access Score], L78) &lt; 2/5, "MEDIUM-LOW", IF(PERCENTRANK(Table2[Pedestrain Access Score], L78) &lt; 3/5, "MEDIUM", IF(PERCENTRANK(Table2[Pedestrain Access Score], L78) &lt; 4/5, "MEDIUM-HIGH", "HIGH"))))</f>
        <v>LOW</v>
      </c>
    </row>
    <row r="79" spans="1:14" x14ac:dyDescent="0.25">
      <c r="A79" s="12" t="s">
        <v>227</v>
      </c>
      <c r="B79" s="60">
        <v>85</v>
      </c>
      <c r="C79">
        <v>281</v>
      </c>
      <c r="D79">
        <v>3.1413500000000001</v>
      </c>
      <c r="E79">
        <v>89.451999999999998</v>
      </c>
      <c r="F79" t="str">
        <f>IF(PERCENTRANK(Table2[Intersection Density (Mile Buffer)], E79) &lt; 1/5, "1", IF(PERCENTRANK(Table2[Intersection Density (Mile Buffer)], E79) &lt; 2/5, "2", IF(PERCENTRANK(Table2[Intersection Density (Mile Buffer)], E79) &lt; 3/5, "3", IF(PERCENTRANK(Table2[Intersection Density (Mile Buffer)], E79) &lt; 4/5, "4", "5"))))</f>
        <v>3</v>
      </c>
      <c r="G79">
        <v>68</v>
      </c>
      <c r="H79">
        <v>0.78527199999999997</v>
      </c>
      <c r="I79">
        <v>86.594200000000001</v>
      </c>
      <c r="J79" t="str">
        <f>IF(PERCENTRANK(Table2[Intersection Density (Half Mile Buffer)], I79) &lt; 1/5, "1", IF(PERCENTRANK(Table2[Intersection Density (Half Mile Buffer)], I79) &lt; 2/5, "2", IF(PERCENTRANK(Table2[Intersection Density (Half Mile Buffer)], I79) &lt; 3/5, "3", IF(PERCENTRANK(Table2[Intersection Density (Half Mile Buffer)], I79) &lt; 4/5, "4", "5"))))</f>
        <v>3</v>
      </c>
      <c r="K79" s="21">
        <v>5</v>
      </c>
      <c r="L79" s="67">
        <f>Table2[[#This Row],[Intersection Density Score Half Mile]]+K79</f>
        <v>8</v>
      </c>
      <c r="M79" s="67">
        <f>IF(PERCENTRANK(Table2[Pedestrain Access Score], L79) &lt; 1/5, 1, IF(PERCENTRANK(Table2[Pedestrain Access Score], L79) &lt; 2/5, 2, IF(PERCENTRANK(Table2[Pedestrain Access Score], L79) &lt; 3/5,3, IF(PERCENTRANK(Table2[Pedestrain Access Score], L79) &lt; 4/5, 4, 5))))</f>
        <v>3</v>
      </c>
      <c r="N79" t="str">
        <f>IF(PERCENTRANK(Table2[Pedestrain Access Score], L79) &lt; 1/5, "LOW", IF(PERCENTRANK(Table2[Pedestrain Access Score], L79) &lt; 2/5, "MEDIUM-LOW", IF(PERCENTRANK(Table2[Pedestrain Access Score], L79) &lt; 3/5, "MEDIUM", IF(PERCENTRANK(Table2[Pedestrain Access Score], L79) &lt; 4/5, "MEDIUM-HIGH", "HIGH"))))</f>
        <v>MEDIUM</v>
      </c>
    </row>
    <row r="80" spans="1:14" x14ac:dyDescent="0.25">
      <c r="A80" s="12" t="s">
        <v>229</v>
      </c>
      <c r="B80" s="60">
        <v>86</v>
      </c>
      <c r="C80">
        <v>238</v>
      </c>
      <c r="D80">
        <v>3.1413500000000001</v>
      </c>
      <c r="E80">
        <v>75.763599999999997</v>
      </c>
      <c r="F80" t="str">
        <f>IF(PERCENTRANK(Table2[Intersection Density (Mile Buffer)], E80) &lt; 1/5, "1", IF(PERCENTRANK(Table2[Intersection Density (Mile Buffer)], E80) &lt; 2/5, "2", IF(PERCENTRANK(Table2[Intersection Density (Mile Buffer)], E80) &lt; 3/5, "3", IF(PERCENTRANK(Table2[Intersection Density (Mile Buffer)], E80) &lt; 4/5, "4", "5"))))</f>
        <v>3</v>
      </c>
      <c r="G80">
        <v>59</v>
      </c>
      <c r="H80">
        <v>0.78527199999999997</v>
      </c>
      <c r="I80">
        <v>75.133200000000002</v>
      </c>
      <c r="J80" t="str">
        <f>IF(PERCENTRANK(Table2[Intersection Density (Half Mile Buffer)], I80) &lt; 1/5, "1", IF(PERCENTRANK(Table2[Intersection Density (Half Mile Buffer)], I80) &lt; 2/5, "2", IF(PERCENTRANK(Table2[Intersection Density (Half Mile Buffer)], I80) &lt; 3/5, "3", IF(PERCENTRANK(Table2[Intersection Density (Half Mile Buffer)], I80) &lt; 4/5, "4", "5"))))</f>
        <v>3</v>
      </c>
      <c r="K80" s="21">
        <v>3</v>
      </c>
      <c r="L80" s="67">
        <f>Table2[[#This Row],[Intersection Density Score Half Mile]]+K80</f>
        <v>6</v>
      </c>
      <c r="M80" s="67">
        <f>IF(PERCENTRANK(Table2[Pedestrain Access Score], L80) &lt; 1/5, 1, IF(PERCENTRANK(Table2[Pedestrain Access Score], L80) &lt; 2/5, 2, IF(PERCENTRANK(Table2[Pedestrain Access Score], L80) &lt; 3/5,3, IF(PERCENTRANK(Table2[Pedestrain Access Score], L80) &lt; 4/5, 4, 5))))</f>
        <v>2</v>
      </c>
      <c r="N80" t="str">
        <f>IF(PERCENTRANK(Table2[Pedestrain Access Score], L80) &lt; 1/5, "LOW", IF(PERCENTRANK(Table2[Pedestrain Access Score], L80) &lt; 2/5, "MEDIUM-LOW", IF(PERCENTRANK(Table2[Pedestrain Access Score], L80) &lt; 3/5, "MEDIUM", IF(PERCENTRANK(Table2[Pedestrain Access Score], L80) &lt; 4/5, "MEDIUM-HIGH", "HIGH"))))</f>
        <v>MEDIUM-LOW</v>
      </c>
    </row>
    <row r="81" spans="1:14" x14ac:dyDescent="0.25">
      <c r="A81" s="12" t="s">
        <v>231</v>
      </c>
      <c r="B81" s="60">
        <v>87</v>
      </c>
      <c r="C81">
        <v>443</v>
      </c>
      <c r="D81">
        <v>3.1413500000000001</v>
      </c>
      <c r="E81">
        <v>141.02199999999999</v>
      </c>
      <c r="F81" t="str">
        <f>IF(PERCENTRANK(Table2[Intersection Density (Mile Buffer)], E81) &lt; 1/5, "1", IF(PERCENTRANK(Table2[Intersection Density (Mile Buffer)], E81) &lt; 2/5, "2", IF(PERCENTRANK(Table2[Intersection Density (Mile Buffer)], E81) &lt; 3/5, "3", IF(PERCENTRANK(Table2[Intersection Density (Mile Buffer)], E81) &lt; 4/5, "4", "5"))))</f>
        <v>4</v>
      </c>
      <c r="G81">
        <v>143</v>
      </c>
      <c r="H81">
        <v>0.78527199999999997</v>
      </c>
      <c r="I81">
        <v>182.10300000000001</v>
      </c>
      <c r="J81" t="str">
        <f>IF(PERCENTRANK(Table2[Intersection Density (Half Mile Buffer)], I81) &lt; 1/5, "1", IF(PERCENTRANK(Table2[Intersection Density (Half Mile Buffer)], I81) &lt; 2/5, "2", IF(PERCENTRANK(Table2[Intersection Density (Half Mile Buffer)], I81) &lt; 3/5, "3", IF(PERCENTRANK(Table2[Intersection Density (Half Mile Buffer)], I81) &lt; 4/5, "4", "5"))))</f>
        <v>4</v>
      </c>
      <c r="K81" s="21">
        <v>8</v>
      </c>
      <c r="L81" s="67">
        <f>Table2[[#This Row],[Intersection Density Score Half Mile]]+K81</f>
        <v>12</v>
      </c>
      <c r="M81" s="67">
        <f>IF(PERCENTRANK(Table2[Pedestrain Access Score], L81) &lt; 1/5, 1, IF(PERCENTRANK(Table2[Pedestrain Access Score], L81) &lt; 2/5, 2, IF(PERCENTRANK(Table2[Pedestrain Access Score], L81) &lt; 3/5,3, IF(PERCENTRANK(Table2[Pedestrain Access Score], L81) &lt; 4/5, 4, 5))))</f>
        <v>5</v>
      </c>
      <c r="N81" t="str">
        <f>IF(PERCENTRANK(Table2[Pedestrain Access Score], L81) &lt; 1/5, "LOW", IF(PERCENTRANK(Table2[Pedestrain Access Score], L81) &lt; 2/5, "MEDIUM-LOW", IF(PERCENTRANK(Table2[Pedestrain Access Score], L81) &lt; 3/5, "MEDIUM", IF(PERCENTRANK(Table2[Pedestrain Access Score], L81) &lt; 4/5, "MEDIUM-HIGH", "HIGH"))))</f>
        <v>HIGH</v>
      </c>
    </row>
    <row r="82" spans="1:14" x14ac:dyDescent="0.25">
      <c r="A82" s="12" t="s">
        <v>234</v>
      </c>
      <c r="B82" s="60">
        <v>88</v>
      </c>
      <c r="C82">
        <v>281</v>
      </c>
      <c r="D82">
        <v>3.1413500000000001</v>
      </c>
      <c r="E82">
        <v>89.451999999999998</v>
      </c>
      <c r="F82" t="str">
        <f>IF(PERCENTRANK(Table2[Intersection Density (Mile Buffer)], E82) &lt; 1/5, "1", IF(PERCENTRANK(Table2[Intersection Density (Mile Buffer)], E82) &lt; 2/5, "2", IF(PERCENTRANK(Table2[Intersection Density (Mile Buffer)], E82) &lt; 3/5, "3", IF(PERCENTRANK(Table2[Intersection Density (Mile Buffer)], E82) &lt; 4/5, "4", "5"))))</f>
        <v>3</v>
      </c>
      <c r="G82">
        <v>79</v>
      </c>
      <c r="H82">
        <v>0.78527199999999997</v>
      </c>
      <c r="I82">
        <v>100.602</v>
      </c>
      <c r="J82" t="str">
        <f>IF(PERCENTRANK(Table2[Intersection Density (Half Mile Buffer)], I82) &lt; 1/5, "1", IF(PERCENTRANK(Table2[Intersection Density (Half Mile Buffer)], I82) &lt; 2/5, "2", IF(PERCENTRANK(Table2[Intersection Density (Half Mile Buffer)], I82) &lt; 3/5, "3", IF(PERCENTRANK(Table2[Intersection Density (Half Mile Buffer)], I82) &lt; 4/5, "4", "5"))))</f>
        <v>3</v>
      </c>
      <c r="K82" s="21">
        <v>4</v>
      </c>
      <c r="L82" s="67">
        <f>Table2[[#This Row],[Intersection Density Score Half Mile]]+K82</f>
        <v>7</v>
      </c>
      <c r="M82" s="67">
        <f>IF(PERCENTRANK(Table2[Pedestrain Access Score], L82) &lt; 1/5, 1, IF(PERCENTRANK(Table2[Pedestrain Access Score], L82) &lt; 2/5, 2, IF(PERCENTRANK(Table2[Pedestrain Access Score], L82) &lt; 3/5,3, IF(PERCENTRANK(Table2[Pedestrain Access Score], L82) &lt; 4/5, 4, 5))))</f>
        <v>3</v>
      </c>
      <c r="N82" t="str">
        <f>IF(PERCENTRANK(Table2[Pedestrain Access Score], L82) &lt; 1/5, "LOW", IF(PERCENTRANK(Table2[Pedestrain Access Score], L82) &lt; 2/5, "MEDIUM-LOW", IF(PERCENTRANK(Table2[Pedestrain Access Score], L82) &lt; 3/5, "MEDIUM", IF(PERCENTRANK(Table2[Pedestrain Access Score], L82) &lt; 4/5, "MEDIUM-HIGH", "HIGH"))))</f>
        <v>MEDIUM</v>
      </c>
    </row>
    <row r="83" spans="1:14" x14ac:dyDescent="0.25">
      <c r="A83" s="12" t="s">
        <v>236</v>
      </c>
      <c r="B83" s="60">
        <v>89</v>
      </c>
      <c r="C83">
        <v>413</v>
      </c>
      <c r="D83">
        <v>3.1413500000000001</v>
      </c>
      <c r="E83">
        <v>131.47200000000001</v>
      </c>
      <c r="F83" t="str">
        <f>IF(PERCENTRANK(Table2[Intersection Density (Mile Buffer)], E83) &lt; 1/5, "1", IF(PERCENTRANK(Table2[Intersection Density (Mile Buffer)], E83) &lt; 2/5, "2", IF(PERCENTRANK(Table2[Intersection Density (Mile Buffer)], E83) &lt; 3/5, "3", IF(PERCENTRANK(Table2[Intersection Density (Mile Buffer)], E83) &lt; 4/5, "4", "5"))))</f>
        <v>4</v>
      </c>
      <c r="G83">
        <v>141</v>
      </c>
      <c r="H83">
        <v>0.78527199999999997</v>
      </c>
      <c r="I83">
        <v>179.55600000000001</v>
      </c>
      <c r="J83" t="str">
        <f>IF(PERCENTRANK(Table2[Intersection Density (Half Mile Buffer)], I83) &lt; 1/5, "1", IF(PERCENTRANK(Table2[Intersection Density (Half Mile Buffer)], I83) &lt; 2/5, "2", IF(PERCENTRANK(Table2[Intersection Density (Half Mile Buffer)], I83) &lt; 3/5, "3", IF(PERCENTRANK(Table2[Intersection Density (Half Mile Buffer)], I83) &lt; 4/5, "4", "5"))))</f>
        <v>4</v>
      </c>
      <c r="K83" s="21">
        <v>4</v>
      </c>
      <c r="L83" s="67">
        <f>Table2[[#This Row],[Intersection Density Score Half Mile]]+K83</f>
        <v>8</v>
      </c>
      <c r="M83" s="67">
        <f>IF(PERCENTRANK(Table2[Pedestrain Access Score], L83) &lt; 1/5, 1, IF(PERCENTRANK(Table2[Pedestrain Access Score], L83) &lt; 2/5, 2, IF(PERCENTRANK(Table2[Pedestrain Access Score], L83) &lt; 3/5,3, IF(PERCENTRANK(Table2[Pedestrain Access Score], L83) &lt; 4/5, 4, 5))))</f>
        <v>3</v>
      </c>
      <c r="N83" t="str">
        <f>IF(PERCENTRANK(Table2[Pedestrain Access Score], L83) &lt; 1/5, "LOW", IF(PERCENTRANK(Table2[Pedestrain Access Score], L83) &lt; 2/5, "MEDIUM-LOW", IF(PERCENTRANK(Table2[Pedestrain Access Score], L83) &lt; 3/5, "MEDIUM", IF(PERCENTRANK(Table2[Pedestrain Access Score], L83) &lt; 4/5, "MEDIUM-HIGH", "HIGH"))))</f>
        <v>MEDIUM</v>
      </c>
    </row>
    <row r="84" spans="1:14" x14ac:dyDescent="0.25">
      <c r="A84" s="12" t="s">
        <v>238</v>
      </c>
      <c r="B84" s="60">
        <v>90</v>
      </c>
      <c r="C84">
        <v>358</v>
      </c>
      <c r="D84">
        <v>3.1413500000000001</v>
      </c>
      <c r="E84">
        <v>113.964</v>
      </c>
      <c r="F84" t="str">
        <f>IF(PERCENTRANK(Table2[Intersection Density (Mile Buffer)], E84) &lt; 1/5, "1", IF(PERCENTRANK(Table2[Intersection Density (Mile Buffer)], E84) &lt; 2/5, "2", IF(PERCENTRANK(Table2[Intersection Density (Mile Buffer)], E84) &lt; 3/5, "3", IF(PERCENTRANK(Table2[Intersection Density (Mile Buffer)], E84) &lt; 4/5, "4", "5"))))</f>
        <v>4</v>
      </c>
      <c r="G84">
        <v>128</v>
      </c>
      <c r="H84">
        <v>0.78527199999999997</v>
      </c>
      <c r="I84">
        <v>163.001</v>
      </c>
      <c r="J84" t="str">
        <f>IF(PERCENTRANK(Table2[Intersection Density (Half Mile Buffer)], I84) &lt; 1/5, "1", IF(PERCENTRANK(Table2[Intersection Density (Half Mile Buffer)], I84) &lt; 2/5, "2", IF(PERCENTRANK(Table2[Intersection Density (Half Mile Buffer)], I84) &lt; 3/5, "3", IF(PERCENTRANK(Table2[Intersection Density (Half Mile Buffer)], I84) &lt; 4/5, "4", "5"))))</f>
        <v>4</v>
      </c>
      <c r="K84" s="21">
        <v>11</v>
      </c>
      <c r="L84" s="67">
        <f>Table2[[#This Row],[Intersection Density Score Half Mile]]+K84</f>
        <v>15</v>
      </c>
      <c r="M84" s="67">
        <f>IF(PERCENTRANK(Table2[Pedestrain Access Score], L84) &lt; 1/5, 1, IF(PERCENTRANK(Table2[Pedestrain Access Score], L84) &lt; 2/5, 2, IF(PERCENTRANK(Table2[Pedestrain Access Score], L84) &lt; 3/5,3, IF(PERCENTRANK(Table2[Pedestrain Access Score], L84) &lt; 4/5, 4, 5))))</f>
        <v>5</v>
      </c>
      <c r="N84" t="str">
        <f>IF(PERCENTRANK(Table2[Pedestrain Access Score], L84) &lt; 1/5, "LOW", IF(PERCENTRANK(Table2[Pedestrain Access Score], L84) &lt; 2/5, "MEDIUM-LOW", IF(PERCENTRANK(Table2[Pedestrain Access Score], L84) &lt; 3/5, "MEDIUM", IF(PERCENTRANK(Table2[Pedestrain Access Score], L84) &lt; 4/5, "MEDIUM-HIGH", "HIGH"))))</f>
        <v>HIGH</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workbookViewId="0">
      <pane xSplit="2" ySplit="3" topLeftCell="D65" activePane="bottomRight" state="frozen"/>
      <selection pane="topRight" activeCell="C1" sqref="C1"/>
      <selection pane="bottomLeft" activeCell="A4" sqref="A4"/>
      <selection pane="bottomRight" activeCell="H4" sqref="H4:H86"/>
    </sheetView>
  </sheetViews>
  <sheetFormatPr defaultRowHeight="15" x14ac:dyDescent="0.25"/>
  <cols>
    <col min="1" max="1" width="30.140625" bestFit="1" customWidth="1"/>
    <col min="2" max="2" width="9.5703125" bestFit="1" customWidth="1"/>
    <col min="3" max="3" width="12.140625" customWidth="1"/>
    <col min="4" max="4" width="11.140625" customWidth="1"/>
    <col min="5" max="5" width="50.85546875" bestFit="1" customWidth="1"/>
    <col min="6" max="6" width="21" customWidth="1"/>
    <col min="7" max="7" width="43.7109375" hidden="1" customWidth="1"/>
    <col min="8" max="8" width="16" customWidth="1"/>
    <col min="9" max="9" width="10.7109375" customWidth="1"/>
    <col min="15" max="15" width="12.42578125" customWidth="1"/>
    <col min="16" max="16" width="27.7109375" customWidth="1"/>
  </cols>
  <sheetData>
    <row r="1" spans="1:16" ht="15.75" thickBot="1" x14ac:dyDescent="0.3">
      <c r="A1" s="1" t="s">
        <v>0</v>
      </c>
      <c r="B1" s="31"/>
    </row>
    <row r="2" spans="1:16" x14ac:dyDescent="0.25">
      <c r="A2" s="2" t="s">
        <v>5</v>
      </c>
      <c r="B2" s="32" t="s">
        <v>6</v>
      </c>
      <c r="C2" s="3"/>
      <c r="D2" s="3"/>
      <c r="E2" s="3" t="s">
        <v>7</v>
      </c>
      <c r="F2" s="3" t="s">
        <v>8</v>
      </c>
      <c r="G2" s="3"/>
      <c r="H2" s="72"/>
      <c r="I2" s="33" t="s">
        <v>398</v>
      </c>
      <c r="J2" s="33"/>
      <c r="K2" s="33"/>
      <c r="L2" s="33"/>
      <c r="M2" s="33"/>
      <c r="N2" s="33"/>
      <c r="O2" s="76"/>
      <c r="P2" s="3"/>
    </row>
    <row r="3" spans="1:16" s="56" customFormat="1" ht="90" x14ac:dyDescent="0.25">
      <c r="A3" s="50" t="s">
        <v>9</v>
      </c>
      <c r="B3" s="50" t="s">
        <v>10</v>
      </c>
      <c r="C3" s="54" t="s">
        <v>28</v>
      </c>
      <c r="D3" s="52" t="s">
        <v>12</v>
      </c>
      <c r="E3" s="54" t="s">
        <v>29</v>
      </c>
      <c r="F3" s="51" t="s">
        <v>30</v>
      </c>
      <c r="G3" s="54"/>
      <c r="H3" s="71" t="s">
        <v>414</v>
      </c>
      <c r="I3" s="71" t="s">
        <v>433</v>
      </c>
      <c r="J3" s="71" t="s">
        <v>412</v>
      </c>
      <c r="K3" s="71" t="s">
        <v>413</v>
      </c>
      <c r="L3" s="71" t="s">
        <v>419</v>
      </c>
      <c r="M3" s="71" t="s">
        <v>397</v>
      </c>
      <c r="N3" s="71" t="s">
        <v>410</v>
      </c>
      <c r="O3" s="75" t="s">
        <v>411</v>
      </c>
      <c r="P3" s="54" t="s">
        <v>29</v>
      </c>
    </row>
    <row r="4" spans="1:16" x14ac:dyDescent="0.25">
      <c r="A4" s="12" t="s">
        <v>110</v>
      </c>
      <c r="B4" s="4">
        <v>2</v>
      </c>
      <c r="C4" s="64">
        <v>1</v>
      </c>
      <c r="D4" s="64">
        <v>1</v>
      </c>
      <c r="E4" s="5" t="s">
        <v>146</v>
      </c>
      <c r="F4" s="30" t="s">
        <v>51</v>
      </c>
      <c r="G4" s="5" t="s">
        <v>269</v>
      </c>
      <c r="H4" s="34">
        <v>5</v>
      </c>
      <c r="I4" s="34">
        <v>217.8</v>
      </c>
      <c r="J4" s="34"/>
      <c r="K4" s="34"/>
      <c r="L4" s="34"/>
      <c r="M4" s="34"/>
      <c r="N4" s="34"/>
      <c r="O4" s="5"/>
      <c r="P4" s="5"/>
    </row>
    <row r="5" spans="1:16" x14ac:dyDescent="0.25">
      <c r="A5" s="12" t="s">
        <v>266</v>
      </c>
      <c r="B5" s="4">
        <v>3</v>
      </c>
      <c r="C5" s="64">
        <v>0</v>
      </c>
      <c r="D5" s="64">
        <v>0</v>
      </c>
      <c r="E5" s="5" t="s">
        <v>432</v>
      </c>
      <c r="F5" s="30" t="s">
        <v>51</v>
      </c>
      <c r="G5" s="5" t="s">
        <v>269</v>
      </c>
      <c r="H5" s="34">
        <v>5</v>
      </c>
      <c r="I5" s="34">
        <v>79.2</v>
      </c>
      <c r="J5" s="34"/>
      <c r="K5" s="34"/>
      <c r="L5" s="34"/>
      <c r="M5" s="34"/>
      <c r="N5" s="34"/>
      <c r="O5" s="5"/>
      <c r="P5" s="5"/>
    </row>
    <row r="6" spans="1:16" x14ac:dyDescent="0.25">
      <c r="A6" s="4" t="s">
        <v>32</v>
      </c>
      <c r="B6" s="4">
        <v>4</v>
      </c>
      <c r="C6" s="64">
        <v>1</v>
      </c>
      <c r="D6" s="64">
        <v>1</v>
      </c>
      <c r="E6" s="5" t="s">
        <v>38</v>
      </c>
      <c r="F6" s="30" t="s">
        <v>39</v>
      </c>
      <c r="G6" s="5" t="s">
        <v>405</v>
      </c>
      <c r="H6" s="34">
        <v>4</v>
      </c>
      <c r="I6" s="74"/>
      <c r="J6" s="74"/>
      <c r="K6" s="74"/>
      <c r="L6" s="74"/>
      <c r="M6" s="74"/>
      <c r="N6" s="74">
        <v>1</v>
      </c>
      <c r="O6" s="5"/>
      <c r="P6" s="5"/>
    </row>
    <row r="7" spans="1:16" x14ac:dyDescent="0.25">
      <c r="A7" s="4" t="s">
        <v>41</v>
      </c>
      <c r="B7" s="4">
        <v>5</v>
      </c>
      <c r="C7" s="64">
        <v>0</v>
      </c>
      <c r="D7" s="64">
        <v>0</v>
      </c>
      <c r="E7" s="5" t="s">
        <v>43</v>
      </c>
      <c r="F7" s="30" t="s">
        <v>39</v>
      </c>
      <c r="G7" s="5" t="s">
        <v>405</v>
      </c>
      <c r="H7" s="34">
        <v>1</v>
      </c>
      <c r="I7" s="34">
        <v>5.5</v>
      </c>
      <c r="J7" s="34"/>
      <c r="K7" s="74"/>
      <c r="L7" s="74"/>
      <c r="M7" s="34"/>
      <c r="N7" s="34">
        <v>0</v>
      </c>
      <c r="O7" s="5"/>
      <c r="P7" s="5"/>
    </row>
    <row r="8" spans="1:16" x14ac:dyDescent="0.25">
      <c r="A8" s="4" t="s">
        <v>44</v>
      </c>
      <c r="B8" s="4">
        <v>6</v>
      </c>
      <c r="C8" s="64">
        <v>1</v>
      </c>
      <c r="D8" s="64">
        <v>0</v>
      </c>
      <c r="E8" s="5" t="s">
        <v>43</v>
      </c>
      <c r="F8" s="30" t="s">
        <v>39</v>
      </c>
      <c r="G8" s="5" t="s">
        <v>405</v>
      </c>
      <c r="H8" s="34">
        <v>1</v>
      </c>
      <c r="I8" s="34">
        <v>5.5</v>
      </c>
      <c r="J8" s="34"/>
      <c r="K8" s="74"/>
      <c r="L8" s="74"/>
      <c r="M8" s="34"/>
      <c r="N8" s="74">
        <v>1</v>
      </c>
      <c r="O8" s="5"/>
      <c r="P8" s="5"/>
    </row>
    <row r="9" spans="1:16" x14ac:dyDescent="0.25">
      <c r="A9" s="4" t="s">
        <v>46</v>
      </c>
      <c r="B9" s="4">
        <v>7</v>
      </c>
      <c r="C9" s="64">
        <v>0</v>
      </c>
      <c r="D9" s="64">
        <v>1</v>
      </c>
      <c r="E9" s="5" t="s">
        <v>50</v>
      </c>
      <c r="F9" s="30" t="s">
        <v>51</v>
      </c>
      <c r="G9" s="5" t="s">
        <v>269</v>
      </c>
      <c r="H9" s="34">
        <v>5</v>
      </c>
      <c r="I9" s="34">
        <v>17.399999999999999</v>
      </c>
      <c r="J9" s="34"/>
      <c r="K9" s="34"/>
      <c r="L9" s="34"/>
      <c r="M9" s="34"/>
      <c r="N9" s="74">
        <v>1</v>
      </c>
      <c r="O9" s="5">
        <v>1</v>
      </c>
      <c r="P9" s="5"/>
    </row>
    <row r="10" spans="1:16" x14ac:dyDescent="0.25">
      <c r="A10" s="4" t="s">
        <v>53</v>
      </c>
      <c r="B10" s="4">
        <v>8</v>
      </c>
      <c r="C10" s="64">
        <v>1</v>
      </c>
      <c r="D10" s="64">
        <v>0</v>
      </c>
      <c r="E10" s="5" t="s">
        <v>54</v>
      </c>
      <c r="F10" s="30" t="s">
        <v>51</v>
      </c>
      <c r="G10" s="5" t="s">
        <v>269</v>
      </c>
      <c r="H10" s="34">
        <v>5</v>
      </c>
      <c r="I10" s="34">
        <v>217.8</v>
      </c>
      <c r="J10" s="34"/>
      <c r="K10" s="34"/>
      <c r="L10" s="34"/>
      <c r="M10" s="34"/>
      <c r="N10" s="34"/>
      <c r="O10" s="5"/>
      <c r="P10" s="5"/>
    </row>
    <row r="11" spans="1:16" x14ac:dyDescent="0.25">
      <c r="A11" s="4" t="s">
        <v>351</v>
      </c>
      <c r="B11" s="4">
        <v>9</v>
      </c>
      <c r="C11" s="64">
        <v>0</v>
      </c>
      <c r="D11" s="64">
        <v>0</v>
      </c>
      <c r="E11" s="5" t="s">
        <v>54</v>
      </c>
      <c r="F11" s="30" t="s">
        <v>51</v>
      </c>
      <c r="G11" s="5" t="s">
        <v>269</v>
      </c>
      <c r="H11" s="34">
        <v>5</v>
      </c>
      <c r="I11" s="34">
        <v>217.8</v>
      </c>
      <c r="J11" s="34"/>
      <c r="K11" s="34"/>
      <c r="L11" s="34"/>
      <c r="M11" s="34"/>
      <c r="N11" s="34"/>
      <c r="O11" s="5"/>
      <c r="P11" s="5"/>
    </row>
    <row r="12" spans="1:16" x14ac:dyDescent="0.25">
      <c r="A12" s="4" t="s">
        <v>56</v>
      </c>
      <c r="B12" s="4">
        <v>10</v>
      </c>
      <c r="C12" s="64">
        <v>1</v>
      </c>
      <c r="D12" s="64">
        <v>0</v>
      </c>
      <c r="E12" s="5" t="s">
        <v>58</v>
      </c>
      <c r="F12" s="30" t="s">
        <v>51</v>
      </c>
      <c r="G12" s="5" t="s">
        <v>269</v>
      </c>
      <c r="H12" s="34">
        <v>5</v>
      </c>
      <c r="I12" s="34">
        <v>79.2</v>
      </c>
      <c r="J12" s="34"/>
      <c r="K12" s="34"/>
      <c r="L12" s="34"/>
      <c r="M12" s="34"/>
      <c r="N12" s="34"/>
      <c r="O12" s="5"/>
      <c r="P12" s="5"/>
    </row>
    <row r="13" spans="1:16" x14ac:dyDescent="0.25">
      <c r="A13" s="4" t="s">
        <v>59</v>
      </c>
      <c r="B13" s="4">
        <v>11</v>
      </c>
      <c r="C13" s="64">
        <v>0</v>
      </c>
      <c r="D13" s="64">
        <v>0</v>
      </c>
      <c r="E13" s="5" t="s">
        <v>60</v>
      </c>
      <c r="F13" s="30" t="s">
        <v>51</v>
      </c>
      <c r="G13" s="5" t="s">
        <v>269</v>
      </c>
      <c r="H13" s="34">
        <v>5</v>
      </c>
      <c r="I13" s="34">
        <v>79.2</v>
      </c>
      <c r="J13" s="34"/>
      <c r="K13" s="34"/>
      <c r="L13" s="34"/>
      <c r="M13" s="34"/>
      <c r="N13" s="34"/>
      <c r="O13" s="5"/>
      <c r="P13" s="5"/>
    </row>
    <row r="14" spans="1:16" x14ac:dyDescent="0.25">
      <c r="A14" s="4" t="s">
        <v>61</v>
      </c>
      <c r="B14" s="4">
        <v>12</v>
      </c>
      <c r="C14" s="64">
        <v>1</v>
      </c>
      <c r="D14" s="64">
        <v>0</v>
      </c>
      <c r="E14" s="5" t="s">
        <v>62</v>
      </c>
      <c r="F14" s="30" t="s">
        <v>51</v>
      </c>
      <c r="G14" s="5" t="s">
        <v>269</v>
      </c>
      <c r="H14" s="34">
        <v>5</v>
      </c>
      <c r="I14" s="34">
        <v>58</v>
      </c>
      <c r="J14" s="34"/>
      <c r="K14" s="34"/>
      <c r="L14" s="34"/>
      <c r="M14" s="34"/>
      <c r="N14" s="34"/>
      <c r="O14" s="5"/>
      <c r="P14" s="5"/>
    </row>
    <row r="15" spans="1:16" x14ac:dyDescent="0.25">
      <c r="A15" s="4" t="s">
        <v>63</v>
      </c>
      <c r="B15" s="4">
        <v>13</v>
      </c>
      <c r="C15" s="64">
        <v>0</v>
      </c>
      <c r="D15" s="64">
        <v>1</v>
      </c>
      <c r="E15" s="5" t="s">
        <v>66</v>
      </c>
      <c r="F15" s="30" t="s">
        <v>51</v>
      </c>
      <c r="G15" s="5" t="s">
        <v>269</v>
      </c>
      <c r="H15" s="34">
        <v>5</v>
      </c>
      <c r="I15" s="34">
        <v>217.8</v>
      </c>
      <c r="J15" s="34"/>
      <c r="K15" s="34"/>
      <c r="L15" s="34"/>
      <c r="M15" s="34"/>
      <c r="N15" s="74">
        <v>1</v>
      </c>
      <c r="O15" s="5"/>
      <c r="P15" s="5"/>
    </row>
    <row r="16" spans="1:16" x14ac:dyDescent="0.25">
      <c r="A16" s="4" t="s">
        <v>68</v>
      </c>
      <c r="B16" s="4">
        <v>14</v>
      </c>
      <c r="C16" s="64">
        <v>1</v>
      </c>
      <c r="D16" s="64">
        <v>0</v>
      </c>
      <c r="E16" s="5" t="s">
        <v>69</v>
      </c>
      <c r="F16" s="30" t="s">
        <v>51</v>
      </c>
      <c r="G16" s="5" t="s">
        <v>269</v>
      </c>
      <c r="H16" s="34">
        <v>5</v>
      </c>
      <c r="I16" s="34">
        <v>217.8</v>
      </c>
      <c r="J16" s="34"/>
      <c r="K16" s="34"/>
      <c r="L16" s="34"/>
      <c r="M16" s="34"/>
      <c r="N16" s="34"/>
      <c r="O16" s="5"/>
      <c r="P16" s="5"/>
    </row>
    <row r="17" spans="1:16" x14ac:dyDescent="0.25">
      <c r="A17" s="4" t="s">
        <v>70</v>
      </c>
      <c r="B17" s="4">
        <v>15</v>
      </c>
      <c r="C17" s="64">
        <v>0</v>
      </c>
      <c r="D17" s="64">
        <v>0</v>
      </c>
      <c r="E17" s="5" t="s">
        <v>69</v>
      </c>
      <c r="F17" s="30" t="s">
        <v>51</v>
      </c>
      <c r="G17" s="5" t="s">
        <v>269</v>
      </c>
      <c r="H17" s="34">
        <v>5</v>
      </c>
      <c r="I17" s="34">
        <v>217.8</v>
      </c>
      <c r="J17" s="34"/>
      <c r="K17" s="34"/>
      <c r="L17" s="34"/>
      <c r="M17" s="34"/>
      <c r="N17" s="34"/>
      <c r="O17" s="5"/>
      <c r="P17" s="5"/>
    </row>
    <row r="18" spans="1:16" x14ac:dyDescent="0.25">
      <c r="A18" s="4" t="s">
        <v>71</v>
      </c>
      <c r="B18" s="4">
        <v>16</v>
      </c>
      <c r="C18" s="64">
        <v>1</v>
      </c>
      <c r="D18" s="64">
        <v>0</v>
      </c>
      <c r="E18" s="5" t="s">
        <v>69</v>
      </c>
      <c r="F18" s="30" t="s">
        <v>51</v>
      </c>
      <c r="G18" s="5" t="s">
        <v>269</v>
      </c>
      <c r="H18" s="34">
        <v>5</v>
      </c>
      <c r="I18" s="34">
        <v>217.8</v>
      </c>
      <c r="J18" s="34"/>
      <c r="K18" s="34"/>
      <c r="L18" s="34"/>
      <c r="M18" s="34"/>
      <c r="N18" s="34"/>
      <c r="O18" s="5"/>
      <c r="P18" s="5"/>
    </row>
    <row r="19" spans="1:16" x14ac:dyDescent="0.25">
      <c r="A19" s="4" t="s">
        <v>348</v>
      </c>
      <c r="B19" s="4">
        <v>17</v>
      </c>
      <c r="C19" s="64">
        <v>0</v>
      </c>
      <c r="D19" s="64">
        <v>0</v>
      </c>
      <c r="E19" s="5" t="s">
        <v>73</v>
      </c>
      <c r="F19" s="30" t="s">
        <v>51</v>
      </c>
      <c r="G19" s="5" t="s">
        <v>269</v>
      </c>
      <c r="H19" s="34">
        <v>5</v>
      </c>
      <c r="I19" s="34">
        <v>217.8</v>
      </c>
      <c r="J19" s="34"/>
      <c r="K19" s="34"/>
      <c r="L19" s="34"/>
      <c r="M19" s="34"/>
      <c r="N19" s="34"/>
      <c r="O19" s="5"/>
      <c r="P19" s="5"/>
    </row>
    <row r="20" spans="1:16" x14ac:dyDescent="0.25">
      <c r="A20" s="12" t="s">
        <v>74</v>
      </c>
      <c r="B20" s="4">
        <v>18</v>
      </c>
      <c r="C20" s="64">
        <v>1</v>
      </c>
      <c r="D20" s="64">
        <v>0</v>
      </c>
      <c r="E20" s="5" t="s">
        <v>78</v>
      </c>
      <c r="F20" s="30" t="s">
        <v>79</v>
      </c>
      <c r="G20" s="5" t="s">
        <v>403</v>
      </c>
      <c r="H20" s="34">
        <v>1</v>
      </c>
      <c r="I20" s="34">
        <v>1</v>
      </c>
      <c r="J20" s="34"/>
      <c r="K20" s="34">
        <v>45</v>
      </c>
      <c r="L20" s="34"/>
      <c r="M20" s="34"/>
      <c r="N20" s="34">
        <v>0</v>
      </c>
      <c r="O20" s="5"/>
      <c r="P20" s="5"/>
    </row>
    <row r="21" spans="1:16" x14ac:dyDescent="0.25">
      <c r="A21" s="12" t="s">
        <v>346</v>
      </c>
      <c r="B21" s="4">
        <v>19</v>
      </c>
      <c r="C21" s="64">
        <v>0</v>
      </c>
      <c r="D21" s="64">
        <v>0</v>
      </c>
      <c r="E21" s="5" t="s">
        <v>82</v>
      </c>
      <c r="F21" s="30" t="s">
        <v>79</v>
      </c>
      <c r="G21" s="5" t="s">
        <v>399</v>
      </c>
      <c r="H21" s="34">
        <v>2</v>
      </c>
      <c r="I21" s="34">
        <v>1</v>
      </c>
      <c r="J21" s="34"/>
      <c r="K21" s="34">
        <v>90</v>
      </c>
      <c r="L21" s="34"/>
      <c r="M21" s="34"/>
      <c r="N21" s="34">
        <v>0</v>
      </c>
      <c r="O21" s="5"/>
      <c r="P21" s="5"/>
    </row>
    <row r="22" spans="1:16" x14ac:dyDescent="0.25">
      <c r="A22" s="12" t="s">
        <v>347</v>
      </c>
      <c r="B22" s="4">
        <v>20</v>
      </c>
      <c r="C22" s="64">
        <v>1</v>
      </c>
      <c r="D22" s="64">
        <v>0</v>
      </c>
      <c r="E22" s="5" t="s">
        <v>82</v>
      </c>
      <c r="F22" s="30" t="s">
        <v>79</v>
      </c>
      <c r="G22" s="5" t="s">
        <v>399</v>
      </c>
      <c r="H22" s="34">
        <v>2</v>
      </c>
      <c r="I22" s="34">
        <v>1</v>
      </c>
      <c r="J22" s="34"/>
      <c r="K22" s="34">
        <v>90</v>
      </c>
      <c r="L22" s="34"/>
      <c r="M22" s="34"/>
      <c r="N22" s="34">
        <v>0</v>
      </c>
      <c r="O22" s="5"/>
      <c r="P22" s="5"/>
    </row>
    <row r="23" spans="1:16" x14ac:dyDescent="0.25">
      <c r="A23" s="12" t="s">
        <v>84</v>
      </c>
      <c r="B23" s="4">
        <v>21</v>
      </c>
      <c r="C23" s="64">
        <v>0</v>
      </c>
      <c r="D23" s="64">
        <v>0</v>
      </c>
      <c r="E23" s="5" t="s">
        <v>85</v>
      </c>
      <c r="F23" s="30" t="s">
        <v>79</v>
      </c>
      <c r="G23" s="5" t="s">
        <v>400</v>
      </c>
      <c r="H23" s="34">
        <v>1</v>
      </c>
      <c r="I23" s="34">
        <v>5</v>
      </c>
      <c r="J23" s="34"/>
      <c r="K23" s="34">
        <v>35</v>
      </c>
      <c r="L23" s="34"/>
      <c r="M23" s="34"/>
      <c r="N23" s="34">
        <v>0</v>
      </c>
      <c r="O23" s="5"/>
      <c r="P23" s="5"/>
    </row>
    <row r="24" spans="1:16" x14ac:dyDescent="0.25">
      <c r="A24" s="12" t="s">
        <v>86</v>
      </c>
      <c r="B24" s="4">
        <v>22</v>
      </c>
      <c r="C24" s="64">
        <v>1</v>
      </c>
      <c r="D24" s="64">
        <v>0</v>
      </c>
      <c r="E24" s="5" t="s">
        <v>87</v>
      </c>
      <c r="F24" s="30" t="s">
        <v>79</v>
      </c>
      <c r="G24" s="5" t="s">
        <v>401</v>
      </c>
      <c r="H24" s="34">
        <v>3</v>
      </c>
      <c r="I24" s="34">
        <v>5</v>
      </c>
      <c r="J24" s="34"/>
      <c r="K24" s="34">
        <v>45</v>
      </c>
      <c r="L24" s="34"/>
      <c r="M24" s="34"/>
      <c r="N24" s="34">
        <v>0</v>
      </c>
      <c r="O24" s="5"/>
      <c r="P24" s="5"/>
    </row>
    <row r="25" spans="1:16" x14ac:dyDescent="0.25">
      <c r="A25" s="12" t="s">
        <v>88</v>
      </c>
      <c r="B25" s="4">
        <v>23</v>
      </c>
      <c r="C25" s="64">
        <v>0</v>
      </c>
      <c r="D25" s="64">
        <v>0</v>
      </c>
      <c r="E25" s="5" t="s">
        <v>85</v>
      </c>
      <c r="F25" s="30" t="s">
        <v>79</v>
      </c>
      <c r="G25" s="5" t="s">
        <v>400</v>
      </c>
      <c r="H25" s="34">
        <v>1</v>
      </c>
      <c r="I25" s="34">
        <v>5</v>
      </c>
      <c r="J25" s="34"/>
      <c r="K25" s="34">
        <v>35</v>
      </c>
      <c r="L25" s="34"/>
      <c r="M25" s="34"/>
      <c r="N25" s="34">
        <v>0</v>
      </c>
      <c r="O25" s="5"/>
      <c r="P25" s="5"/>
    </row>
    <row r="26" spans="1:16" x14ac:dyDescent="0.25">
      <c r="A26" s="12" t="s">
        <v>89</v>
      </c>
      <c r="B26" s="4">
        <v>24</v>
      </c>
      <c r="C26" s="64">
        <v>1</v>
      </c>
      <c r="D26" s="64">
        <v>0</v>
      </c>
      <c r="E26" s="5" t="s">
        <v>90</v>
      </c>
      <c r="F26" s="30" t="s">
        <v>79</v>
      </c>
      <c r="G26" s="5" t="s">
        <v>402</v>
      </c>
      <c r="H26" s="35">
        <v>1</v>
      </c>
      <c r="I26" s="35">
        <v>5</v>
      </c>
      <c r="J26" s="35"/>
      <c r="K26" s="35">
        <v>35</v>
      </c>
      <c r="L26" s="35"/>
      <c r="M26" s="35"/>
      <c r="N26" s="35">
        <v>0</v>
      </c>
      <c r="O26" s="5">
        <v>1</v>
      </c>
      <c r="P26" s="5"/>
    </row>
    <row r="27" spans="1:16" x14ac:dyDescent="0.25">
      <c r="A27" s="12" t="s">
        <v>91</v>
      </c>
      <c r="B27" s="4">
        <v>25</v>
      </c>
      <c r="C27" s="64">
        <v>0</v>
      </c>
      <c r="D27" s="64">
        <v>0</v>
      </c>
      <c r="E27" s="5" t="s">
        <v>92</v>
      </c>
      <c r="F27" s="30" t="s">
        <v>39</v>
      </c>
      <c r="G27" s="5" t="s">
        <v>405</v>
      </c>
      <c r="H27" s="34">
        <v>1</v>
      </c>
      <c r="I27" s="34">
        <v>5.5</v>
      </c>
      <c r="J27" s="34"/>
      <c r="K27" s="74"/>
      <c r="L27" s="74"/>
      <c r="M27" s="34"/>
      <c r="N27" s="34">
        <v>0</v>
      </c>
      <c r="O27" s="5"/>
      <c r="P27" s="5"/>
    </row>
    <row r="28" spans="1:16" x14ac:dyDescent="0.25">
      <c r="A28" s="12" t="s">
        <v>93</v>
      </c>
      <c r="B28" s="4">
        <v>26</v>
      </c>
      <c r="C28" s="64">
        <v>1</v>
      </c>
      <c r="D28" s="64">
        <v>0</v>
      </c>
      <c r="E28" s="5" t="s">
        <v>92</v>
      </c>
      <c r="F28" s="30" t="s">
        <v>39</v>
      </c>
      <c r="G28" s="5" t="s">
        <v>405</v>
      </c>
      <c r="H28" s="34">
        <v>1</v>
      </c>
      <c r="I28" s="34">
        <v>5.5</v>
      </c>
      <c r="J28" s="34"/>
      <c r="K28" s="74"/>
      <c r="L28" s="74"/>
      <c r="M28" s="34"/>
      <c r="N28" s="34">
        <v>0</v>
      </c>
      <c r="O28" s="5"/>
      <c r="P28" s="5"/>
    </row>
    <row r="29" spans="1:16" x14ac:dyDescent="0.25">
      <c r="A29" s="12" t="s">
        <v>94</v>
      </c>
      <c r="B29" s="4">
        <v>27</v>
      </c>
      <c r="C29" s="64">
        <v>0</v>
      </c>
      <c r="D29" s="64">
        <v>0</v>
      </c>
      <c r="E29" s="5" t="s">
        <v>95</v>
      </c>
      <c r="F29" s="30" t="s">
        <v>51</v>
      </c>
      <c r="G29" s="5" t="s">
        <v>269</v>
      </c>
      <c r="H29" s="34">
        <v>5</v>
      </c>
      <c r="I29" s="34">
        <v>29</v>
      </c>
      <c r="J29" s="34"/>
      <c r="K29" s="34"/>
      <c r="L29" s="34"/>
      <c r="M29" s="34"/>
      <c r="N29" s="34"/>
      <c r="O29" s="5"/>
      <c r="P29" s="5"/>
    </row>
    <row r="30" spans="1:16" x14ac:dyDescent="0.25">
      <c r="A30" s="12" t="s">
        <v>96</v>
      </c>
      <c r="B30" s="4">
        <v>28</v>
      </c>
      <c r="C30" s="64">
        <v>1</v>
      </c>
      <c r="D30" s="64">
        <v>1</v>
      </c>
      <c r="E30" s="5" t="s">
        <v>95</v>
      </c>
      <c r="F30" s="30" t="s">
        <v>51</v>
      </c>
      <c r="G30" s="5" t="s">
        <v>269</v>
      </c>
      <c r="H30" s="34">
        <v>5</v>
      </c>
      <c r="I30" s="34">
        <v>39.6</v>
      </c>
      <c r="J30" s="34"/>
      <c r="K30" s="34"/>
      <c r="L30" s="34"/>
      <c r="M30" s="34"/>
      <c r="N30" s="74">
        <v>1</v>
      </c>
      <c r="O30" s="5"/>
      <c r="P30" s="5"/>
    </row>
    <row r="31" spans="1:16" x14ac:dyDescent="0.25">
      <c r="A31" s="12" t="s">
        <v>98</v>
      </c>
      <c r="B31" s="4">
        <v>29</v>
      </c>
      <c r="C31" s="64">
        <v>0</v>
      </c>
      <c r="D31" s="64">
        <v>0</v>
      </c>
      <c r="E31" s="5" t="s">
        <v>99</v>
      </c>
      <c r="F31" s="30" t="s">
        <v>51</v>
      </c>
      <c r="G31" s="5" t="s">
        <v>269</v>
      </c>
      <c r="H31" s="34">
        <v>5</v>
      </c>
      <c r="I31" s="34">
        <v>79.2</v>
      </c>
      <c r="J31" s="34"/>
      <c r="K31" s="34"/>
      <c r="L31" s="34"/>
      <c r="M31" s="34"/>
      <c r="N31" s="34"/>
      <c r="O31" s="5">
        <v>1</v>
      </c>
      <c r="P31" s="5"/>
    </row>
    <row r="32" spans="1:16" x14ac:dyDescent="0.25">
      <c r="A32" s="12" t="s">
        <v>350</v>
      </c>
      <c r="B32" s="4">
        <v>30</v>
      </c>
      <c r="C32" s="64">
        <v>0</v>
      </c>
      <c r="D32" s="64">
        <v>0</v>
      </c>
      <c r="E32" s="5" t="s">
        <v>69</v>
      </c>
      <c r="F32" s="30" t="s">
        <v>51</v>
      </c>
      <c r="G32" s="5" t="s">
        <v>269</v>
      </c>
      <c r="H32" s="34">
        <v>5</v>
      </c>
      <c r="I32" s="34">
        <v>79.2</v>
      </c>
      <c r="J32" s="34"/>
      <c r="K32" s="34"/>
      <c r="L32" s="34"/>
      <c r="M32" s="34"/>
      <c r="N32" s="34"/>
      <c r="O32" s="5"/>
      <c r="P32" s="5"/>
    </row>
    <row r="33" spans="1:16" x14ac:dyDescent="0.25">
      <c r="A33" s="12" t="s">
        <v>267</v>
      </c>
      <c r="B33" s="4">
        <v>31</v>
      </c>
      <c r="C33" s="64">
        <v>1</v>
      </c>
      <c r="D33" s="64">
        <v>0</v>
      </c>
      <c r="E33" s="5" t="s">
        <v>69</v>
      </c>
      <c r="F33" s="30" t="s">
        <v>51</v>
      </c>
      <c r="G33" s="5" t="s">
        <v>269</v>
      </c>
      <c r="H33" s="34">
        <v>5</v>
      </c>
      <c r="I33" s="34">
        <v>79.2</v>
      </c>
      <c r="J33" s="34"/>
      <c r="K33" s="34"/>
      <c r="L33" s="34"/>
      <c r="M33" s="34"/>
      <c r="N33" s="34"/>
      <c r="O33" s="5"/>
      <c r="P33" s="5"/>
    </row>
    <row r="34" spans="1:16" x14ac:dyDescent="0.25">
      <c r="A34" s="12" t="s">
        <v>104</v>
      </c>
      <c r="B34" s="4">
        <v>32</v>
      </c>
      <c r="C34" s="64">
        <v>0</v>
      </c>
      <c r="D34" s="64">
        <v>0</v>
      </c>
      <c r="E34" s="5" t="s">
        <v>69</v>
      </c>
      <c r="F34" s="30" t="s">
        <v>51</v>
      </c>
      <c r="G34" s="5" t="s">
        <v>269</v>
      </c>
      <c r="H34" s="34">
        <v>5</v>
      </c>
      <c r="I34" s="34">
        <v>217.8</v>
      </c>
      <c r="J34" s="34"/>
      <c r="K34" s="34"/>
      <c r="L34" s="34"/>
      <c r="M34" s="34"/>
      <c r="N34" s="34"/>
      <c r="O34" s="5"/>
      <c r="P34" s="5"/>
    </row>
    <row r="35" spans="1:16" x14ac:dyDescent="0.25">
      <c r="A35" s="12" t="s">
        <v>105</v>
      </c>
      <c r="B35" s="4">
        <v>33</v>
      </c>
      <c r="C35" s="64">
        <v>1</v>
      </c>
      <c r="D35" s="64">
        <v>0</v>
      </c>
      <c r="E35" s="5" t="s">
        <v>106</v>
      </c>
      <c r="F35" s="30" t="s">
        <v>51</v>
      </c>
      <c r="G35" s="5" t="s">
        <v>269</v>
      </c>
      <c r="H35" s="34">
        <v>5</v>
      </c>
      <c r="I35" s="34">
        <v>217.8</v>
      </c>
      <c r="J35" s="34"/>
      <c r="K35" s="34"/>
      <c r="L35" s="34"/>
      <c r="M35" s="34"/>
      <c r="N35" s="34"/>
      <c r="O35" s="5"/>
      <c r="P35" s="5"/>
    </row>
    <row r="36" spans="1:16" x14ac:dyDescent="0.25">
      <c r="A36" s="12" t="s">
        <v>107</v>
      </c>
      <c r="B36" s="4">
        <v>34</v>
      </c>
      <c r="C36" s="64">
        <v>0</v>
      </c>
      <c r="D36" s="64">
        <v>1</v>
      </c>
      <c r="E36" s="5" t="s">
        <v>108</v>
      </c>
      <c r="F36" s="30" t="s">
        <v>51</v>
      </c>
      <c r="G36" s="5" t="s">
        <v>269</v>
      </c>
      <c r="H36" s="34">
        <v>5</v>
      </c>
      <c r="I36" s="34">
        <v>217.8</v>
      </c>
      <c r="J36" s="34"/>
      <c r="K36" s="34"/>
      <c r="L36" s="34"/>
      <c r="M36" s="34"/>
      <c r="N36" s="74">
        <v>1</v>
      </c>
      <c r="O36" s="5"/>
      <c r="P36" s="5"/>
    </row>
    <row r="37" spans="1:16" x14ac:dyDescent="0.25">
      <c r="A37" s="12" t="s">
        <v>268</v>
      </c>
      <c r="B37" s="4">
        <v>35</v>
      </c>
      <c r="C37" s="64">
        <v>1</v>
      </c>
      <c r="D37" s="64">
        <v>0</v>
      </c>
      <c r="E37" s="5" t="s">
        <v>95</v>
      </c>
      <c r="F37" s="30" t="s">
        <v>51</v>
      </c>
      <c r="G37" s="5" t="s">
        <v>269</v>
      </c>
      <c r="H37" s="34">
        <v>5</v>
      </c>
      <c r="I37" s="34">
        <v>58</v>
      </c>
      <c r="J37" s="34"/>
      <c r="K37" s="34"/>
      <c r="L37" s="34"/>
      <c r="M37" s="34"/>
      <c r="N37" s="34"/>
      <c r="O37" s="5"/>
      <c r="P37" s="5"/>
    </row>
    <row r="38" spans="1:16" x14ac:dyDescent="0.25">
      <c r="A38" s="12" t="s">
        <v>111</v>
      </c>
      <c r="B38" s="4">
        <v>36</v>
      </c>
      <c r="C38" s="64">
        <v>1</v>
      </c>
      <c r="D38" s="64">
        <v>0</v>
      </c>
      <c r="E38" s="5" t="s">
        <v>112</v>
      </c>
      <c r="F38" s="30" t="s">
        <v>51</v>
      </c>
      <c r="G38" s="5" t="s">
        <v>269</v>
      </c>
      <c r="H38" s="34">
        <v>5</v>
      </c>
      <c r="I38" s="34">
        <v>79.2</v>
      </c>
      <c r="J38" s="34"/>
      <c r="K38" s="34"/>
      <c r="L38" s="34"/>
      <c r="M38" s="34"/>
      <c r="N38" s="34"/>
      <c r="O38" s="5"/>
      <c r="P38" s="5"/>
    </row>
    <row r="39" spans="1:16" x14ac:dyDescent="0.25">
      <c r="A39" s="12" t="s">
        <v>113</v>
      </c>
      <c r="B39" s="4">
        <v>37</v>
      </c>
      <c r="C39" s="64">
        <v>0</v>
      </c>
      <c r="D39" s="64">
        <v>0</v>
      </c>
      <c r="E39" s="5" t="s">
        <v>112</v>
      </c>
      <c r="F39" s="30" t="s">
        <v>51</v>
      </c>
      <c r="G39" s="5" t="s">
        <v>269</v>
      </c>
      <c r="H39" s="34">
        <v>5</v>
      </c>
      <c r="I39" s="34">
        <v>39.6</v>
      </c>
      <c r="J39" s="34"/>
      <c r="K39" s="34"/>
      <c r="L39" s="34"/>
      <c r="M39" s="34"/>
      <c r="N39" s="34"/>
      <c r="O39" s="5"/>
      <c r="P39" s="5"/>
    </row>
    <row r="40" spans="1:16" x14ac:dyDescent="0.25">
      <c r="A40" s="12" t="s">
        <v>114</v>
      </c>
      <c r="B40" s="4">
        <v>38</v>
      </c>
      <c r="C40" s="64">
        <v>1</v>
      </c>
      <c r="D40" s="64">
        <v>0</v>
      </c>
      <c r="E40" s="5" t="s">
        <v>54</v>
      </c>
      <c r="F40" s="30" t="s">
        <v>51</v>
      </c>
      <c r="G40" s="5" t="s">
        <v>269</v>
      </c>
      <c r="H40" s="34">
        <v>5</v>
      </c>
      <c r="I40" s="34">
        <v>39.6</v>
      </c>
      <c r="J40" s="34"/>
      <c r="K40" s="34"/>
      <c r="L40" s="34"/>
      <c r="M40" s="34"/>
      <c r="N40" s="34"/>
      <c r="O40" s="5"/>
      <c r="P40" s="5"/>
    </row>
    <row r="41" spans="1:16" x14ac:dyDescent="0.25">
      <c r="A41" s="12" t="s">
        <v>115</v>
      </c>
      <c r="B41" s="4">
        <v>39</v>
      </c>
      <c r="C41" s="64">
        <v>0</v>
      </c>
      <c r="D41" s="64">
        <v>0</v>
      </c>
      <c r="E41" s="5" t="s">
        <v>116</v>
      </c>
      <c r="F41" s="30" t="s">
        <v>51</v>
      </c>
      <c r="G41" s="5" t="s">
        <v>269</v>
      </c>
      <c r="H41" s="34">
        <v>5</v>
      </c>
      <c r="I41" s="34">
        <v>5.9</v>
      </c>
      <c r="J41" s="34"/>
      <c r="K41" s="34"/>
      <c r="L41" s="34"/>
      <c r="M41" s="34"/>
      <c r="N41" s="34"/>
      <c r="O41" s="5"/>
      <c r="P41" s="5"/>
    </row>
    <row r="42" spans="1:16" x14ac:dyDescent="0.25">
      <c r="A42" s="12" t="s">
        <v>117</v>
      </c>
      <c r="B42" s="4">
        <v>40</v>
      </c>
      <c r="C42" s="64">
        <v>1</v>
      </c>
      <c r="D42" s="64">
        <v>0</v>
      </c>
      <c r="E42" s="5" t="s">
        <v>118</v>
      </c>
      <c r="F42" s="30" t="s">
        <v>39</v>
      </c>
      <c r="G42" s="5" t="s">
        <v>406</v>
      </c>
      <c r="H42" s="34">
        <v>2</v>
      </c>
      <c r="J42" s="34"/>
      <c r="K42" s="34" t="s">
        <v>415</v>
      </c>
      <c r="L42" s="34"/>
      <c r="M42" s="34"/>
      <c r="N42" s="34">
        <v>0</v>
      </c>
      <c r="O42" s="5"/>
      <c r="P42" s="5"/>
    </row>
    <row r="43" spans="1:16" x14ac:dyDescent="0.25">
      <c r="A43" s="12" t="s">
        <v>119</v>
      </c>
      <c r="B43" s="4">
        <v>41</v>
      </c>
      <c r="C43" s="64">
        <v>0</v>
      </c>
      <c r="D43" s="64">
        <v>0</v>
      </c>
      <c r="E43" s="5" t="s">
        <v>120</v>
      </c>
      <c r="F43" s="30" t="s">
        <v>39</v>
      </c>
      <c r="G43" s="5" t="s">
        <v>407</v>
      </c>
      <c r="H43" s="34">
        <v>2</v>
      </c>
      <c r="I43" s="34">
        <v>3.5</v>
      </c>
      <c r="J43" s="34">
        <v>0.33</v>
      </c>
      <c r="K43" s="34">
        <v>35</v>
      </c>
      <c r="L43" s="34"/>
      <c r="M43" s="34"/>
      <c r="N43" s="34">
        <v>0</v>
      </c>
      <c r="O43" s="5"/>
      <c r="P43" s="5"/>
    </row>
    <row r="44" spans="1:16" x14ac:dyDescent="0.25">
      <c r="A44" s="12" t="s">
        <v>121</v>
      </c>
      <c r="B44" s="4">
        <v>42</v>
      </c>
      <c r="C44" s="64">
        <v>1</v>
      </c>
      <c r="D44" s="64">
        <v>0</v>
      </c>
      <c r="E44" s="5" t="s">
        <v>122</v>
      </c>
      <c r="F44" s="30" t="s">
        <v>39</v>
      </c>
      <c r="G44" s="5" t="s">
        <v>408</v>
      </c>
      <c r="H44" s="34">
        <v>3</v>
      </c>
      <c r="I44" s="34"/>
      <c r="J44" s="34">
        <v>2</v>
      </c>
      <c r="K44" s="34" t="s">
        <v>415</v>
      </c>
      <c r="L44" s="34"/>
      <c r="M44" s="34"/>
      <c r="N44" s="34">
        <v>0</v>
      </c>
      <c r="O44" s="5"/>
      <c r="P44" s="5"/>
    </row>
    <row r="45" spans="1:16" x14ac:dyDescent="0.25">
      <c r="A45" s="12" t="s">
        <v>123</v>
      </c>
      <c r="B45" s="4">
        <v>43</v>
      </c>
      <c r="C45" s="64">
        <v>0</v>
      </c>
      <c r="D45" s="64">
        <v>0</v>
      </c>
      <c r="E45" s="5" t="s">
        <v>122</v>
      </c>
      <c r="F45" s="30" t="s">
        <v>39</v>
      </c>
      <c r="G45" s="5" t="s">
        <v>408</v>
      </c>
      <c r="H45" s="34">
        <v>3</v>
      </c>
      <c r="I45" s="34"/>
      <c r="J45" s="34">
        <v>2</v>
      </c>
      <c r="K45" s="34" t="s">
        <v>415</v>
      </c>
      <c r="L45" s="34"/>
      <c r="M45" s="34"/>
      <c r="N45" s="34">
        <v>1</v>
      </c>
      <c r="O45" s="5"/>
      <c r="P45" s="5"/>
    </row>
    <row r="46" spans="1:16" x14ac:dyDescent="0.25">
      <c r="A46" s="12" t="s">
        <v>124</v>
      </c>
      <c r="B46" s="4">
        <v>44</v>
      </c>
      <c r="C46" s="64">
        <v>1</v>
      </c>
      <c r="D46" s="64">
        <v>0</v>
      </c>
      <c r="E46" s="5" t="s">
        <v>122</v>
      </c>
      <c r="F46" s="30" t="s">
        <v>39</v>
      </c>
      <c r="G46" s="5" t="s">
        <v>408</v>
      </c>
      <c r="H46" s="34">
        <v>3</v>
      </c>
      <c r="I46" s="34"/>
      <c r="J46" s="34">
        <v>2</v>
      </c>
      <c r="K46" s="34" t="s">
        <v>415</v>
      </c>
      <c r="L46" s="34"/>
      <c r="M46" s="34"/>
      <c r="N46" s="34">
        <v>2</v>
      </c>
      <c r="O46" s="5"/>
      <c r="P46" s="5"/>
    </row>
    <row r="47" spans="1:16" x14ac:dyDescent="0.25">
      <c r="A47" s="12" t="s">
        <v>125</v>
      </c>
      <c r="B47" s="4">
        <v>45</v>
      </c>
      <c r="C47" s="64">
        <v>0</v>
      </c>
      <c r="D47" s="64">
        <v>0</v>
      </c>
      <c r="E47" s="5" t="s">
        <v>122</v>
      </c>
      <c r="F47" s="30" t="s">
        <v>39</v>
      </c>
      <c r="G47" s="5" t="s">
        <v>408</v>
      </c>
      <c r="H47" s="34">
        <v>3</v>
      </c>
      <c r="I47" s="34"/>
      <c r="J47" s="34">
        <v>2</v>
      </c>
      <c r="K47" s="34" t="s">
        <v>415</v>
      </c>
      <c r="L47" s="34"/>
      <c r="M47" s="34"/>
      <c r="N47" s="34">
        <v>3</v>
      </c>
      <c r="O47" s="5"/>
      <c r="P47" s="5"/>
    </row>
    <row r="48" spans="1:16" x14ac:dyDescent="0.25">
      <c r="A48" s="12" t="s">
        <v>126</v>
      </c>
      <c r="B48" s="4">
        <v>46</v>
      </c>
      <c r="C48" s="64">
        <v>1</v>
      </c>
      <c r="D48" s="64">
        <v>0</v>
      </c>
      <c r="E48" s="5" t="s">
        <v>122</v>
      </c>
      <c r="F48" s="30" t="s">
        <v>39</v>
      </c>
      <c r="G48" s="5" t="s">
        <v>408</v>
      </c>
      <c r="H48" s="34">
        <v>3</v>
      </c>
      <c r="I48" s="34"/>
      <c r="J48" s="34">
        <v>2</v>
      </c>
      <c r="K48" s="34" t="s">
        <v>415</v>
      </c>
      <c r="L48" s="34"/>
      <c r="M48" s="34"/>
      <c r="N48" s="34">
        <v>4</v>
      </c>
      <c r="O48" s="5"/>
      <c r="P48" s="5"/>
    </row>
    <row r="49" spans="1:16" x14ac:dyDescent="0.25">
      <c r="A49" s="12" t="s">
        <v>127</v>
      </c>
      <c r="B49" s="4">
        <v>47</v>
      </c>
      <c r="C49" s="64">
        <v>0</v>
      </c>
      <c r="D49" s="64">
        <v>0</v>
      </c>
      <c r="E49" s="5" t="s">
        <v>122</v>
      </c>
      <c r="F49" s="30" t="s">
        <v>39</v>
      </c>
      <c r="G49" s="5" t="s">
        <v>408</v>
      </c>
      <c r="H49" s="34">
        <v>3</v>
      </c>
      <c r="I49" s="34"/>
      <c r="J49" s="34">
        <v>2</v>
      </c>
      <c r="K49" s="34" t="s">
        <v>415</v>
      </c>
      <c r="L49" s="34"/>
      <c r="M49" s="34"/>
      <c r="N49" s="34">
        <v>5</v>
      </c>
      <c r="O49" s="5"/>
      <c r="P49" s="5"/>
    </row>
    <row r="50" spans="1:16" x14ac:dyDescent="0.25">
      <c r="A50" s="12" t="s">
        <v>128</v>
      </c>
      <c r="B50" s="4">
        <v>48</v>
      </c>
      <c r="C50" s="64">
        <v>1</v>
      </c>
      <c r="D50" s="64">
        <v>0</v>
      </c>
      <c r="E50" s="5" t="s">
        <v>129</v>
      </c>
      <c r="F50" s="30" t="s">
        <v>39</v>
      </c>
      <c r="G50" s="5" t="s">
        <v>409</v>
      </c>
      <c r="H50" s="34">
        <v>4</v>
      </c>
      <c r="I50" s="74"/>
      <c r="J50" s="74"/>
      <c r="K50" s="74"/>
      <c r="L50" s="74"/>
      <c r="M50" s="74"/>
      <c r="N50" s="74">
        <v>1</v>
      </c>
      <c r="O50" s="5"/>
      <c r="P50" s="5"/>
    </row>
    <row r="51" spans="1:16" x14ac:dyDescent="0.25">
      <c r="A51" s="12" t="s">
        <v>130</v>
      </c>
      <c r="B51" s="4">
        <v>49</v>
      </c>
      <c r="C51" s="64">
        <v>1</v>
      </c>
      <c r="D51" s="64">
        <v>0</v>
      </c>
      <c r="E51" s="5" t="s">
        <v>133</v>
      </c>
      <c r="F51" s="30" t="s">
        <v>134</v>
      </c>
      <c r="G51" s="5" t="s">
        <v>416</v>
      </c>
      <c r="H51" s="34">
        <v>3</v>
      </c>
      <c r="I51" s="74"/>
      <c r="J51" s="74"/>
      <c r="K51" s="35" t="s">
        <v>418</v>
      </c>
      <c r="L51" s="35"/>
      <c r="M51" s="34" t="s">
        <v>417</v>
      </c>
      <c r="N51" s="34"/>
      <c r="O51" s="5"/>
      <c r="P51" s="5"/>
    </row>
    <row r="52" spans="1:16" x14ac:dyDescent="0.25">
      <c r="A52" s="12" t="s">
        <v>135</v>
      </c>
      <c r="B52" s="4">
        <v>50</v>
      </c>
      <c r="C52" s="64">
        <v>1</v>
      </c>
      <c r="D52" s="64">
        <v>1</v>
      </c>
      <c r="E52" s="5" t="s">
        <v>137</v>
      </c>
      <c r="F52" s="30" t="s">
        <v>138</v>
      </c>
      <c r="G52" s="5"/>
      <c r="H52" s="34">
        <v>4</v>
      </c>
      <c r="I52" s="34">
        <v>10</v>
      </c>
      <c r="J52" s="34"/>
      <c r="K52" s="34"/>
      <c r="L52" s="34" t="s">
        <v>420</v>
      </c>
      <c r="M52" s="34"/>
      <c r="N52" s="34">
        <v>1</v>
      </c>
      <c r="O52" s="5"/>
      <c r="P52" s="5"/>
    </row>
    <row r="53" spans="1:16" x14ac:dyDescent="0.25">
      <c r="A53" s="12" t="s">
        <v>140</v>
      </c>
      <c r="B53" s="4">
        <v>51</v>
      </c>
      <c r="C53" s="64">
        <v>0</v>
      </c>
      <c r="D53" s="64">
        <v>0</v>
      </c>
      <c r="E53" s="5" t="s">
        <v>142</v>
      </c>
      <c r="F53" s="30" t="s">
        <v>138</v>
      </c>
      <c r="G53" s="5"/>
      <c r="H53" s="34">
        <v>3</v>
      </c>
      <c r="J53" s="34"/>
      <c r="K53" s="34">
        <v>36</v>
      </c>
      <c r="L53" s="34"/>
      <c r="M53" s="34"/>
      <c r="N53" s="34"/>
      <c r="O53" s="5"/>
      <c r="P53" s="5"/>
    </row>
    <row r="54" spans="1:16" x14ac:dyDescent="0.25">
      <c r="A54" s="12" t="s">
        <v>143</v>
      </c>
      <c r="B54" s="4">
        <v>52</v>
      </c>
      <c r="C54" s="64">
        <v>0</v>
      </c>
      <c r="D54" s="64">
        <v>0</v>
      </c>
      <c r="E54" s="65" t="s">
        <v>144</v>
      </c>
      <c r="F54" s="30" t="s">
        <v>39</v>
      </c>
      <c r="G54" s="5" t="s">
        <v>269</v>
      </c>
      <c r="H54" s="74">
        <v>4</v>
      </c>
      <c r="I54" s="34"/>
      <c r="J54" s="34"/>
      <c r="K54" s="34"/>
      <c r="L54" s="34"/>
      <c r="M54" s="34"/>
      <c r="N54" s="34"/>
      <c r="O54" s="5"/>
      <c r="P54" s="5"/>
    </row>
    <row r="55" spans="1:16" x14ac:dyDescent="0.25">
      <c r="A55" s="12" t="s">
        <v>147</v>
      </c>
      <c r="B55" s="4">
        <v>53</v>
      </c>
      <c r="C55" s="64">
        <v>1</v>
      </c>
      <c r="D55" s="64">
        <v>0</v>
      </c>
      <c r="E55" s="5" t="s">
        <v>148</v>
      </c>
      <c r="F55" s="30" t="s">
        <v>51</v>
      </c>
      <c r="G55" s="5" t="s">
        <v>269</v>
      </c>
      <c r="H55" s="34">
        <v>5</v>
      </c>
      <c r="I55" s="34">
        <v>58</v>
      </c>
      <c r="J55" s="34"/>
      <c r="K55" s="34"/>
      <c r="L55" s="34"/>
      <c r="M55" s="34"/>
      <c r="N55" s="34"/>
      <c r="O55" s="5"/>
      <c r="P55" s="5"/>
    </row>
    <row r="56" spans="1:16" x14ac:dyDescent="0.25">
      <c r="A56" s="12" t="s">
        <v>149</v>
      </c>
      <c r="B56" s="4">
        <v>54</v>
      </c>
      <c r="C56" s="64">
        <v>0</v>
      </c>
      <c r="D56" s="64">
        <v>0</v>
      </c>
      <c r="E56" s="5" t="s">
        <v>150</v>
      </c>
      <c r="F56" s="30" t="s">
        <v>39</v>
      </c>
      <c r="G56" s="5" t="s">
        <v>269</v>
      </c>
      <c r="H56" s="34">
        <v>2</v>
      </c>
      <c r="J56" s="34"/>
      <c r="K56" s="34" t="s">
        <v>415</v>
      </c>
      <c r="L56" s="34"/>
      <c r="M56" s="34"/>
      <c r="N56" s="34">
        <v>0</v>
      </c>
      <c r="O56" s="5"/>
      <c r="P56" s="5"/>
    </row>
    <row r="57" spans="1:16" x14ac:dyDescent="0.25">
      <c r="A57" s="12" t="s">
        <v>248</v>
      </c>
      <c r="B57" s="4">
        <v>55</v>
      </c>
      <c r="C57" s="64">
        <v>0</v>
      </c>
      <c r="D57" s="64">
        <v>0</v>
      </c>
      <c r="E57" s="5" t="s">
        <v>152</v>
      </c>
      <c r="F57" s="30" t="s">
        <v>79</v>
      </c>
      <c r="G57" s="5" t="s">
        <v>403</v>
      </c>
      <c r="H57" s="34">
        <v>1</v>
      </c>
      <c r="I57" s="34">
        <v>1</v>
      </c>
      <c r="J57" s="34"/>
      <c r="K57" s="34">
        <v>45</v>
      </c>
      <c r="L57" s="34"/>
      <c r="M57" s="34"/>
      <c r="N57" s="34">
        <v>0</v>
      </c>
      <c r="O57" s="5"/>
      <c r="P57" s="5"/>
    </row>
    <row r="58" spans="1:16" x14ac:dyDescent="0.25">
      <c r="A58" s="12" t="s">
        <v>153</v>
      </c>
      <c r="B58" s="4">
        <v>57</v>
      </c>
      <c r="C58" s="64">
        <v>1</v>
      </c>
      <c r="D58" s="64">
        <v>1</v>
      </c>
      <c r="E58" s="5" t="s">
        <v>154</v>
      </c>
      <c r="F58" s="30" t="s">
        <v>79</v>
      </c>
      <c r="G58" s="30" t="s">
        <v>404</v>
      </c>
      <c r="H58" s="74">
        <v>3</v>
      </c>
      <c r="I58" s="34">
        <v>22</v>
      </c>
      <c r="J58" s="34">
        <v>2</v>
      </c>
      <c r="K58" s="34" t="s">
        <v>421</v>
      </c>
      <c r="L58" s="34"/>
      <c r="M58" s="34"/>
      <c r="N58" s="34">
        <v>1</v>
      </c>
      <c r="O58" s="5"/>
      <c r="P58" s="5"/>
    </row>
    <row r="59" spans="1:16" x14ac:dyDescent="0.25">
      <c r="A59" s="12" t="s">
        <v>156</v>
      </c>
      <c r="B59" s="4">
        <v>58</v>
      </c>
      <c r="C59" s="64">
        <v>1</v>
      </c>
      <c r="D59" s="64">
        <v>0</v>
      </c>
      <c r="E59" s="5" t="s">
        <v>158</v>
      </c>
      <c r="F59" s="30" t="s">
        <v>159</v>
      </c>
      <c r="G59" s="5" t="s">
        <v>269</v>
      </c>
      <c r="H59" s="74">
        <v>2</v>
      </c>
      <c r="I59" s="34"/>
      <c r="J59" s="34"/>
      <c r="K59" s="34"/>
      <c r="L59" s="34"/>
      <c r="M59" s="34"/>
      <c r="N59" s="34">
        <v>0</v>
      </c>
      <c r="O59" s="5">
        <v>1</v>
      </c>
      <c r="P59" s="5"/>
    </row>
    <row r="60" spans="1:16" x14ac:dyDescent="0.25">
      <c r="A60" s="12" t="s">
        <v>160</v>
      </c>
      <c r="B60" s="4">
        <v>59</v>
      </c>
      <c r="C60" s="64">
        <v>0</v>
      </c>
      <c r="D60" s="64">
        <v>0</v>
      </c>
      <c r="E60" s="5" t="s">
        <v>161</v>
      </c>
      <c r="F60" s="30" t="s">
        <v>159</v>
      </c>
      <c r="G60" s="5" t="s">
        <v>269</v>
      </c>
      <c r="H60" s="34">
        <v>3</v>
      </c>
      <c r="I60" s="34">
        <v>4.5</v>
      </c>
      <c r="J60" s="34"/>
      <c r="K60" s="34"/>
      <c r="L60" s="34"/>
      <c r="M60" s="34"/>
      <c r="N60" s="34">
        <v>0</v>
      </c>
      <c r="O60" s="5"/>
      <c r="P60" s="5"/>
    </row>
    <row r="61" spans="1:16" x14ac:dyDescent="0.25">
      <c r="A61" s="12" t="s">
        <v>162</v>
      </c>
      <c r="B61" s="4">
        <v>60</v>
      </c>
      <c r="C61" s="64">
        <v>1</v>
      </c>
      <c r="D61" s="64">
        <v>1</v>
      </c>
      <c r="E61" s="5" t="s">
        <v>163</v>
      </c>
      <c r="F61" s="30" t="s">
        <v>159</v>
      </c>
      <c r="G61" s="5" t="s">
        <v>269</v>
      </c>
      <c r="H61" s="34">
        <v>4</v>
      </c>
      <c r="I61" s="34"/>
      <c r="J61" s="34">
        <v>8</v>
      </c>
      <c r="K61" s="34"/>
      <c r="L61" s="34"/>
      <c r="M61" s="34"/>
      <c r="N61" s="34"/>
      <c r="O61" s="5"/>
      <c r="P61" s="5"/>
    </row>
    <row r="62" spans="1:16" x14ac:dyDescent="0.25">
      <c r="A62" s="12" t="s">
        <v>169</v>
      </c>
      <c r="B62" s="4">
        <v>63</v>
      </c>
      <c r="C62" s="64">
        <v>0</v>
      </c>
      <c r="D62" s="64">
        <v>0</v>
      </c>
      <c r="E62" s="65" t="s">
        <v>170</v>
      </c>
      <c r="F62" s="30" t="s">
        <v>39</v>
      </c>
      <c r="G62" s="5" t="s">
        <v>269</v>
      </c>
      <c r="H62" s="74">
        <v>2</v>
      </c>
      <c r="I62" s="34"/>
      <c r="J62" s="34"/>
      <c r="K62" s="34"/>
      <c r="L62" s="34"/>
      <c r="M62" s="34"/>
      <c r="N62" s="34"/>
      <c r="O62" s="5"/>
      <c r="P62" s="5"/>
    </row>
    <row r="63" spans="1:16" x14ac:dyDescent="0.25">
      <c r="A63" s="12" t="s">
        <v>171</v>
      </c>
      <c r="B63" s="4">
        <v>64</v>
      </c>
      <c r="C63" s="64">
        <v>1</v>
      </c>
      <c r="D63" s="64">
        <v>0</v>
      </c>
      <c r="E63" s="5" t="s">
        <v>173</v>
      </c>
      <c r="F63" s="5" t="s">
        <v>174</v>
      </c>
      <c r="G63" s="5"/>
      <c r="H63" s="74">
        <v>4</v>
      </c>
      <c r="I63" s="34"/>
      <c r="J63" s="34"/>
      <c r="K63" s="34"/>
      <c r="L63" s="34"/>
      <c r="M63" s="34"/>
      <c r="N63" s="34"/>
      <c r="O63" s="5"/>
      <c r="P63" s="5"/>
    </row>
    <row r="64" spans="1:16" x14ac:dyDescent="0.25">
      <c r="A64" s="12" t="s">
        <v>175</v>
      </c>
      <c r="B64" s="4">
        <v>65</v>
      </c>
      <c r="C64" s="64">
        <v>0</v>
      </c>
      <c r="D64" s="64">
        <v>0</v>
      </c>
      <c r="E64" s="5" t="s">
        <v>176</v>
      </c>
      <c r="F64" s="5" t="s">
        <v>174</v>
      </c>
      <c r="G64" s="5"/>
      <c r="H64" s="74">
        <v>2</v>
      </c>
      <c r="I64" s="34"/>
      <c r="J64" s="34"/>
      <c r="K64" s="34"/>
      <c r="L64" s="34"/>
      <c r="M64" s="34"/>
      <c r="N64" s="34"/>
      <c r="O64" s="5"/>
      <c r="P64" s="5"/>
    </row>
    <row r="65" spans="1:16" x14ac:dyDescent="0.25">
      <c r="A65" s="12" t="s">
        <v>177</v>
      </c>
      <c r="B65" s="4">
        <v>66</v>
      </c>
      <c r="C65" s="64">
        <v>1</v>
      </c>
      <c r="D65" s="64">
        <v>1</v>
      </c>
      <c r="E65" s="5" t="s">
        <v>178</v>
      </c>
      <c r="F65" s="5" t="s">
        <v>174</v>
      </c>
      <c r="G65" s="5"/>
      <c r="H65" s="74">
        <v>5</v>
      </c>
      <c r="I65" s="34"/>
      <c r="J65" s="34"/>
      <c r="K65" s="34"/>
      <c r="L65" s="34"/>
      <c r="M65" s="34"/>
      <c r="N65" s="74">
        <v>1</v>
      </c>
      <c r="O65" s="5"/>
      <c r="P65" s="5"/>
    </row>
    <row r="66" spans="1:16" x14ac:dyDescent="0.25">
      <c r="A66" s="12" t="s">
        <v>181</v>
      </c>
      <c r="B66" s="4">
        <v>68</v>
      </c>
      <c r="C66" s="64">
        <v>1</v>
      </c>
      <c r="D66" s="64">
        <v>1</v>
      </c>
      <c r="E66" s="5" t="s">
        <v>183</v>
      </c>
      <c r="F66" s="30" t="s">
        <v>159</v>
      </c>
      <c r="G66" s="5" t="s">
        <v>269</v>
      </c>
      <c r="H66" s="74">
        <v>5</v>
      </c>
      <c r="I66" s="34"/>
      <c r="J66" s="34"/>
      <c r="K66" s="34"/>
      <c r="L66" s="34"/>
      <c r="M66" s="34"/>
      <c r="N66" s="74">
        <v>1</v>
      </c>
      <c r="O66" s="5"/>
      <c r="P66" s="5"/>
    </row>
    <row r="67" spans="1:16" x14ac:dyDescent="0.25">
      <c r="A67" s="5" t="s">
        <v>184</v>
      </c>
      <c r="B67" s="4">
        <v>69</v>
      </c>
      <c r="C67" s="64">
        <v>0</v>
      </c>
      <c r="D67" s="64">
        <v>0</v>
      </c>
      <c r="E67" s="5" t="s">
        <v>185</v>
      </c>
      <c r="F67" s="30" t="s">
        <v>159</v>
      </c>
      <c r="G67" s="5" t="s">
        <v>269</v>
      </c>
      <c r="H67" s="34">
        <v>3</v>
      </c>
      <c r="I67" s="34"/>
      <c r="J67" s="34"/>
      <c r="K67" s="34"/>
      <c r="L67" s="34"/>
      <c r="M67" s="34"/>
      <c r="N67" s="34">
        <v>0</v>
      </c>
      <c r="O67" s="5"/>
      <c r="P67" s="5"/>
    </row>
    <row r="68" spans="1:16" x14ac:dyDescent="0.25">
      <c r="A68" s="5" t="s">
        <v>186</v>
      </c>
      <c r="B68" s="4">
        <v>70</v>
      </c>
      <c r="C68" s="64">
        <v>0</v>
      </c>
      <c r="D68" s="64">
        <v>1</v>
      </c>
      <c r="E68" s="5" t="s">
        <v>187</v>
      </c>
      <c r="F68" s="30" t="s">
        <v>159</v>
      </c>
      <c r="G68" s="5" t="s">
        <v>269</v>
      </c>
      <c r="H68" s="34">
        <v>4</v>
      </c>
      <c r="I68" s="34">
        <v>6.7</v>
      </c>
      <c r="J68" s="34">
        <v>8</v>
      </c>
      <c r="K68" s="34"/>
      <c r="L68" s="34"/>
      <c r="M68" s="34"/>
      <c r="N68" s="74">
        <v>0</v>
      </c>
      <c r="O68" s="5">
        <v>1</v>
      </c>
      <c r="P68" s="5"/>
    </row>
    <row r="69" spans="1:16" x14ac:dyDescent="0.25">
      <c r="A69" s="5" t="s">
        <v>188</v>
      </c>
      <c r="B69" s="4">
        <v>71</v>
      </c>
      <c r="C69" s="64">
        <v>1</v>
      </c>
      <c r="D69" s="64">
        <v>0</v>
      </c>
      <c r="E69" s="5" t="s">
        <v>190</v>
      </c>
      <c r="F69" s="5" t="s">
        <v>191</v>
      </c>
      <c r="G69" s="5" t="s">
        <v>269</v>
      </c>
      <c r="H69" s="34">
        <v>5</v>
      </c>
      <c r="I69" s="34">
        <v>6.7</v>
      </c>
      <c r="J69" s="34">
        <v>8</v>
      </c>
      <c r="K69" s="34"/>
      <c r="L69" s="34"/>
      <c r="M69" s="34"/>
      <c r="N69" s="34"/>
      <c r="O69" s="5"/>
      <c r="P69" s="5"/>
    </row>
    <row r="70" spans="1:16" x14ac:dyDescent="0.25">
      <c r="A70" s="5" t="s">
        <v>192</v>
      </c>
      <c r="B70" s="4">
        <v>72</v>
      </c>
      <c r="C70" s="64">
        <v>0</v>
      </c>
      <c r="D70" s="64">
        <v>0</v>
      </c>
      <c r="E70" s="5" t="s">
        <v>193</v>
      </c>
      <c r="F70" s="30" t="s">
        <v>159</v>
      </c>
      <c r="G70" s="5" t="s">
        <v>269</v>
      </c>
      <c r="H70" s="34">
        <v>3</v>
      </c>
      <c r="I70" s="34">
        <v>6.7</v>
      </c>
      <c r="J70" s="34"/>
      <c r="K70" s="34"/>
      <c r="L70" s="34"/>
      <c r="M70" s="34"/>
      <c r="N70" s="34"/>
      <c r="O70" s="5"/>
      <c r="P70" s="5"/>
    </row>
    <row r="71" spans="1:16" x14ac:dyDescent="0.25">
      <c r="A71" s="12" t="s">
        <v>198</v>
      </c>
      <c r="B71" s="4">
        <v>75</v>
      </c>
      <c r="C71" s="65"/>
      <c r="D71" s="65"/>
      <c r="E71" s="65"/>
      <c r="F71" s="5"/>
      <c r="G71" s="65"/>
      <c r="H71" s="74">
        <v>1</v>
      </c>
      <c r="I71" s="74"/>
      <c r="J71" s="74"/>
      <c r="K71" s="74"/>
      <c r="L71" s="74"/>
      <c r="M71" s="74"/>
      <c r="N71" s="74"/>
      <c r="O71" s="65"/>
      <c r="P71" s="5"/>
    </row>
    <row r="72" spans="1:16" x14ac:dyDescent="0.25">
      <c r="A72" s="12" t="s">
        <v>200</v>
      </c>
      <c r="B72" s="4">
        <v>76</v>
      </c>
      <c r="C72" s="64">
        <v>1</v>
      </c>
      <c r="D72" s="64">
        <v>0</v>
      </c>
      <c r="E72" s="5" t="s">
        <v>202</v>
      </c>
      <c r="F72" s="30" t="s">
        <v>203</v>
      </c>
      <c r="G72" s="5"/>
      <c r="H72" s="74">
        <v>3</v>
      </c>
      <c r="I72" s="34"/>
      <c r="J72" s="34"/>
      <c r="K72" s="34"/>
      <c r="L72" s="34"/>
      <c r="M72" s="34"/>
      <c r="N72" s="34"/>
      <c r="O72" s="5"/>
      <c r="P72" s="5"/>
    </row>
    <row r="73" spans="1:16" x14ac:dyDescent="0.25">
      <c r="A73" s="12" t="s">
        <v>204</v>
      </c>
      <c r="B73" s="4">
        <v>77</v>
      </c>
      <c r="C73" s="64">
        <v>0</v>
      </c>
      <c r="D73" s="64">
        <v>0</v>
      </c>
      <c r="E73" s="5" t="s">
        <v>206</v>
      </c>
      <c r="F73" s="30" t="s">
        <v>207</v>
      </c>
      <c r="G73" s="5"/>
      <c r="H73" s="74">
        <v>1</v>
      </c>
      <c r="I73" s="34"/>
      <c r="J73" s="34"/>
      <c r="K73" s="34"/>
      <c r="L73" s="34"/>
      <c r="M73" s="34"/>
      <c r="N73" s="34"/>
      <c r="O73" s="5"/>
      <c r="P73" s="5"/>
    </row>
    <row r="74" spans="1:16" x14ac:dyDescent="0.25">
      <c r="A74" s="12" t="s">
        <v>208</v>
      </c>
      <c r="B74" s="4">
        <v>78</v>
      </c>
      <c r="C74" s="64">
        <v>0</v>
      </c>
      <c r="D74" s="64">
        <v>0</v>
      </c>
      <c r="E74" s="5" t="s">
        <v>210</v>
      </c>
      <c r="F74" s="30" t="s">
        <v>211</v>
      </c>
      <c r="G74" s="5"/>
      <c r="H74" s="74">
        <v>5</v>
      </c>
      <c r="I74" s="34"/>
      <c r="J74" s="34"/>
      <c r="K74" s="34"/>
      <c r="L74" s="34"/>
      <c r="M74" s="34"/>
      <c r="N74" s="34"/>
      <c r="O74" s="5"/>
      <c r="P74" s="5"/>
    </row>
    <row r="75" spans="1:16" x14ac:dyDescent="0.25">
      <c r="A75" s="12" t="s">
        <v>212</v>
      </c>
      <c r="B75" s="4">
        <v>79</v>
      </c>
      <c r="C75" s="64">
        <v>0</v>
      </c>
      <c r="D75" s="64">
        <v>0</v>
      </c>
      <c r="E75" s="5" t="s">
        <v>213</v>
      </c>
      <c r="F75" s="30" t="s">
        <v>207</v>
      </c>
      <c r="G75" s="5"/>
      <c r="H75" s="74">
        <v>3</v>
      </c>
      <c r="I75" s="34"/>
      <c r="J75" s="34"/>
      <c r="K75" s="34"/>
      <c r="L75" s="34"/>
      <c r="M75" s="34"/>
      <c r="N75" s="34"/>
      <c r="O75" s="5"/>
      <c r="P75" s="5"/>
    </row>
    <row r="76" spans="1:16" x14ac:dyDescent="0.25">
      <c r="A76" s="12" t="s">
        <v>214</v>
      </c>
      <c r="B76" s="4">
        <v>80</v>
      </c>
      <c r="C76" s="64">
        <v>0</v>
      </c>
      <c r="D76" s="64">
        <v>0</v>
      </c>
      <c r="E76" s="5" t="s">
        <v>216</v>
      </c>
      <c r="F76" s="30" t="s">
        <v>217</v>
      </c>
      <c r="G76" s="5"/>
      <c r="H76" s="74">
        <v>3</v>
      </c>
      <c r="I76" s="34"/>
      <c r="J76" s="34"/>
      <c r="K76" s="34"/>
      <c r="L76" s="34"/>
      <c r="M76" s="34"/>
      <c r="N76" s="34"/>
      <c r="O76" s="5"/>
      <c r="P76" s="5"/>
    </row>
    <row r="77" spans="1:16" x14ac:dyDescent="0.25">
      <c r="A77" s="12" t="s">
        <v>218</v>
      </c>
      <c r="B77" s="4">
        <v>81</v>
      </c>
      <c r="C77" s="64">
        <v>0</v>
      </c>
      <c r="D77" s="64">
        <v>0</v>
      </c>
      <c r="E77" s="5" t="s">
        <v>219</v>
      </c>
      <c r="F77" s="30" t="s">
        <v>217</v>
      </c>
      <c r="G77" s="5"/>
      <c r="H77" s="74">
        <v>1</v>
      </c>
      <c r="I77" s="34"/>
      <c r="J77" s="34"/>
      <c r="K77" s="34"/>
      <c r="L77" s="34"/>
      <c r="M77" s="34"/>
      <c r="N77" s="34"/>
      <c r="O77" s="5"/>
      <c r="P77" s="5"/>
    </row>
    <row r="78" spans="1:16" x14ac:dyDescent="0.25">
      <c r="A78" s="12" t="s">
        <v>220</v>
      </c>
      <c r="B78" s="4">
        <v>82</v>
      </c>
      <c r="C78" s="64">
        <v>0</v>
      </c>
      <c r="D78" s="64">
        <v>0</v>
      </c>
      <c r="E78" s="5" t="s">
        <v>221</v>
      </c>
      <c r="F78" s="30" t="s">
        <v>217</v>
      </c>
      <c r="G78" s="5"/>
      <c r="H78" s="74">
        <v>3</v>
      </c>
      <c r="I78" s="34"/>
      <c r="J78" s="34"/>
      <c r="K78" s="34"/>
      <c r="L78" s="34"/>
      <c r="M78" s="34"/>
      <c r="N78" s="34"/>
      <c r="O78" s="5"/>
      <c r="P78" s="5"/>
    </row>
    <row r="79" spans="1:16" x14ac:dyDescent="0.25">
      <c r="A79" s="12" t="s">
        <v>222</v>
      </c>
      <c r="B79" s="4">
        <v>83</v>
      </c>
      <c r="C79" s="64">
        <v>0</v>
      </c>
      <c r="D79" s="64">
        <v>0</v>
      </c>
      <c r="E79" s="5" t="s">
        <v>223</v>
      </c>
      <c r="F79" s="30" t="s">
        <v>217</v>
      </c>
      <c r="G79" s="5"/>
      <c r="H79" s="74">
        <v>4</v>
      </c>
      <c r="I79" s="34"/>
      <c r="J79" s="34"/>
      <c r="K79" s="34"/>
      <c r="L79" s="34"/>
      <c r="M79" s="34"/>
      <c r="N79" s="34"/>
      <c r="O79" s="5"/>
      <c r="P79" s="5"/>
    </row>
    <row r="80" spans="1:16" x14ac:dyDescent="0.25">
      <c r="A80" s="12" t="s">
        <v>224</v>
      </c>
      <c r="B80" s="4">
        <v>84</v>
      </c>
      <c r="C80" s="64">
        <v>0</v>
      </c>
      <c r="D80" s="64">
        <v>0</v>
      </c>
      <c r="E80" s="5" t="s">
        <v>226</v>
      </c>
      <c r="F80" s="30" t="s">
        <v>217</v>
      </c>
      <c r="G80" s="5"/>
      <c r="H80" s="74">
        <v>2</v>
      </c>
      <c r="I80" s="34"/>
      <c r="J80" s="34"/>
      <c r="K80" s="34"/>
      <c r="L80" s="34"/>
      <c r="M80" s="34"/>
      <c r="N80" s="34"/>
      <c r="O80" s="5"/>
      <c r="P80" s="5"/>
    </row>
    <row r="81" spans="1:16" x14ac:dyDescent="0.25">
      <c r="A81" s="12" t="s">
        <v>227</v>
      </c>
      <c r="B81" s="4">
        <v>85</v>
      </c>
      <c r="C81" s="64">
        <v>0</v>
      </c>
      <c r="D81" s="64">
        <v>0</v>
      </c>
      <c r="E81" s="5" t="s">
        <v>228</v>
      </c>
      <c r="F81" s="30" t="s">
        <v>217</v>
      </c>
      <c r="G81" s="5"/>
      <c r="H81" s="74">
        <v>5</v>
      </c>
      <c r="I81" s="34"/>
      <c r="J81" s="34"/>
      <c r="K81" s="34"/>
      <c r="L81" s="34"/>
      <c r="M81" s="34"/>
      <c r="N81" s="34"/>
      <c r="O81" s="5"/>
      <c r="P81" s="5"/>
    </row>
    <row r="82" spans="1:16" x14ac:dyDescent="0.25">
      <c r="A82" s="12" t="s">
        <v>229</v>
      </c>
      <c r="B82" s="4">
        <v>86</v>
      </c>
      <c r="C82" s="64">
        <v>0</v>
      </c>
      <c r="D82" s="64">
        <v>0</v>
      </c>
      <c r="E82" s="5" t="s">
        <v>230</v>
      </c>
      <c r="F82" s="30" t="s">
        <v>217</v>
      </c>
      <c r="G82" s="5"/>
      <c r="H82" s="74">
        <v>3</v>
      </c>
      <c r="I82" s="34"/>
      <c r="J82" s="34"/>
      <c r="K82" s="34"/>
      <c r="L82" s="34"/>
      <c r="M82" s="34"/>
      <c r="N82" s="34"/>
      <c r="O82" s="5"/>
      <c r="P82" s="5"/>
    </row>
    <row r="83" spans="1:16" x14ac:dyDescent="0.25">
      <c r="A83" s="12" t="s">
        <v>231</v>
      </c>
      <c r="B83" s="4">
        <v>87</v>
      </c>
      <c r="C83" s="64">
        <v>1</v>
      </c>
      <c r="D83" s="64">
        <v>0</v>
      </c>
      <c r="E83" s="5" t="s">
        <v>233</v>
      </c>
      <c r="F83" s="30" t="s">
        <v>217</v>
      </c>
      <c r="G83" s="5"/>
      <c r="H83" s="74">
        <v>5</v>
      </c>
      <c r="I83" s="34"/>
      <c r="J83" s="34"/>
      <c r="K83" s="34"/>
      <c r="L83" s="34"/>
      <c r="M83" s="34"/>
      <c r="N83" s="34"/>
      <c r="O83" s="5"/>
      <c r="P83" s="5"/>
    </row>
    <row r="84" spans="1:16" x14ac:dyDescent="0.25">
      <c r="A84" s="12" t="s">
        <v>234</v>
      </c>
      <c r="B84" s="4">
        <v>88</v>
      </c>
      <c r="C84" s="64">
        <v>0</v>
      </c>
      <c r="D84" s="64">
        <v>0</v>
      </c>
      <c r="E84" s="5" t="s">
        <v>235</v>
      </c>
      <c r="F84" s="30" t="s">
        <v>217</v>
      </c>
      <c r="G84" s="5"/>
      <c r="H84" s="74">
        <v>3</v>
      </c>
      <c r="I84" s="34"/>
      <c r="J84" s="34"/>
      <c r="K84" s="34"/>
      <c r="L84" s="34"/>
      <c r="M84" s="34"/>
      <c r="N84" s="34"/>
      <c r="O84" s="5"/>
      <c r="P84" s="5"/>
    </row>
    <row r="85" spans="1:16" x14ac:dyDescent="0.25">
      <c r="A85" s="12" t="s">
        <v>236</v>
      </c>
      <c r="B85" s="4">
        <v>89</v>
      </c>
      <c r="C85" s="64">
        <v>0</v>
      </c>
      <c r="D85" s="64">
        <v>0</v>
      </c>
      <c r="E85" s="5" t="s">
        <v>237</v>
      </c>
      <c r="F85" s="30" t="s">
        <v>217</v>
      </c>
      <c r="G85" s="5"/>
      <c r="H85" s="74">
        <v>4</v>
      </c>
      <c r="I85" s="34"/>
      <c r="J85" s="34"/>
      <c r="K85" s="34"/>
      <c r="L85" s="34"/>
      <c r="M85" s="34"/>
      <c r="N85" s="34"/>
      <c r="O85" s="5"/>
      <c r="P85" s="5"/>
    </row>
    <row r="86" spans="1:16" x14ac:dyDescent="0.25">
      <c r="A86" s="12" t="s">
        <v>238</v>
      </c>
      <c r="B86" s="4">
        <v>90</v>
      </c>
      <c r="C86" s="64">
        <v>1</v>
      </c>
      <c r="D86" s="64">
        <v>0</v>
      </c>
      <c r="E86" s="5" t="s">
        <v>239</v>
      </c>
      <c r="F86" s="30" t="s">
        <v>217</v>
      </c>
      <c r="G86" s="5"/>
      <c r="H86" s="74">
        <v>5</v>
      </c>
      <c r="I86" s="34"/>
      <c r="J86" s="34"/>
      <c r="K86" s="34"/>
      <c r="L86" s="34"/>
      <c r="M86" s="34"/>
      <c r="N86" s="34"/>
      <c r="O86" s="5"/>
      <c r="P86" s="5"/>
    </row>
  </sheetData>
  <hyperlinks>
    <hyperlink ref="G58" r:id="rId1"/>
    <hyperlink ref="F72" r:id="rId2"/>
    <hyperlink ref="F73"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location=".VCLVo5RdWX0"/>
    <hyperlink ref="F21" r:id="rId19" location=".VCLVo5RdWX0"/>
    <hyperlink ref="F22" r:id="rId20" location=".VCLVo5RdWX0"/>
    <hyperlink ref="F23" r:id="rId21" location=".VCLVo5RdWX0"/>
    <hyperlink ref="F24" r:id="rId22" location=".VCLVo5RdWX0"/>
    <hyperlink ref="F25" r:id="rId23" location=".VCLVo5RdWX0"/>
    <hyperlink ref="F26" r:id="rId24" location=".VCLVo5RdWX0"/>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4" r:id="rId53"/>
    <hyperlink ref="F55" r:id="rId54"/>
    <hyperlink ref="F56" r:id="rId55"/>
    <hyperlink ref="F57" r:id="rId56" location=".VCLVo5RdWX0"/>
    <hyperlink ref="F58" r:id="rId57" location=".VCLVo5RdWX0"/>
    <hyperlink ref="F59" r:id="rId58"/>
    <hyperlink ref="F60" r:id="rId59"/>
    <hyperlink ref="F61" r:id="rId60"/>
    <hyperlink ref="F5" r:id="rId61"/>
    <hyperlink ref="F62" r:id="rId62"/>
    <hyperlink ref="F66" r:id="rId63"/>
    <hyperlink ref="F67" r:id="rId64"/>
    <hyperlink ref="F68" r:id="rId65"/>
    <hyperlink ref="F70" r:id="rId66"/>
    <hyperlink ref="F86" r:id="rId67"/>
    <hyperlink ref="F85" r:id="rId68"/>
    <hyperlink ref="F84" r:id="rId69"/>
    <hyperlink ref="F83" r:id="rId70"/>
    <hyperlink ref="F80" r:id="rId71"/>
    <hyperlink ref="F82" r:id="rId72"/>
    <hyperlink ref="F81" r:id="rId73"/>
    <hyperlink ref="F79" r:id="rId74"/>
    <hyperlink ref="F78" r:id="rId75"/>
    <hyperlink ref="F77" r:id="rId76"/>
    <hyperlink ref="F76" r:id="rId77"/>
    <hyperlink ref="F75" r:id="rId78"/>
    <hyperlink ref="F74" r:id="rId79"/>
  </hyperlinks>
  <pageMargins left="0.7" right="0.7" top="0.75" bottom="0.75" header="0.3" footer="0.3"/>
  <pageSetup orientation="portrait" r:id="rId8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43" workbookViewId="0">
      <selection activeCell="J59" sqref="J59"/>
    </sheetView>
  </sheetViews>
  <sheetFormatPr defaultRowHeight="15" x14ac:dyDescent="0.25"/>
  <cols>
    <col min="1" max="1" width="30.140625" style="19" bestFit="1" customWidth="1"/>
    <col min="2" max="2" width="41.5703125" style="19" customWidth="1"/>
  </cols>
  <sheetData>
    <row r="1" spans="1:4" x14ac:dyDescent="0.25">
      <c r="A1" s="37" t="s">
        <v>343</v>
      </c>
      <c r="B1" s="38" t="s">
        <v>344</v>
      </c>
      <c r="D1" s="21"/>
    </row>
    <row r="2" spans="1:4" x14ac:dyDescent="0.25">
      <c r="A2" s="39" t="s">
        <v>91</v>
      </c>
      <c r="B2" s="40" t="s">
        <v>75</v>
      </c>
      <c r="D2" s="21"/>
    </row>
    <row r="3" spans="1:4" x14ac:dyDescent="0.25">
      <c r="A3" s="39" t="s">
        <v>103</v>
      </c>
      <c r="B3" s="40" t="s">
        <v>75</v>
      </c>
      <c r="D3" s="21"/>
    </row>
    <row r="4" spans="1:4" x14ac:dyDescent="0.25">
      <c r="A4" s="39" t="s">
        <v>74</v>
      </c>
      <c r="B4" s="40" t="s">
        <v>75</v>
      </c>
      <c r="D4" s="21"/>
    </row>
    <row r="5" spans="1:4" x14ac:dyDescent="0.25">
      <c r="A5" s="39" t="s">
        <v>80</v>
      </c>
      <c r="B5" s="40" t="s">
        <v>75</v>
      </c>
      <c r="D5" s="21"/>
    </row>
    <row r="6" spans="1:4" x14ac:dyDescent="0.25">
      <c r="A6" s="43" t="s">
        <v>100</v>
      </c>
      <c r="B6" s="44" t="s">
        <v>75</v>
      </c>
      <c r="D6" s="21"/>
    </row>
    <row r="7" spans="1:4" x14ac:dyDescent="0.25">
      <c r="A7" s="39" t="s">
        <v>105</v>
      </c>
      <c r="B7" s="40" t="s">
        <v>75</v>
      </c>
      <c r="D7" s="21"/>
    </row>
    <row r="8" spans="1:4" x14ac:dyDescent="0.25">
      <c r="A8" s="39" t="s">
        <v>94</v>
      </c>
      <c r="B8" s="40" t="s">
        <v>75</v>
      </c>
      <c r="D8" s="21"/>
    </row>
    <row r="9" spans="1:4" x14ac:dyDescent="0.25">
      <c r="A9" s="39" t="s">
        <v>114</v>
      </c>
      <c r="B9" s="40" t="s">
        <v>75</v>
      </c>
      <c r="D9" s="21"/>
    </row>
    <row r="10" spans="1:4" x14ac:dyDescent="0.25">
      <c r="A10" s="39" t="s">
        <v>83</v>
      </c>
      <c r="B10" s="40" t="s">
        <v>75</v>
      </c>
      <c r="D10" s="21"/>
    </row>
    <row r="11" spans="1:4" x14ac:dyDescent="0.25">
      <c r="A11" s="39" t="s">
        <v>107</v>
      </c>
      <c r="B11" s="40" t="s">
        <v>75</v>
      </c>
      <c r="D11" s="21"/>
    </row>
    <row r="12" spans="1:4" x14ac:dyDescent="0.25">
      <c r="A12" s="39" t="s">
        <v>117</v>
      </c>
      <c r="B12" s="40" t="s">
        <v>75</v>
      </c>
      <c r="D12" s="21"/>
    </row>
    <row r="13" spans="1:4" x14ac:dyDescent="0.25">
      <c r="A13" s="39" t="s">
        <v>84</v>
      </c>
      <c r="B13" s="40" t="s">
        <v>75</v>
      </c>
      <c r="D13" s="21"/>
    </row>
    <row r="14" spans="1:4" x14ac:dyDescent="0.25">
      <c r="A14" s="39" t="s">
        <v>125</v>
      </c>
      <c r="B14" s="40" t="s">
        <v>75</v>
      </c>
      <c r="D14" s="21"/>
    </row>
    <row r="15" spans="1:4" x14ac:dyDescent="0.25">
      <c r="A15" s="39" t="s">
        <v>98</v>
      </c>
      <c r="B15" s="40" t="s">
        <v>75</v>
      </c>
      <c r="D15" s="21"/>
    </row>
    <row r="16" spans="1:4" x14ac:dyDescent="0.25">
      <c r="A16" s="39" t="s">
        <v>128</v>
      </c>
      <c r="B16" s="40" t="s">
        <v>75</v>
      </c>
      <c r="D16" s="21"/>
    </row>
    <row r="17" spans="1:4" x14ac:dyDescent="0.25">
      <c r="A17" s="39" t="s">
        <v>104</v>
      </c>
      <c r="B17" s="40" t="s">
        <v>75</v>
      </c>
      <c r="D17" s="21"/>
    </row>
    <row r="18" spans="1:4" x14ac:dyDescent="0.25">
      <c r="A18" s="39" t="s">
        <v>86</v>
      </c>
      <c r="B18" s="40" t="s">
        <v>75</v>
      </c>
      <c r="D18" s="21"/>
    </row>
    <row r="19" spans="1:4" x14ac:dyDescent="0.25">
      <c r="A19" s="39" t="s">
        <v>119</v>
      </c>
      <c r="B19" s="40" t="s">
        <v>75</v>
      </c>
      <c r="D19" s="21"/>
    </row>
    <row r="20" spans="1:4" x14ac:dyDescent="0.25">
      <c r="A20" s="39" t="s">
        <v>126</v>
      </c>
      <c r="B20" s="40" t="s">
        <v>75</v>
      </c>
      <c r="D20" s="21"/>
    </row>
    <row r="21" spans="1:4" x14ac:dyDescent="0.25">
      <c r="A21" s="39" t="s">
        <v>109</v>
      </c>
      <c r="B21" s="40" t="s">
        <v>75</v>
      </c>
      <c r="D21" s="21"/>
    </row>
    <row r="22" spans="1:4" x14ac:dyDescent="0.25">
      <c r="A22" s="39" t="s">
        <v>115</v>
      </c>
      <c r="B22" s="40" t="s">
        <v>75</v>
      </c>
      <c r="D22" s="21"/>
    </row>
    <row r="23" spans="1:4" x14ac:dyDescent="0.25">
      <c r="A23" s="39" t="s">
        <v>111</v>
      </c>
      <c r="B23" s="40" t="s">
        <v>75</v>
      </c>
      <c r="D23" s="21"/>
    </row>
    <row r="24" spans="1:4" x14ac:dyDescent="0.25">
      <c r="A24" s="39" t="s">
        <v>88</v>
      </c>
      <c r="B24" s="40" t="s">
        <v>75</v>
      </c>
      <c r="D24" s="21"/>
    </row>
    <row r="25" spans="1:4" x14ac:dyDescent="0.25">
      <c r="A25" s="39" t="s">
        <v>89</v>
      </c>
      <c r="B25" s="40" t="s">
        <v>75</v>
      </c>
      <c r="D25" s="21"/>
    </row>
    <row r="26" spans="1:4" x14ac:dyDescent="0.25">
      <c r="A26" s="39" t="s">
        <v>93</v>
      </c>
      <c r="B26" s="40" t="s">
        <v>75</v>
      </c>
      <c r="D26" s="21"/>
    </row>
    <row r="27" spans="1:4" x14ac:dyDescent="0.25">
      <c r="A27" s="43" t="s">
        <v>110</v>
      </c>
      <c r="B27" s="45" t="s">
        <v>75</v>
      </c>
      <c r="D27" s="21"/>
    </row>
    <row r="28" spans="1:4" x14ac:dyDescent="0.25">
      <c r="A28" s="39" t="s">
        <v>127</v>
      </c>
      <c r="B28" s="40" t="s">
        <v>75</v>
      </c>
      <c r="D28" s="21"/>
    </row>
    <row r="29" spans="1:4" x14ac:dyDescent="0.25">
      <c r="A29" s="39" t="s">
        <v>102</v>
      </c>
      <c r="B29" s="40" t="s">
        <v>75</v>
      </c>
      <c r="D29" s="21"/>
    </row>
    <row r="30" spans="1:4" x14ac:dyDescent="0.25">
      <c r="A30" s="39" t="s">
        <v>121</v>
      </c>
      <c r="B30" s="40" t="s">
        <v>75</v>
      </c>
      <c r="D30" s="21"/>
    </row>
    <row r="31" spans="1:4" x14ac:dyDescent="0.25">
      <c r="A31" s="39" t="s">
        <v>123</v>
      </c>
      <c r="B31" s="40" t="s">
        <v>75</v>
      </c>
      <c r="D31" s="21"/>
    </row>
    <row r="32" spans="1:4" x14ac:dyDescent="0.25">
      <c r="A32" s="39" t="s">
        <v>124</v>
      </c>
      <c r="B32" s="40" t="s">
        <v>75</v>
      </c>
      <c r="D32" s="21"/>
    </row>
    <row r="33" spans="1:4" x14ac:dyDescent="0.25">
      <c r="A33" s="39" t="s">
        <v>96</v>
      </c>
      <c r="B33" s="40" t="s">
        <v>75</v>
      </c>
      <c r="D33" s="21"/>
    </row>
    <row r="34" spans="1:4" x14ac:dyDescent="0.25">
      <c r="A34" s="39" t="s">
        <v>113</v>
      </c>
      <c r="B34" s="40" t="s">
        <v>75</v>
      </c>
      <c r="D34" s="21"/>
    </row>
    <row r="35" spans="1:4" x14ac:dyDescent="0.25">
      <c r="A35" s="39" t="s">
        <v>135</v>
      </c>
      <c r="B35" s="41" t="s">
        <v>345</v>
      </c>
      <c r="D35" s="21"/>
    </row>
    <row r="36" spans="1:4" x14ac:dyDescent="0.25">
      <c r="A36" s="39" t="s">
        <v>218</v>
      </c>
      <c r="B36" s="41" t="s">
        <v>345</v>
      </c>
      <c r="D36" s="21"/>
    </row>
    <row r="37" spans="1:4" x14ac:dyDescent="0.25">
      <c r="A37" s="39" t="s">
        <v>156</v>
      </c>
      <c r="B37" s="41" t="s">
        <v>345</v>
      </c>
      <c r="D37" s="21"/>
    </row>
    <row r="38" spans="1:4" x14ac:dyDescent="0.25">
      <c r="A38" s="39" t="s">
        <v>220</v>
      </c>
      <c r="B38" s="41" t="s">
        <v>345</v>
      </c>
      <c r="D38" s="21"/>
    </row>
    <row r="39" spans="1:4" x14ac:dyDescent="0.25">
      <c r="A39" s="39" t="s">
        <v>200</v>
      </c>
      <c r="B39" s="41" t="s">
        <v>345</v>
      </c>
      <c r="D39" s="21"/>
    </row>
    <row r="40" spans="1:4" x14ac:dyDescent="0.25">
      <c r="A40" s="39" t="s">
        <v>151</v>
      </c>
      <c r="B40" s="41" t="s">
        <v>345</v>
      </c>
      <c r="D40" s="21"/>
    </row>
    <row r="41" spans="1:4" x14ac:dyDescent="0.25">
      <c r="A41" s="43" t="s">
        <v>100</v>
      </c>
      <c r="B41" s="45" t="s">
        <v>345</v>
      </c>
      <c r="D41" s="21"/>
    </row>
    <row r="42" spans="1:4" x14ac:dyDescent="0.25">
      <c r="A42" s="42" t="s">
        <v>188</v>
      </c>
      <c r="B42" s="41" t="s">
        <v>345</v>
      </c>
      <c r="D42" s="21"/>
    </row>
    <row r="43" spans="1:4" x14ac:dyDescent="0.25">
      <c r="A43" s="39" t="s">
        <v>214</v>
      </c>
      <c r="B43" s="41" t="s">
        <v>345</v>
      </c>
      <c r="D43" s="21"/>
    </row>
    <row r="44" spans="1:4" x14ac:dyDescent="0.25">
      <c r="A44" s="39" t="s">
        <v>171</v>
      </c>
      <c r="B44" s="41" t="s">
        <v>345</v>
      </c>
      <c r="D44" s="21"/>
    </row>
    <row r="45" spans="1:4" x14ac:dyDescent="0.25">
      <c r="A45" s="39" t="s">
        <v>197</v>
      </c>
      <c r="B45" s="41" t="s">
        <v>345</v>
      </c>
      <c r="D45" s="21"/>
    </row>
    <row r="46" spans="1:4" x14ac:dyDescent="0.25">
      <c r="A46" s="39" t="s">
        <v>140</v>
      </c>
      <c r="B46" s="41" t="s">
        <v>345</v>
      </c>
      <c r="D46" s="21"/>
    </row>
    <row r="47" spans="1:4" x14ac:dyDescent="0.25">
      <c r="A47" s="39" t="s">
        <v>208</v>
      </c>
      <c r="B47" s="41" t="s">
        <v>345</v>
      </c>
      <c r="D47" s="21"/>
    </row>
    <row r="48" spans="1:4" x14ac:dyDescent="0.25">
      <c r="A48" s="39" t="s">
        <v>227</v>
      </c>
      <c r="B48" s="41" t="s">
        <v>345</v>
      </c>
      <c r="D48" s="21"/>
    </row>
    <row r="49" spans="1:4" x14ac:dyDescent="0.25">
      <c r="A49" s="39" t="s">
        <v>234</v>
      </c>
      <c r="B49" s="41" t="s">
        <v>345</v>
      </c>
      <c r="D49" s="21"/>
    </row>
    <row r="50" spans="1:4" x14ac:dyDescent="0.25">
      <c r="A50" s="39" t="s">
        <v>222</v>
      </c>
      <c r="B50" s="41" t="s">
        <v>345</v>
      </c>
      <c r="D50" s="21"/>
    </row>
    <row r="51" spans="1:4" x14ac:dyDescent="0.25">
      <c r="A51" s="42" t="s">
        <v>186</v>
      </c>
      <c r="B51" s="41" t="s">
        <v>345</v>
      </c>
      <c r="D51" s="21"/>
    </row>
    <row r="52" spans="1:4" x14ac:dyDescent="0.25">
      <c r="A52" s="39" t="s">
        <v>149</v>
      </c>
      <c r="B52" s="41" t="s">
        <v>345</v>
      </c>
      <c r="D52" s="21"/>
    </row>
    <row r="53" spans="1:4" x14ac:dyDescent="0.25">
      <c r="A53" s="39" t="s">
        <v>198</v>
      </c>
      <c r="B53" s="41" t="s">
        <v>345</v>
      </c>
      <c r="D53" s="21"/>
    </row>
    <row r="54" spans="1:4" x14ac:dyDescent="0.25">
      <c r="A54" s="39" t="s">
        <v>175</v>
      </c>
      <c r="B54" s="41" t="s">
        <v>345</v>
      </c>
      <c r="D54" s="21"/>
    </row>
    <row r="55" spans="1:4" x14ac:dyDescent="0.25">
      <c r="A55" s="39" t="s">
        <v>236</v>
      </c>
      <c r="B55" s="41" t="s">
        <v>345</v>
      </c>
      <c r="D55" s="21"/>
    </row>
    <row r="56" spans="1:4" x14ac:dyDescent="0.25">
      <c r="A56" s="39" t="s">
        <v>181</v>
      </c>
      <c r="B56" s="41" t="s">
        <v>345</v>
      </c>
      <c r="D56" s="21"/>
    </row>
    <row r="57" spans="1:4" x14ac:dyDescent="0.25">
      <c r="A57" s="39" t="s">
        <v>180</v>
      </c>
      <c r="B57" s="41" t="s">
        <v>345</v>
      </c>
      <c r="D57" s="21"/>
    </row>
    <row r="58" spans="1:4" x14ac:dyDescent="0.25">
      <c r="A58" s="39" t="s">
        <v>143</v>
      </c>
      <c r="B58" s="41" t="s">
        <v>345</v>
      </c>
      <c r="D58" s="21"/>
    </row>
    <row r="59" spans="1:4" x14ac:dyDescent="0.25">
      <c r="A59" s="39" t="s">
        <v>194</v>
      </c>
      <c r="B59" s="41" t="s">
        <v>345</v>
      </c>
      <c r="D59" s="21"/>
    </row>
    <row r="60" spans="1:4" x14ac:dyDescent="0.25">
      <c r="A60" s="39" t="s">
        <v>224</v>
      </c>
      <c r="B60" s="41" t="s">
        <v>345</v>
      </c>
      <c r="D60" s="21"/>
    </row>
    <row r="61" spans="1:4" x14ac:dyDescent="0.25">
      <c r="A61" s="39" t="s">
        <v>212</v>
      </c>
      <c r="B61" s="41" t="s">
        <v>345</v>
      </c>
      <c r="D61" s="21"/>
    </row>
    <row r="62" spans="1:4" x14ac:dyDescent="0.25">
      <c r="A62" s="42" t="s">
        <v>184</v>
      </c>
      <c r="B62" s="41" t="s">
        <v>345</v>
      </c>
      <c r="D62" s="21"/>
    </row>
    <row r="63" spans="1:4" x14ac:dyDescent="0.25">
      <c r="A63" s="39" t="s">
        <v>162</v>
      </c>
      <c r="B63" s="41" t="s">
        <v>345</v>
      </c>
      <c r="D63" s="21"/>
    </row>
    <row r="64" spans="1:4" x14ac:dyDescent="0.25">
      <c r="A64" s="39" t="s">
        <v>153</v>
      </c>
      <c r="B64" s="41" t="s">
        <v>345</v>
      </c>
      <c r="D64" s="21"/>
    </row>
    <row r="65" spans="1:4" x14ac:dyDescent="0.25">
      <c r="A65" s="43" t="s">
        <v>110</v>
      </c>
      <c r="B65" s="45" t="s">
        <v>345</v>
      </c>
      <c r="D65" s="21"/>
    </row>
    <row r="66" spans="1:4" x14ac:dyDescent="0.25">
      <c r="A66" s="39" t="s">
        <v>130</v>
      </c>
      <c r="B66" s="41" t="s">
        <v>345</v>
      </c>
      <c r="D66" s="21"/>
    </row>
    <row r="67" spans="1:4" x14ac:dyDescent="0.25">
      <c r="A67" s="39" t="s">
        <v>204</v>
      </c>
      <c r="B67" s="41" t="s">
        <v>345</v>
      </c>
      <c r="D67" s="21"/>
    </row>
    <row r="68" spans="1:4" x14ac:dyDescent="0.25">
      <c r="A68" s="42" t="s">
        <v>192</v>
      </c>
      <c r="B68" s="41" t="s">
        <v>345</v>
      </c>
      <c r="D68" s="21"/>
    </row>
    <row r="69" spans="1:4" x14ac:dyDescent="0.25">
      <c r="A69" s="39" t="s">
        <v>231</v>
      </c>
      <c r="B69" s="41" t="s">
        <v>345</v>
      </c>
      <c r="D69" s="21"/>
    </row>
    <row r="70" spans="1:4" x14ac:dyDescent="0.25">
      <c r="A70" s="39" t="s">
        <v>177</v>
      </c>
      <c r="B70" s="41" t="s">
        <v>345</v>
      </c>
      <c r="D70" s="21"/>
    </row>
    <row r="71" spans="1:4" x14ac:dyDescent="0.25">
      <c r="A71" s="39" t="s">
        <v>160</v>
      </c>
      <c r="B71" s="41" t="s">
        <v>345</v>
      </c>
      <c r="D71" s="21"/>
    </row>
    <row r="72" spans="1:4" x14ac:dyDescent="0.25">
      <c r="A72" s="39" t="s">
        <v>238</v>
      </c>
      <c r="B72" s="41" t="s">
        <v>345</v>
      </c>
      <c r="D72" s="21"/>
    </row>
    <row r="73" spans="1:4" x14ac:dyDescent="0.25">
      <c r="A73" s="39" t="s">
        <v>169</v>
      </c>
      <c r="B73" s="41" t="s">
        <v>345</v>
      </c>
      <c r="D73" s="21"/>
    </row>
    <row r="74" spans="1:4" x14ac:dyDescent="0.25">
      <c r="A74" s="39" t="s">
        <v>164</v>
      </c>
      <c r="B74" s="41" t="s">
        <v>345</v>
      </c>
      <c r="D74" s="21"/>
    </row>
    <row r="75" spans="1:4" x14ac:dyDescent="0.25">
      <c r="A75" s="39" t="s">
        <v>229</v>
      </c>
      <c r="B75" s="41" t="s">
        <v>345</v>
      </c>
      <c r="D75" s="21"/>
    </row>
    <row r="76" spans="1:4" x14ac:dyDescent="0.25">
      <c r="A76" s="39" t="s">
        <v>147</v>
      </c>
      <c r="B76" s="41" t="s">
        <v>345</v>
      </c>
      <c r="D76" s="21"/>
    </row>
    <row r="77" spans="1:4" x14ac:dyDescent="0.25">
      <c r="A77" s="40" t="s">
        <v>70</v>
      </c>
      <c r="B77" s="42" t="s">
        <v>262</v>
      </c>
      <c r="D77" s="21"/>
    </row>
    <row r="78" spans="1:4" x14ac:dyDescent="0.25">
      <c r="A78" s="40" t="s">
        <v>72</v>
      </c>
      <c r="B78" s="42" t="s">
        <v>262</v>
      </c>
      <c r="D78" s="21"/>
    </row>
    <row r="79" spans="1:4" x14ac:dyDescent="0.25">
      <c r="A79" s="40" t="s">
        <v>68</v>
      </c>
      <c r="B79" s="42" t="s">
        <v>262</v>
      </c>
      <c r="D79" s="21"/>
    </row>
    <row r="80" spans="1:4" x14ac:dyDescent="0.25">
      <c r="A80" s="40" t="s">
        <v>44</v>
      </c>
      <c r="B80" s="42" t="s">
        <v>262</v>
      </c>
      <c r="D80" s="21"/>
    </row>
    <row r="81" spans="1:4" x14ac:dyDescent="0.25">
      <c r="A81" s="40" t="s">
        <v>56</v>
      </c>
      <c r="B81" s="42" t="s">
        <v>262</v>
      </c>
      <c r="D81" s="21"/>
    </row>
    <row r="82" spans="1:4" x14ac:dyDescent="0.25">
      <c r="A82" s="40" t="s">
        <v>41</v>
      </c>
      <c r="B82" s="42" t="s">
        <v>262</v>
      </c>
      <c r="D82" s="21"/>
    </row>
    <row r="83" spans="1:4" x14ac:dyDescent="0.25">
      <c r="A83" s="40" t="s">
        <v>32</v>
      </c>
      <c r="B83" s="42" t="s">
        <v>262</v>
      </c>
      <c r="D83" s="21"/>
    </row>
    <row r="84" spans="1:4" x14ac:dyDescent="0.25">
      <c r="A84" s="40" t="s">
        <v>59</v>
      </c>
      <c r="B84" s="42" t="s">
        <v>262</v>
      </c>
      <c r="D84" s="21"/>
    </row>
    <row r="85" spans="1:4" x14ac:dyDescent="0.25">
      <c r="A85" s="40" t="s">
        <v>46</v>
      </c>
      <c r="B85" s="42" t="s">
        <v>262</v>
      </c>
      <c r="D85" s="21"/>
    </row>
    <row r="86" spans="1:4" x14ac:dyDescent="0.25">
      <c r="A86" s="40" t="s">
        <v>53</v>
      </c>
      <c r="B86" s="42" t="s">
        <v>262</v>
      </c>
      <c r="D86" s="21"/>
    </row>
    <row r="87" spans="1:4" x14ac:dyDescent="0.25">
      <c r="A87" s="40" t="s">
        <v>71</v>
      </c>
      <c r="B87" s="42" t="s">
        <v>262</v>
      </c>
      <c r="D87" s="21"/>
    </row>
    <row r="88" spans="1:4" x14ac:dyDescent="0.25">
      <c r="A88" s="40" t="s">
        <v>63</v>
      </c>
      <c r="B88" s="42" t="s">
        <v>262</v>
      </c>
      <c r="D88" s="21"/>
    </row>
    <row r="89" spans="1:4" x14ac:dyDescent="0.25">
      <c r="A89" s="40" t="s">
        <v>61</v>
      </c>
      <c r="B89" s="42" t="s">
        <v>262</v>
      </c>
      <c r="D89" s="21"/>
    </row>
    <row r="90" spans="1:4" x14ac:dyDescent="0.25">
      <c r="A90" s="40" t="s">
        <v>55</v>
      </c>
      <c r="B90" s="42" t="s">
        <v>262</v>
      </c>
      <c r="D90" s="21"/>
    </row>
    <row r="91" spans="1:4" x14ac:dyDescent="0.25">
      <c r="A91" s="39" t="s">
        <v>240</v>
      </c>
      <c r="B91" s="42" t="s">
        <v>241</v>
      </c>
      <c r="D91" s="21"/>
    </row>
    <row r="92" spans="1:4" x14ac:dyDescent="0.25">
      <c r="A92" s="39" t="s">
        <v>243</v>
      </c>
      <c r="B92" s="42" t="s">
        <v>241</v>
      </c>
      <c r="D92" s="21"/>
    </row>
    <row r="93" spans="1:4" x14ac:dyDescent="0.25">
      <c r="A93" s="39" t="s">
        <v>244</v>
      </c>
      <c r="B93" s="42" t="s">
        <v>241</v>
      </c>
      <c r="D93" s="21"/>
    </row>
    <row r="94" spans="1:4" x14ac:dyDescent="0.25">
      <c r="A94" s="39" t="s">
        <v>245</v>
      </c>
      <c r="B94" s="42" t="s">
        <v>241</v>
      </c>
      <c r="D94" s="21"/>
    </row>
    <row r="95" spans="1:4" x14ac:dyDescent="0.25">
      <c r="A95" s="39" t="s">
        <v>246</v>
      </c>
      <c r="B95" s="42" t="s">
        <v>241</v>
      </c>
      <c r="D95" s="21"/>
    </row>
    <row r="96" spans="1:4" x14ac:dyDescent="0.25">
      <c r="A96" s="39" t="s">
        <v>247</v>
      </c>
      <c r="B96" s="42" t="s">
        <v>241</v>
      </c>
      <c r="D96" s="21"/>
    </row>
    <row r="97" spans="1:4" x14ac:dyDescent="0.25">
      <c r="A97" s="41"/>
      <c r="B97" s="41"/>
      <c r="D97" s="21"/>
    </row>
  </sheetData>
  <sortState ref="A2:C145">
    <sortCondition ref="B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Station Info for DoIT </vt:lpstr>
      <vt:lpstr>Transit Score</vt:lpstr>
      <vt:lpstr>Station Facilities Score</vt:lpstr>
      <vt:lpstr>Parking Score</vt:lpstr>
      <vt:lpstr>Bike Score</vt:lpstr>
      <vt:lpstr>Pedestrian Score</vt:lpstr>
      <vt:lpstr>TOD Zoning Score</vt:lpstr>
      <vt:lpstr>Alphabetical Station List</vt:lpstr>
    </vt:vector>
  </TitlesOfParts>
  <Company>MTA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setup</dc:creator>
  <cp:lastModifiedBy>Souders, Josh</cp:lastModifiedBy>
  <dcterms:created xsi:type="dcterms:W3CDTF">2014-11-10T18:17:21Z</dcterms:created>
  <dcterms:modified xsi:type="dcterms:W3CDTF">2015-02-05T01:03:24Z</dcterms:modified>
</cp:coreProperties>
</file>