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3637118600399690035/My Drive/Monash Data Bootcamp/excel-challenge/"/>
    </mc:Choice>
  </mc:AlternateContent>
  <xr:revisionPtr revIDLastSave="0" documentId="13_ncr:1_{2ED255D5-2DCF-B246-BB0D-3D94B6797DFF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Crowdfunding" sheetId="1" r:id="rId1"/>
    <sheet name="Category PT" sheetId="2" r:id="rId2"/>
    <sheet name="Sub-Category PT" sheetId="3" r:id="rId3"/>
    <sheet name="Date PT" sheetId="7" r:id="rId4"/>
    <sheet name="Bonus" sheetId="8" r:id="rId5"/>
    <sheet name="Bonus SA" sheetId="9" r:id="rId6"/>
  </sheets>
  <definedNames>
    <definedName name="_xlnm._FilterDatabase" localSheetId="0" hidden="1">Crowdfunding!$G$1:$G$1001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D7" i="9"/>
  <c r="D6" i="9"/>
  <c r="I5" i="9"/>
  <c r="I4" i="9"/>
  <c r="I3" i="9"/>
  <c r="D5" i="9"/>
  <c r="D4" i="9"/>
  <c r="D3" i="9"/>
  <c r="D2" i="9"/>
  <c r="I2" i="9"/>
  <c r="I1" i="9"/>
  <c r="D1" i="9"/>
  <c r="I16" i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8" l="1"/>
  <c r="G8" i="8" s="1"/>
  <c r="E7" i="8"/>
  <c r="G7" i="8" s="1"/>
  <c r="E6" i="8"/>
  <c r="F6" i="8" s="1"/>
  <c r="F8" i="8"/>
  <c r="E5" i="8"/>
  <c r="H5" i="8" s="1"/>
  <c r="E2" i="8"/>
  <c r="H2" i="8" s="1"/>
  <c r="E4" i="8"/>
  <c r="G4" i="8" s="1"/>
  <c r="E13" i="8"/>
  <c r="G13" i="8" s="1"/>
  <c r="E3" i="8"/>
  <c r="H3" i="8" s="1"/>
  <c r="E12" i="8"/>
  <c r="G12" i="8" s="1"/>
  <c r="E11" i="8"/>
  <c r="G11" i="8" s="1"/>
  <c r="E10" i="8"/>
  <c r="F10" i="8" s="1"/>
  <c r="E9" i="8"/>
  <c r="H9" i="8" s="1"/>
  <c r="F7" i="8" l="1"/>
  <c r="H8" i="8"/>
  <c r="F2" i="8"/>
  <c r="G10" i="8"/>
  <c r="F9" i="8"/>
  <c r="G9" i="8"/>
  <c r="G6" i="8"/>
  <c r="H7" i="8"/>
  <c r="H11" i="8"/>
  <c r="F11" i="8"/>
  <c r="F5" i="8"/>
  <c r="H6" i="8"/>
  <c r="H10" i="8"/>
  <c r="F12" i="8"/>
  <c r="H12" i="8"/>
  <c r="H4" i="8"/>
  <c r="G5" i="8"/>
  <c r="G3" i="8"/>
  <c r="H13" i="8"/>
  <c r="F3" i="8"/>
  <c r="G2" i="8"/>
  <c r="F4" i="8"/>
  <c r="F13" i="8"/>
</calcChain>
</file>

<file path=xl/sharedStrings.xml><?xml version="1.0" encoding="utf-8"?>
<sst xmlns="http://schemas.openxmlformats.org/spreadsheetml/2006/main" count="9071" uniqueCount="2114">
  <si>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</si>
  <si>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</si>
  <si>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</si>
  <si>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</si>
  <si>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</si>
  <si>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</si>
  <si>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</si>
  <si>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</si>
  <si>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</si>
  <si>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</si>
  <si>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</si>
  <si>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</si>
  <si>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</si>
  <si>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</si>
  <si>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</si>
  <si>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</si>
  <si>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</si>
  <si>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</si>
  <si>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</si>
  <si>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</si>
  <si>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</si>
  <si>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</si>
  <si>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</si>
  <si>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</si>
  <si>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</si>
  <si>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</si>
  <si>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</si>
  <si>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</si>
  <si>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</si>
  <si>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</si>
  <si>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</si>
  <si>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</si>
  <si>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</si>
  <si>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</si>
  <si>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</si>
  <si>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</si>
  <si>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</si>
  <si>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</si>
  <si>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</si>
  <si>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</si>
  <si>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</si>
  <si>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</si>
  <si>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</si>
  <si>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</si>
  <si>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</si>
  <si>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</si>
  <si>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</si>
  <si>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</si>
  <si>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</si>
  <si>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</si>
  <si>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</si>
  <si>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</si>
  <si>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</si>
  <si>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</si>
  <si>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</si>
  <si>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</si>
  <si>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</si>
  <si>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</si>
  <si>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</si>
  <si>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</si>
  <si>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</si>
  <si>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</si>
  <si>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</si>
  <si>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</si>
  <si>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</si>
  <si>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</si>
  <si>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</si>
  <si>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</si>
  <si>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</si>
  <si>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</si>
  <si>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</si>
  <si>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</si>
  <si>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</si>
  <si>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</si>
  <si>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</si>
  <si>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</si>
  <si>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</si>
  <si>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</si>
  <si>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</si>
  <si>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</si>
  <si>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</si>
  <si>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</si>
  <si>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</si>
  <si>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</si>
  <si>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</si>
  <si>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</si>
  <si>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</si>
  <si>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</si>
  <si>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</si>
  <si>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</si>
  <si>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</si>
  <si>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</si>
  <si>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</si>
  <si>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</si>
  <si>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</si>
  <si>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</si>
  <si>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</si>
  <si>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</si>
  <si>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</si>
  <si>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</si>
  <si>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</si>
  <si>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</si>
  <si>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</si>
  <si>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</si>
  <si>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</si>
  <si>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</si>
  <si>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</si>
  <si>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</si>
  <si>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</si>
  <si>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</si>
  <si>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</si>
  <si>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</si>
  <si>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</si>
  <si>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</si>
  <si>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</si>
  <si>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</si>
  <si>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</si>
  <si>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</si>
  <si>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</si>
  <si>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</si>
  <si>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</si>
  <si>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</si>
  <si>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</si>
  <si>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</si>
  <si>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</si>
  <si>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</si>
  <si>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</si>
  <si>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</si>
  <si>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</si>
  <si>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</si>
  <si>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</si>
  <si>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</si>
  <si>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</si>
  <si>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</si>
  <si>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</si>
  <si>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</si>
  <si>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</si>
  <si>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</si>
  <si>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</si>
  <si>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</si>
  <si>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</si>
  <si>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</si>
  <si>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</si>
  <si>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</si>
  <si>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</si>
  <si>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</si>
  <si>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</si>
  <si>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</si>
  <si>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</si>
  <si>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</si>
  <si>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</si>
  <si>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</si>
  <si>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</si>
  <si>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</si>
  <si>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</si>
  <si>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</si>
  <si>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</si>
  <si>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</si>
  <si>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</si>
  <si>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</si>
  <si>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</si>
  <si>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</si>
  <si>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</si>
  <si>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</si>
  <si>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</si>
  <si>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</si>
  <si>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</si>
  <si>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</si>
  <si>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</si>
  <si>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</si>
  <si>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</si>
  <si>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</si>
  <si>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</si>
  <si>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</si>
  <si>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</si>
  <si>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</si>
  <si>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</si>
  <si>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</si>
  <si>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</si>
  <si>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</si>
  <si>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</si>
  <si>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</si>
  <si>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</si>
  <si>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</si>
  <si>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</si>
  <si>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</si>
  <si>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</si>
  <si>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</si>
  <si>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</si>
  <si>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</si>
  <si>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</si>
  <si>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</si>
  <si>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</si>
  <si>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</si>
  <si>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</si>
  <si>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</si>
  <si>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</si>
  <si>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</si>
  <si>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</si>
  <si>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</si>
  <si>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</si>
  <si>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</si>
  <si>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</si>
  <si>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</si>
  <si>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</si>
  <si>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</si>
  <si>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</si>
  <si>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</si>
  <si>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</si>
  <si>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</si>
  <si>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</si>
  <si>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</si>
  <si>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</si>
  <si>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</si>
  <si>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</si>
  <si>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</si>
  <si>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</si>
  <si>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</si>
  <si>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</si>
  <si>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</si>
  <si>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</si>
  <si>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</si>
  <si>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</si>
  <si>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</si>
  <si>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</si>
  <si>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</si>
  <si>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</si>
  <si>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</si>
  <si>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</si>
  <si>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</si>
  <si>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</si>
  <si>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</si>
  <si>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</si>
  <si>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</si>
  <si>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</si>
  <si>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</si>
  <si>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</si>
  <si>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</si>
  <si>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</si>
  <si>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</si>
  <si>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</si>
  <si>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</si>
  <si>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</si>
  <si>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</si>
  <si>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</si>
  <si>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</si>
  <si>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</si>
  <si>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</si>
  <si>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</si>
  <si>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</si>
  <si>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</si>
  <si>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</si>
  <si>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</si>
  <si>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</si>
  <si>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</si>
  <si>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</si>
  <si>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</si>
  <si>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</si>
  <si>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</si>
  <si>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</si>
  <si>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</si>
  <si>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</si>
  <si>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</si>
  <si>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</si>
  <si>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</si>
  <si>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</si>
  <si>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</si>
  <si>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</si>
  <si>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</si>
  <si>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</si>
  <si>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</si>
  <si>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</si>
  <si>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</si>
  <si>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</si>
  <si>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</si>
  <si>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</si>
  <si>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</si>
  <si>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</si>
  <si>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</si>
  <si>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</si>
  <si>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</si>
  <si>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</si>
  <si>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</si>
  <si>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</si>
  <si>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</si>
  <si>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</si>
  <si>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</si>
  <si>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</si>
  <si>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</si>
  <si>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</si>
  <si>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</si>
  <si>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</si>
  <si>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</si>
  <si>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</si>
  <si>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</si>
  <si>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</si>
  <si>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</si>
  <si>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</si>
  <si>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</si>
  <si>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</si>
  <si>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</si>
  <si>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</si>
  <si>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</si>
  <si>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</si>
  <si>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</si>
  <si>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</si>
  <si>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</si>
  <si>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</si>
  <si>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</si>
  <si>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</si>
  <si>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</si>
  <si>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</si>
  <si>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</si>
  <si>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</si>
  <si>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</si>
  <si>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</si>
  <si>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</si>
  <si>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</si>
  <si>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</si>
  <si>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</si>
  <si>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</si>
  <si>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</si>
  <si>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</si>
  <si>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</si>
  <si>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</si>
  <si>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</si>
  <si>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</si>
  <si>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</si>
  <si>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</si>
  <si>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</si>
  <si>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</si>
  <si>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</si>
  <si>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</si>
  <si>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</si>
  <si>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</si>
  <si>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</si>
  <si>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</si>
  <si>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</si>
  <si>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</si>
  <si>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</si>
  <si>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</si>
  <si>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</si>
  <si>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</si>
  <si>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</si>
  <si>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</si>
  <si>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</si>
  <si>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</si>
  <si>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</si>
  <si>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</si>
  <si>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</si>
  <si>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</si>
  <si>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</si>
  <si>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</si>
  <si>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</si>
  <si>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</si>
  <si>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</si>
  <si>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</si>
  <si>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</si>
  <si>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</si>
  <si>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</si>
  <si>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</si>
  <si>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</si>
  <si>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</si>
  <si>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</si>
  <si>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</si>
  <si>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</si>
  <si>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</si>
  <si>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</si>
  <si>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</si>
  <si>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</si>
  <si>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</si>
  <si>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</si>
  <si>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</si>
  <si>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</si>
  <si>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</si>
  <si>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</si>
  <si>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</si>
  <si>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</si>
  <si>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</si>
  <si>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</si>
  <si>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</si>
  <si>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</si>
  <si>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</si>
  <si>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</si>
  <si>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</si>
  <si>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</si>
  <si>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</si>
  <si>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</si>
  <si>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</si>
  <si>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</si>
  <si>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</si>
  <si>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</si>
  <si>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</si>
  <si>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</si>
  <si>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</si>
  <si>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</si>
  <si>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</si>
  <si>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</si>
  <si>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</si>
  <si>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</si>
  <si>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</si>
  <si>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</si>
  <si>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</si>
  <si>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</si>
  <si>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</si>
  <si>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</si>
  <si>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</si>
  <si>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</si>
  <si>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</si>
  <si>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</si>
  <si>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</si>
  <si>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</si>
  <si>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</si>
  <si>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</si>
  <si>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</si>
  <si>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</si>
  <si>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</si>
  <si>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</si>
  <si>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</si>
  <si>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</si>
  <si>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</si>
  <si>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</si>
  <si>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</si>
  <si>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</si>
  <si>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</si>
  <si>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</si>
  <si>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</si>
  <si>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</si>
  <si>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</si>
  <si>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</si>
  <si>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</si>
  <si>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</si>
  <si>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</si>
  <si>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</si>
  <si>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</si>
  <si>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</si>
  <si>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</si>
  <si>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</si>
  <si>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</si>
  <si>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</si>
  <si>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</si>
  <si>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</si>
  <si>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</si>
  <si>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</si>
  <si>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</si>
  <si>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</si>
  <si>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</si>
  <si>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</si>
  <si>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</si>
  <si>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</si>
  <si>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</si>
  <si>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</si>
  <si>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</si>
  <si>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</si>
  <si>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</si>
  <si>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</si>
  <si>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</si>
  <si>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</si>
  <si>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</si>
  <si>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</si>
  <si>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</si>
  <si>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</si>
  <si>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</si>
  <si>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</si>
  <si>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</si>
  <si>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</si>
  <si>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</si>
  <si>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</si>
  <si>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</si>
  <si>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</si>
  <si>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</si>
  <si>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</si>
  <si>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</si>
  <si>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</si>
  <si>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</si>
  <si>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</si>
  <si>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</si>
  <si>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</si>
  <si>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</si>
  <si>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</si>
  <si>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</si>
  <si>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</si>
  <si>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</si>
  <si>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</si>
  <si>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</si>
  <si>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</si>
  <si>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</si>
  <si>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</si>
  <si>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</si>
  <si>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</si>
  <si>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</si>
  <si>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</si>
  <si>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</si>
  <si>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</si>
  <si>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</si>
  <si>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</si>
  <si>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</si>
  <si>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</si>
  <si>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</si>
  <si>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</si>
  <si>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</si>
  <si>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</si>
  <si>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</si>
  <si>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</si>
  <si>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</si>
  <si>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</si>
  <si>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</si>
  <si>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</si>
  <si>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</si>
  <si>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</si>
  <si>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</si>
  <si>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</si>
  <si>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</si>
  <si>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</si>
  <si>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</si>
  <si>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</si>
  <si>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</si>
  <si>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</si>
  <si>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</si>
  <si>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</si>
  <si>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</si>
  <si>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</si>
  <si>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</si>
  <si>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</si>
  <si>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</si>
  <si>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</si>
  <si>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</si>
  <si>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</si>
  <si>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</si>
  <si>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</si>
  <si>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</si>
  <si>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</si>
  <si>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</si>
  <si>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</si>
  <si>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</si>
  <si>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</si>
  <si>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</si>
  <si>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</si>
  <si>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</si>
  <si>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</si>
  <si>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</si>
  <si>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</si>
  <si>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</si>
  <si>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</si>
  <si>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</si>
  <si>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</si>
  <si>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</si>
  <si>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</si>
  <si>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</si>
  <si>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</si>
  <si>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</si>
  <si>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</si>
  <si>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</si>
  <si>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</si>
  <si>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</si>
  <si>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</si>
  <si>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</si>
  <si>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</si>
  <si>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</si>
  <si>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</si>
  <si>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</si>
  <si>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</si>
  <si>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</si>
  <si>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</si>
  <si>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</si>
  <si>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</si>
  <si>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</si>
  <si>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</si>
  <si>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</si>
  <si>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</si>
  <si>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</si>
  <si>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</si>
  <si>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</si>
  <si>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</si>
  <si>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</si>
  <si>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</si>
  <si>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</si>
  <si>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</si>
  <si>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</si>
  <si>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</si>
  <si>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</si>
  <si>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</si>
  <si>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</si>
  <si>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</si>
  <si>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</si>
  <si>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</si>
  <si>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</si>
  <si>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</si>
  <si>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</si>
  <si>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</si>
  <si>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</si>
  <si>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</si>
  <si>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</si>
  <si>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</si>
  <si>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</si>
  <si>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</si>
  <si>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</si>
  <si>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</si>
  <si>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</si>
  <si>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</si>
  <si>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</si>
  <si>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</si>
  <si>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</si>
  <si>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</si>
  <si>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</si>
  <si>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</si>
  <si>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</si>
  <si>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</si>
  <si>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</si>
  <si>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</si>
  <si>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</si>
  <si>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</si>
  <si>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</si>
  <si>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</si>
  <si>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</si>
  <si>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</si>
  <si>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</si>
  <si>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</si>
  <si>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</si>
  <si>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</si>
  <si>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</si>
  <si>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</si>
  <si>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</si>
  <si>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</si>
  <si>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</si>
  <si>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</si>
  <si>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</si>
  <si>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</si>
  <si>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</si>
  <si>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</si>
  <si>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</si>
  <si>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</si>
  <si>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</si>
  <si>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</si>
  <si>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</si>
  <si>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</si>
  <si>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</si>
  <si>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</si>
  <si>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</si>
  <si>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</si>
  <si>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</si>
  <si>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</si>
  <si>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</si>
  <si>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</si>
  <si>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</si>
  <si>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</si>
  <si>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</si>
  <si>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</si>
  <si>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</si>
  <si>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</si>
  <si>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</si>
  <si>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</si>
  <si>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</si>
  <si>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</si>
  <si>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</si>
  <si>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</si>
  <si>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</si>
  <si>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</si>
  <si>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</si>
  <si>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</si>
  <si>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</si>
  <si>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</si>
  <si>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</si>
  <si>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</si>
  <si>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</si>
  <si>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</si>
  <si>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</si>
  <si>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</si>
  <si>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</si>
  <si>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</si>
  <si>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</si>
  <si>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</si>
  <si>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</si>
  <si>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</si>
  <si>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</si>
  <si>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</si>
  <si>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</si>
  <si>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</si>
  <si>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</si>
  <si>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</si>
  <si>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</si>
  <si>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</si>
  <si>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</si>
  <si>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</si>
  <si>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</si>
  <si>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</si>
  <si>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</si>
  <si>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</si>
  <si>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</si>
  <si>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</si>
  <si>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</si>
  <si>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</si>
  <si>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</si>
  <si>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</si>
  <si>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</si>
  <si>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</si>
  <si>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</si>
  <si>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</si>
  <si>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</si>
  <si>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</si>
  <si>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</si>
  <si>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</si>
  <si>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</si>
  <si>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</si>
  <si>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</si>
  <si>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</si>
  <si>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</si>
  <si>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</si>
  <si>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</si>
  <si>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</si>
  <si>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</si>
  <si>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</si>
  <si>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</si>
  <si>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</si>
  <si>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</si>
  <si>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</si>
  <si>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</si>
  <si>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</si>
  <si>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</si>
  <si>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</si>
  <si>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</si>
  <si>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</si>
  <si>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</si>
  <si>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</si>
  <si>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</si>
  <si>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</si>
  <si>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</si>
  <si>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</si>
  <si>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</si>
  <si>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</si>
  <si>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</si>
  <si>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</si>
  <si>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</si>
  <si>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</si>
  <si>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</si>
  <si>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</si>
  <si>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</si>
  <si>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</si>
  <si>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</si>
  <si>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</si>
  <si>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</si>
  <si>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</si>
  <si>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</si>
  <si>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</si>
  <si>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</si>
  <si>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</si>
  <si>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</si>
  <si>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</si>
  <si>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</si>
  <si>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</si>
  <si>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</si>
  <si>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</si>
  <si>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</si>
  <si>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</si>
  <si>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</si>
  <si>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</si>
  <si>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</si>
  <si>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</si>
  <si>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</si>
  <si>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</si>
  <si>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</si>
  <si>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</si>
  <si>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</si>
  <si>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</si>
  <si>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</si>
  <si>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</si>
  <si>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</si>
  <si>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</si>
  <si>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</si>
  <si>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</si>
  <si>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</si>
  <si>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</si>
  <si>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</si>
  <si>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</si>
  <si>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</si>
  <si>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</si>
  <si>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</si>
  <si>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</si>
  <si>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</si>
  <si>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</si>
  <si>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</si>
  <si>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</si>
  <si>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</si>
  <si>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</si>
  <si>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</si>
  <si>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</si>
  <si>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</si>
  <si>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</si>
  <si>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</si>
  <si>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</si>
  <si>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</si>
  <si>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</si>
  <si>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</si>
  <si>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</si>
  <si>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</si>
  <si>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</si>
  <si>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</si>
  <si>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</si>
  <si>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</si>
  <si>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</si>
  <si>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</si>
  <si>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</si>
  <si>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</si>
  <si>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</si>
  <si>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</si>
  <si>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</si>
  <si>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</si>
  <si>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</si>
  <si>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</si>
  <si>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</si>
  <si>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</si>
  <si>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</si>
  <si>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</si>
  <si>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</si>
  <si>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</si>
  <si>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</si>
  <si>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</si>
  <si>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</si>
  <si>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</si>
  <si>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</si>
  <si>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</si>
  <si>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</si>
  <si>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</si>
  <si>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</si>
  <si>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</si>
  <si>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</si>
  <si>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</si>
  <si>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</si>
  <si>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</si>
  <si>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</si>
  <si>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</si>
  <si>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</si>
  <si>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</si>
  <si>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</si>
  <si>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</si>
  <si>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</si>
  <si>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</si>
  <si>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</si>
  <si>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</si>
  <si>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</si>
  <si>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</si>
  <si>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</si>
  <si>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</si>
  <si>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</si>
  <si>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</si>
  <si>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</si>
  <si>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</si>
  <si>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</si>
  <si>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</si>
  <si>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</si>
  <si>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</si>
  <si>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</si>
  <si>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</si>
  <si>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</si>
  <si>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</si>
  <si>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</si>
  <si>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</si>
  <si>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</si>
  <si>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</si>
  <si>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</si>
  <si>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</si>
  <si>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</si>
  <si>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</si>
  <si>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</si>
  <si>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</si>
  <si>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</si>
  <si>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</si>
  <si>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</si>
  <si>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</si>
  <si>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</si>
  <si>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</si>
  <si>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</si>
  <si>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</si>
  <si>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</si>
  <si>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</si>
  <si>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</si>
  <si>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</si>
  <si>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</si>
  <si>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</si>
  <si>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</si>
  <si>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</si>
  <si>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</si>
  <si>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</si>
  <si>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</si>
  <si>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</si>
  <si>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</si>
  <si>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</si>
  <si>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</si>
  <si>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</si>
  <si>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</si>
  <si>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</si>
  <si>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</si>
  <si>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</si>
  <si>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</si>
  <si>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</si>
  <si>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</si>
  <si>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</si>
  <si>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</si>
  <si>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</si>
  <si>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</si>
  <si>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</si>
  <si>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</si>
  <si>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</si>
  <si>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</si>
  <si>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</si>
  <si>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</si>
  <si>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</si>
  <si>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</si>
  <si>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</si>
  <si>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</si>
  <si>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</si>
  <si>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</si>
  <si>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</si>
  <si>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</si>
  <si>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</si>
  <si>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</si>
  <si>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</si>
  <si>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</si>
  <si>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</si>
  <si>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</si>
  <si>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</si>
  <si>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</si>
  <si>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</si>
  <si>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</si>
  <si>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</si>
  <si>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</si>
  <si>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</si>
  <si>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</si>
  <si>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</si>
  <si>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</si>
  <si>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</si>
  <si>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</si>
  <si>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</si>
  <si>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</si>
  <si>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</si>
  <si>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</si>
  <si>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</si>
  <si>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</si>
  <si>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</si>
  <si>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</si>
  <si>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</si>
  <si>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</si>
  <si>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</si>
  <si>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</si>
  <si>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</si>
  <si>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</si>
  <si>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</si>
  <si>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</si>
  <si>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</si>
  <si>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</si>
  <si>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</si>
  <si>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</si>
  <si>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</si>
  <si>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</si>
  <si>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</si>
  <si>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</si>
  <si>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</si>
  <si>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</si>
  <si>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</si>
  <si>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</si>
  <si>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</si>
  <si>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</si>
  <si>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</si>
  <si>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</si>
  <si>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</si>
  <si>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</si>
  <si>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</si>
  <si>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</si>
  <si>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</si>
  <si>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</si>
  <si>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</si>
  <si>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</si>
  <si>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</si>
  <si>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</si>
  <si>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</si>
  <si>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</si>
  <si>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</si>
  <si>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</si>
  <si>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</si>
  <si>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</si>
  <si>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</si>
  <si>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</si>
  <si>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</si>
  <si>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</si>
  <si>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</si>
  <si>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</si>
  <si>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</si>
  <si>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</si>
  <si>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</si>
  <si>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</si>
  <si>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</si>
  <si>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</si>
  <si>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</si>
  <si>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</si>
  <si>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</si>
  <si>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</si>
  <si>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</si>
  <si>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</si>
  <si>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</si>
  <si>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</si>
  <si>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</si>
  <si>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</si>
  <si>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</si>
  <si>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</si>
  <si>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</si>
  <si>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</si>
  <si>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</si>
  <si>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</si>
  <si>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</si>
  <si>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</si>
  <si>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</si>
  <si>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</si>
  <si>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</si>
  <si>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</si>
  <si>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</si>
  <si>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</si>
  <si>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</si>
  <si>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</si>
  <si>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</si>
  <si>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</si>
  <si>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</si>
  <si>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</si>
  <si>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</si>
  <si>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</si>
  <si>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</si>
  <si>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</si>
  <si>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</si>
  <si>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</si>
  <si>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</si>
  <si>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</si>
  <si>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</si>
  <si>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</si>
  <si>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</si>
  <si>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</si>
  <si>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</si>
  <si>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</si>
  <si>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</si>
  <si>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</si>
  <si>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</si>
  <si>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</si>
  <si>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</si>
  <si>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</si>
  <si>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</si>
  <si>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</si>
  <si>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</si>
  <si>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</si>
  <si>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</si>
  <si>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</si>
  <si>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</si>
  <si>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</si>
  <si>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</si>
  <si>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</si>
  <si>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</si>
  <si>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</si>
  <si>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</si>
  <si>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</si>
  <si>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</si>
  <si>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</si>
  <si>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</si>
  <si>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</si>
  <si>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</si>
  <si>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</si>
  <si>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</si>
  <si>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</si>
  <si>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</si>
  <si>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</si>
  <si>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</si>
  <si>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</si>
  <si>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</si>
  <si>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</si>
  <si>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</si>
  <si>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</si>
  <si>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</si>
  <si>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</si>
  <si>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</si>
  <si>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</si>
  <si>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</si>
  <si>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</si>
  <si>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</si>
  <si>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</si>
  <si>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</si>
  <si>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</si>
  <si>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</si>
  <si>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</si>
  <si>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</si>
  <si>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</si>
  <si>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</si>
  <si>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</si>
  <si>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</si>
  <si>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</si>
  <si>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</si>
  <si>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</si>
  <si>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</si>
  <si>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</si>
  <si>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</si>
  <si>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</si>
  <si>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</si>
  <si>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</si>
  <si>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</si>
  <si>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</si>
  <si>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</si>
  <si>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</si>
  <si>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</si>
  <si>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</si>
  <si>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</si>
  <si>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</si>
  <si>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</si>
  <si>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</si>
  <si>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</si>
  <si>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</si>
  <si>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</si>
  <si>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</si>
  <si>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</si>
  <si>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</si>
  <si>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</si>
  <si>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</si>
  <si>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</si>
  <si>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</si>
  <si>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</si>
  <si>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</si>
  <si>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</si>
  <si>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</si>
  <si>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</si>
  <si>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</si>
  <si>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</si>
  <si>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</si>
  <si>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</si>
  <si>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</si>
  <si>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</si>
  <si>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</si>
  <si>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</si>
  <si>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</si>
  <si>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</si>
  <si>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</si>
  <si>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</si>
  <si>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</si>
  <si>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</si>
  <si>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</si>
  <si>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</si>
  <si>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</si>
  <si>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</si>
  <si>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</si>
  <si>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</si>
  <si>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</si>
  <si>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</si>
  <si>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</si>
  <si>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</si>
  <si>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</si>
  <si>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</si>
  <si>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</si>
  <si>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</si>
  <si>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</si>
  <si>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</si>
  <si>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</si>
  <si>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</si>
  <si>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</si>
  <si>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</si>
  <si>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</si>
  <si>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</si>
  <si>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</si>
  <si>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</si>
  <si>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</si>
  <si>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</si>
  <si>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</si>
  <si>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</si>
  <si>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</si>
  <si>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</si>
  <si>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</si>
  <si>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</si>
  <si>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</si>
  <si>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</si>
  <si>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</si>
  <si>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</si>
  <si>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</si>
  <si>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</si>
  <si>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</si>
  <si>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</si>
  <si>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</si>
  <si>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</si>
  <si>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</si>
  <si>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</si>
  <si>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</si>
  <si>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</si>
  <si>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</si>
  <si>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</si>
  <si>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</si>
  <si>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</si>
  <si>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</si>
  <si>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</si>
  <si>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</si>
  <si>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</si>
  <si>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</si>
  <si>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</si>
  <si>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</si>
  <si>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</si>
  <si>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</si>
  <si>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</si>
  <si>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</si>
  <si>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</si>
  <si>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</si>
  <si>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</si>
  <si>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</si>
  <si>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</si>
  <si>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</si>
  <si>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</si>
  <si>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</si>
  <si>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</si>
  <si>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</si>
  <si>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</si>
  <si>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</si>
  <si>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</si>
  <si>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</si>
  <si>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</si>
  <si>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</si>
  <si>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</si>
  <si>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</si>
  <si>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</si>
  <si>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</si>
  <si>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</si>
  <si>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</si>
  <si>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</si>
  <si>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</si>
  <si>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</si>
  <si>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</si>
  <si>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</si>
  <si>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</si>
  <si>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</si>
  <si>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</si>
  <si>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</si>
  <si>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</si>
  <si>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</si>
  <si>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</si>
  <si>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</si>
  <si>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</si>
  <si>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</si>
  <si>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</si>
  <si>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</si>
  <si>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</si>
  <si>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</si>
  <si>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</si>
  <si>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</si>
  <si>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</si>
  <si>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</si>
  <si>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</si>
  <si>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</si>
  <si>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</si>
  <si>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</si>
  <si>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</si>
  <si>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</si>
  <si>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</si>
  <si>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</si>
  <si>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</si>
  <si>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</si>
  <si>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</si>
  <si>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</si>
  <si>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</si>
  <si>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</si>
  <si>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</si>
  <si>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</si>
  <si>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</si>
  <si>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</si>
  <si>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</si>
  <si>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</si>
  <si>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</si>
  <si>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</si>
  <si>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</si>
  <si>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</si>
  <si>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</si>
  <si>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</si>
  <si>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</si>
  <si>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</si>
  <si>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</si>
  <si>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</si>
  <si>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</si>
  <si>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</si>
  <si>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</si>
  <si>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</si>
  <si>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</si>
  <si>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</si>
  <si>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</si>
  <si>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</si>
  <si>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</si>
  <si>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</si>
  <si>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</si>
  <si>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</si>
  <si>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</si>
  <si>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</si>
  <si>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</si>
  <si>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</si>
  <si>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</si>
  <si>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</si>
  <si>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</si>
  <si>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</si>
  <si>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</si>
  <si>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</si>
  <si>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</si>
  <si>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</si>
  <si>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</si>
  <si>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</si>
  <si>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</si>
  <si>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</si>
  <si>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</si>
  <si>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</si>
  <si>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</si>
  <si>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</si>
  <si>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</si>
  <si>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</si>
  <si>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</si>
  <si>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</si>
  <si>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</si>
  <si>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</si>
  <si>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</si>
  <si>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</si>
  <si>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</si>
  <si>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</si>
  <si>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</si>
  <si>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</si>
  <si>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</si>
  <si>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</si>
  <si>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</si>
  <si>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</si>
  <si>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</si>
  <si>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</si>
  <si>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</si>
  <si>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</si>
  <si>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</si>
  <si>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</si>
  <si>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</si>
  <si>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</si>
  <si>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</si>
  <si>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</si>
  <si>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</si>
  <si>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</si>
  <si>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</si>
  <si>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</si>
  <si>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</si>
  <si>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</si>
  <si>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</si>
  <si>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</si>
  <si>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</si>
  <si>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</si>
  <si>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</si>
  <si>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</si>
  <si>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</si>
  <si>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</si>
  <si>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</si>
  <si>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</si>
  <si>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</si>
  <si>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</si>
  <si>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</si>
  <si>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</si>
  <si>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</si>
  <si>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</si>
  <si>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</si>
  <si>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</si>
  <si>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</si>
  <si>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</si>
  <si>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</si>
  <si>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</si>
  <si>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</si>
  <si>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</si>
  <si>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</si>
  <si>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</si>
  <si>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</si>
  <si>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</si>
  <si>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</si>
  <si>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</si>
  <si>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</si>
  <si>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</si>
  <si>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</si>
  <si>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</si>
  <si>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</si>
  <si>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</si>
  <si>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</si>
  <si>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</si>
  <si>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</si>
  <si>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</si>
  <si>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</si>
  <si>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</si>
  <si>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</si>
  <si>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</si>
  <si>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</si>
  <si>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</si>
  <si>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</si>
  <si>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</si>
  <si>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</si>
  <si>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</si>
  <si>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</si>
  <si>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</si>
  <si>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</si>
  <si>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</si>
  <si>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</si>
  <si>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</si>
  <si>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</si>
  <si>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</si>
  <si>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</si>
  <si>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</si>
  <si>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</si>
  <si>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</si>
  <si>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</si>
  <si>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</si>
  <si>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</si>
  <si>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</si>
  <si>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</si>
  <si>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</si>
  <si>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</si>
  <si>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</si>
  <si>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</si>
  <si>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</si>
  <si>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</si>
  <si>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</si>
  <si>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</si>
  <si>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</si>
  <si>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</si>
  <si>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</si>
  <si>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</si>
  <si>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</si>
  <si>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</si>
  <si>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</si>
  <si>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</si>
  <si>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</si>
  <si>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</si>
  <si>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</si>
  <si>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</si>
  <si>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</si>
  <si>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</si>
  <si>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</si>
  <si>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</si>
  <si>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</si>
  <si>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</si>
  <si>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</si>
  <si>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</si>
  <si>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</si>
  <si>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</si>
  <si>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</si>
  <si>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</si>
  <si>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</si>
  <si>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</si>
  <si>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</si>
  <si>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</si>
  <si>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</si>
  <si>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</si>
  <si>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</si>
  <si>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</si>
  <si>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</si>
  <si>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</si>
  <si>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</si>
  <si>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</si>
  <si>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</si>
  <si>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</si>
  <si>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</si>
  <si>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</si>
  <si>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</si>
  <si>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</si>
  <si>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</si>
  <si>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</si>
  <si>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</si>
  <si>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</si>
  <si>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</si>
  <si>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</si>
  <si>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</si>
  <si>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</si>
  <si>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</si>
  <si>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</si>
  <si>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</si>
  <si>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</si>
  <si>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</si>
  <si>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</si>
  <si>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</si>
  <si>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</si>
  <si>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</si>
  <si>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</si>
  <si>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</si>
  <si>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</si>
  <si>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</si>
  <si>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</si>
  <si>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</si>
  <si>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</si>
  <si>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</si>
  <si>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</si>
  <si>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</si>
  <si>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</si>
  <si>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</si>
  <si>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</si>
  <si>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</si>
  <si>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</si>
  <si>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</si>
  <si>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</si>
  <si>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</si>
  <si>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</si>
  <si>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</si>
  <si>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</si>
  <si>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</si>
  <si>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</si>
  <si>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</si>
  <si>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</si>
  <si>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</si>
  <si>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</si>
  <si>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</si>
  <si>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</si>
  <si>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</si>
  <si>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</si>
  <si>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</si>
  <si>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</si>
  <si>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</si>
  <si>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</si>
  <si>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</si>
  <si>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</si>
  <si>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</si>
  <si>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</si>
  <si>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</si>
  <si>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</si>
  <si>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</si>
  <si>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</si>
  <si>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</si>
  <si>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</si>
  <si>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</si>
  <si>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</si>
  <si>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</si>
  <si>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</si>
  <si>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</si>
  <si>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</si>
  <si>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</si>
  <si>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</si>
  <si>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</si>
  <si>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</si>
  <si>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</si>
  <si>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</si>
  <si>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</si>
  <si>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</si>
  <si>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</si>
  <si>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</si>
  <si>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</si>
  <si>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</si>
  <si>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</si>
  <si>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</si>
  <si>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</si>
  <si>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</si>
  <si>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</si>
  <si>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</si>
  <si>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</si>
  <si>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</si>
  <si>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</si>
  <si>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</si>
  <si>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</si>
  <si>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</si>
  <si>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</si>
  <si>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</si>
  <si>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</si>
  <si>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</si>
  <si>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</si>
  <si>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</si>
  <si>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</si>
  <si>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</si>
  <si>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</si>
  <si>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</si>
  <si>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</si>
  <si>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</si>
  <si>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</si>
  <si>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</si>
  <si>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</si>
  <si>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</si>
  <si>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</si>
  <si>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</si>
  <si>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</si>
  <si>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</si>
  <si>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</si>
  <si>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</si>
  <si>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</si>
  <si>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</si>
  <si>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</si>
  <si>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</si>
  <si>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</si>
  <si>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</si>
  <si>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</si>
  <si>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</si>
  <si>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</si>
  <si>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</si>
  <si>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</si>
  <si>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</si>
  <si>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</si>
  <si>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</si>
  <si>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</si>
  <si>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</si>
  <si>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</si>
  <si>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</si>
  <si>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</si>
  <si>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</si>
  <si>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</si>
  <si>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</si>
  <si>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</si>
  <si>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</si>
  <si>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</si>
  <si>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</si>
  <si>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</si>
  <si>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</si>
  <si>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</si>
  <si>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</si>
  <si>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</si>
  <si>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</si>
  <si>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</si>
  <si>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</si>
  <si>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</si>
  <si>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</si>
  <si>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</si>
  <si>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</si>
  <si>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</si>
  <si>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</si>
  <si>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</si>
  <si>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</si>
  <si>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</si>
  <si>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</si>
  <si>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</si>
  <si>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</si>
  <si>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</si>
  <si>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</si>
  <si>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</si>
  <si>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</si>
  <si>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</si>
  <si>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</si>
  <si>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</si>
  <si>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</si>
  <si>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</si>
  <si>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</si>
  <si>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</si>
  <si>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</si>
  <si>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</si>
  <si>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</si>
  <si>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</si>
  <si>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</si>
  <si>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</si>
  <si>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</si>
  <si>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</si>
  <si>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</si>
  <si>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</si>
  <si>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</si>
  <si>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</si>
  <si>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</si>
  <si>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</si>
  <si>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</si>
  <si>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</si>
  <si>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</si>
  <si>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</si>
  <si>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</si>
  <si>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</si>
  <si>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</si>
  <si>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</si>
  <si>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</si>
  <si>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</si>
  <si>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</si>
  <si>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</si>
  <si>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</si>
  <si>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</si>
  <si>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</si>
  <si>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</si>
  <si>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</si>
  <si>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</si>
  <si>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</si>
  <si>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</si>
  <si>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</si>
  <si>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</si>
  <si>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</si>
  <si>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</si>
  <si>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</si>
  <si>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</si>
  <si>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</si>
  <si>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</si>
  <si>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</si>
  <si>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</si>
  <si>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</si>
  <si>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</si>
  <si>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</si>
  <si>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</si>
  <si>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</si>
  <si>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</si>
  <si>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</si>
  <si>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</si>
  <si>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</si>
  <si>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</si>
  <si>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</si>
  <si>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</si>
  <si>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</si>
  <si>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</si>
  <si>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</si>
  <si>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</si>
  <si>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</si>
  <si>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</si>
  <si>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</si>
  <si>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</si>
  <si>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</si>
  <si>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</si>
  <si>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</si>
  <si>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</si>
  <si>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</si>
  <si>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</si>
  <si>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</si>
  <si>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</si>
  <si>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</si>
  <si>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</si>
  <si>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</si>
  <si>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</si>
  <si>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</si>
  <si>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</si>
  <si>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</si>
  <si>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</si>
  <si>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</si>
  <si>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</si>
  <si>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</si>
  <si>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</si>
  <si>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</si>
  <si>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</si>
  <si>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</si>
  <si>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</si>
  <si>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</si>
  <si>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</si>
  <si>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</si>
  <si>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</si>
  <si>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</si>
  <si>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</si>
  <si>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</si>
  <si>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</si>
  <si>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</si>
  <si>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</si>
  <si>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</si>
  <si>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</si>
  <si>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</si>
  <si>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</si>
  <si>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</si>
  <si>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</si>
  <si>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</si>
  <si>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</si>
  <si>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</si>
  <si>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</si>
  <si>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</si>
  <si>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</si>
  <si>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</si>
  <si>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</si>
  <si>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</si>
  <si>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</si>
  <si>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</si>
  <si>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</si>
  <si>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</si>
  <si>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</si>
  <si>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</si>
  <si>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</si>
  <si>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</si>
  <si>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</si>
  <si>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</si>
  <si>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</si>
  <si>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</si>
  <si>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</si>
  <si>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</si>
  <si>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</si>
  <si>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</si>
  <si>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</si>
  <si>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</si>
  <si>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</si>
  <si>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</si>
  <si>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</si>
  <si>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</si>
  <si>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</si>
  <si>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</si>
  <si>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</si>
  <si>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</si>
  <si>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</si>
  <si>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</si>
  <si>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</si>
  <si>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</si>
  <si>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</si>
  <si>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</si>
  <si>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</si>
  <si>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</si>
  <si>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</si>
  <si>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</si>
  <si>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</si>
  <si>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</si>
  <si>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</si>
  <si>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</si>
  <si>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</si>
  <si>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</si>
  <si>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</si>
  <si>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</si>
  <si>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</si>
  <si>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</si>
  <si>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</si>
  <si>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</si>
  <si>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</si>
  <si>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</si>
  <si>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</si>
  <si>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</si>
  <si>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</si>
  <si>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</si>
  <si>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</si>
  <si>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</si>
  <si>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</si>
  <si>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</si>
  <si>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</si>
  <si>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</si>
  <si>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</si>
  <si>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</si>
  <si>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</si>
  <si>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</si>
  <si>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</si>
  <si>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</si>
  <si>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</si>
  <si>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</si>
  <si>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</si>
  <si>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</si>
  <si>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</si>
  <si>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</si>
  <si>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</si>
  <si>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</si>
  <si>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</si>
  <si>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</si>
  <si>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</si>
  <si>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</si>
  <si>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</si>
  <si>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</si>
  <si>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</si>
  <si>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</si>
  <si>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</si>
  <si>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</si>
  <si>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</si>
  <si>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</si>
  <si>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</si>
  <si>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</si>
  <si>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</si>
  <si>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</si>
  <si>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</si>
  <si>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</si>
  <si>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</si>
  <si>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</si>
  <si>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</si>
  <si>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</si>
  <si>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</si>
  <si>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</si>
  <si>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</si>
  <si>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</si>
  <si>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</si>
  <si>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</si>
  <si>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</si>
  <si>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</si>
  <si>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</si>
  <si>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</si>
  <si>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</si>
  <si>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</si>
  <si>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</si>
  <si>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</si>
  <si>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</si>
  <si>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</si>
  <si>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</si>
  <si>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</si>
  <si>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</si>
  <si>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</si>
  <si>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</si>
  <si>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</si>
  <si>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</si>
  <si>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</si>
  <si>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</si>
  <si>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</si>
  <si>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</si>
  <si>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</si>
  <si>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</si>
  <si>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</si>
  <si>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</si>
  <si>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</si>
  <si>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</si>
  <si>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</si>
  <si>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</si>
  <si>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</si>
  <si>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</si>
  <si>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</si>
  <si>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</si>
  <si>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</si>
  <si>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</si>
  <si>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</si>
  <si>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</si>
  <si>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</si>
  <si>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</si>
  <si>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</si>
  <si>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</si>
  <si>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</si>
  <si>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</si>
  <si>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</si>
  <si>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</si>
  <si>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</si>
  <si>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</si>
  <si>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</si>
  <si>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</si>
  <si>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</si>
  <si>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</si>
  <si>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</si>
  <si>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</si>
  <si>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</si>
  <si>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</si>
  <si>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</si>
  <si>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</si>
  <si>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</si>
  <si>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</si>
  <si>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</si>
  <si>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</si>
  <si>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</si>
  <si>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</si>
  <si>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</si>
  <si>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</si>
  <si>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</si>
  <si>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</si>
  <si>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</si>
  <si>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</si>
  <si>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</si>
  <si>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</si>
  <si>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</si>
  <si>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</si>
  <si>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</si>
  <si>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</si>
  <si>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</si>
  <si>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</si>
  <si>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</si>
  <si>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</si>
  <si>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</si>
  <si>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</si>
  <si>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</si>
  <si>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</si>
  <si>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</si>
  <si>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</si>
  <si>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</si>
  <si>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</si>
  <si>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</si>
  <si>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</si>
  <si>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</si>
  <si>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</si>
  <si>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</si>
  <si>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</si>
  <si>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</si>
  <si>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</si>
  <si>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</si>
  <si>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</si>
  <si>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</si>
  <si>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</si>
  <si>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</si>
  <si>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</si>
  <si>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</si>
  <si>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</si>
  <si>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</si>
  <si>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</si>
  <si>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</si>
  <si>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</si>
  <si>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</si>
  <si>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</si>
  <si>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</si>
  <si>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</si>
  <si>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</si>
  <si>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</si>
  <si>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</si>
  <si>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</si>
  <si>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</si>
  <si>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</si>
  <si>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</si>
  <si>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</si>
  <si>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</si>
  <si>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</si>
  <si>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</si>
  <si>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</si>
  <si>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</si>
  <si>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</si>
  <si>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</si>
  <si>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</si>
  <si>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</si>
  <si>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</si>
  <si>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</si>
  <si>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</si>
  <si>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</si>
  <si>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</si>
  <si>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</si>
  <si>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</si>
  <si>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</si>
  <si>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</si>
  <si>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</si>
  <si>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</si>
  <si>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</si>
  <si>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</si>
  <si>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</si>
  <si>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</si>
  <si>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</si>
  <si>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</si>
  <si>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</si>
  <si>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</si>
  <si>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</si>
  <si>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</si>
  <si>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</si>
  <si>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</si>
  <si>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</si>
  <si>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</si>
  <si>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</si>
  <si>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</si>
  <si>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</si>
  <si>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</si>
  <si>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</si>
  <si>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</si>
  <si>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</si>
  <si>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</si>
  <si>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</si>
  <si>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</si>
  <si>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</si>
  <si>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</si>
  <si>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</si>
  <si>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</si>
  <si>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</si>
  <si>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</si>
  <si>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</si>
  <si>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</si>
  <si>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</si>
  <si>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</si>
  <si>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</si>
  <si>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</si>
  <si>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</si>
  <si>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</si>
  <si>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</si>
  <si>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</si>
  <si>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</si>
  <si>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</si>
  <si>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</si>
  <si>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</si>
  <si>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</si>
  <si>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</si>
  <si>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</si>
  <si>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</si>
  <si>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</si>
  <si>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</si>
  <si>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</si>
  <si>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</si>
  <si>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</si>
  <si>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</si>
  <si>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</si>
  <si>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</si>
  <si>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</si>
  <si>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</si>
  <si>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</si>
  <si>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</si>
  <si>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</si>
  <si>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</si>
  <si>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</si>
  <si>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</si>
  <si>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</si>
  <si>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</si>
  <si>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</si>
  <si>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</si>
  <si>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</si>
  <si>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</si>
  <si>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</si>
  <si>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</si>
  <si>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</si>
  <si>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</si>
  <si>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</si>
  <si>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</si>
  <si>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</si>
  <si>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</si>
  <si>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</si>
  <si>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</si>
  <si>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</si>
  <si>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</si>
  <si>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</si>
  <si>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</si>
  <si>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</si>
  <si>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</si>
  <si>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</si>
  <si>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</si>
  <si>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</si>
  <si>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</si>
  <si>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</si>
  <si>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</si>
  <si>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</si>
  <si>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</si>
  <si>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</si>
  <si>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</si>
  <si>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</si>
  <si>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</si>
  <si>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</si>
  <si>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</si>
  <si>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</si>
  <si>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</si>
  <si>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</si>
  <si>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</si>
  <si>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</si>
  <si>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</si>
  <si>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</si>
  <si>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</si>
  <si>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</si>
  <si>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</si>
  <si>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</si>
  <si>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</si>
  <si>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</si>
  <si>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</si>
  <si>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</si>
  <si>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</si>
  <si>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</si>
  <si>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</si>
  <si>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</si>
  <si>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</si>
  <si>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</si>
  <si>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</si>
  <si>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</si>
  <si>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</si>
  <si>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</si>
  <si>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</si>
  <si>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</si>
  <si>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</si>
  <si>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Count</t>
  </si>
  <si>
    <t>Std Dev</t>
  </si>
  <si>
    <t>Mean</t>
  </si>
  <si>
    <t>Median</t>
  </si>
  <si>
    <t>Min</t>
  </si>
  <si>
    <t>Max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</si>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</sst>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2.xlsx]Category PT!PivotTable5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9-1542-8D20-E3B753230622}"/>
            </c:ext>
          </c:extLst>
        </c:ser>
        <c:ser>
          <c:idx val="1"/>
          <c:order val="1"/>
          <c:tx>
            <c:strRef>
              <c:f>'Category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18-3B4A-8DE3-914BAC31AC69}"/>
            </c:ext>
          </c:extLst>
        </c:ser>
        <c:ser>
          <c:idx val="2"/>
          <c:order val="2"/>
          <c:tx>
            <c:strRef>
              <c:f>'Category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18-3B4A-8DE3-914BAC31AC69}"/>
            </c:ext>
          </c:extLst>
        </c:ser>
        <c:ser>
          <c:idx val="3"/>
          <c:order val="3"/>
          <c:tx>
            <c:strRef>
              <c:f>'Category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418-3B4A-8DE3-914BAC31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0588511"/>
        <c:axId val="756738031"/>
      </c:barChart>
      <c:catAx>
        <c:axId val="850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031"/>
        <c:crosses val="autoZero"/>
        <c:auto val="1"/>
        <c:lblAlgn val="ctr"/>
        <c:lblOffset val="100"/>
        <c:noMultiLvlLbl val="0"/>
      </c:catAx>
      <c:valAx>
        <c:axId val="7567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2.xlsx]Sub-Category PT!PivotTable6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3-C94D-8067-C82F670D4166}"/>
            </c:ext>
          </c:extLst>
        </c:ser>
        <c:ser>
          <c:idx val="1"/>
          <c:order val="1"/>
          <c:tx>
            <c:strRef>
              <c:f>'Sub-Category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A-4C4A-8D22-7F266ADE306A}"/>
            </c:ext>
          </c:extLst>
        </c:ser>
        <c:ser>
          <c:idx val="2"/>
          <c:order val="2"/>
          <c:tx>
            <c:strRef>
              <c:f>'Sub-Category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A-4C4A-8D22-7F266ADE306A}"/>
            </c:ext>
          </c:extLst>
        </c:ser>
        <c:ser>
          <c:idx val="3"/>
          <c:order val="3"/>
          <c:tx>
            <c:strRef>
              <c:f>'Sub-Category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A-4C4A-8D22-7F266ADE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8120176"/>
        <c:axId val="826793743"/>
      </c:barChart>
      <c:catAx>
        <c:axId val="15281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93743"/>
        <c:crosses val="autoZero"/>
        <c:auto val="1"/>
        <c:lblAlgn val="ctr"/>
        <c:lblOffset val="100"/>
        <c:noMultiLvlLbl val="0"/>
      </c:catAx>
      <c:valAx>
        <c:axId val="8267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2.xlsx]Date PT!PivotTable8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PT'!$B$6:$B$19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214C-8239-992B49B34366}"/>
            </c:ext>
          </c:extLst>
        </c:ser>
        <c:ser>
          <c:idx val="1"/>
          <c:order val="1"/>
          <c:tx>
            <c:strRef>
              <c:f>'Date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PT'!$C$6:$C$19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5A-214C-8239-992B49B34366}"/>
            </c:ext>
          </c:extLst>
        </c:ser>
        <c:ser>
          <c:idx val="2"/>
          <c:order val="2"/>
          <c:tx>
            <c:strRef>
              <c:f>'Date PT'!$D$4:$D$5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PT'!$D$6:$D$19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5A-214C-8239-992B49B34366}"/>
            </c:ext>
          </c:extLst>
        </c:ser>
        <c:ser>
          <c:idx val="3"/>
          <c:order val="3"/>
          <c:tx>
            <c:strRef>
              <c:f>'Date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PT'!$E$6:$E$19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5A-214C-8239-992B49B34366}"/>
            </c:ext>
          </c:extLst>
        </c:ser>
        <c:ser>
          <c:idx val="4"/>
          <c:order val="4"/>
          <c:tx>
            <c:strRef>
              <c:f>'Date PT'!$F$4:$F$5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PT'!$A$6:$A$19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PT'!$F$6:$F$19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5A-214C-8239-992B49B3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424544"/>
        <c:axId val="1528391696"/>
      </c:lineChart>
      <c:catAx>
        <c:axId val="16764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1696"/>
        <c:crosses val="autoZero"/>
        <c:auto val="1"/>
        <c:lblAlgn val="ctr"/>
        <c:lblOffset val="100"/>
        <c:noMultiLvlLbl val="0"/>
      </c:catAx>
      <c:valAx>
        <c:axId val="15283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FE42-8590-B4AA95CEBDE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FE42-8590-B4AA95CEBDE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FE42-8590-B4AA95CE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53872"/>
        <c:axId val="827066831"/>
      </c:lineChart>
      <c:catAx>
        <c:axId val="16613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6831"/>
        <c:crosses val="autoZero"/>
        <c:auto val="1"/>
        <c:lblAlgn val="ctr"/>
        <c:lblOffset val="100"/>
        <c:noMultiLvlLbl val="0"/>
      </c:catAx>
      <c:valAx>
        <c:axId val="827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731865</xdr:colOff>
      <xdr:row>1</xdr:row>
      <xdr:rowOff>180489</xdr:rowOff>
    </xdr:from>
    <xdr:to>
      <xdr:col>13</xdr:col>
      <xdr:colOff>350864</xdr:colOff>
      <xdr:row>15</xdr:row>
      <xdr:rowOff>77598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7DFEA-9E14-1D80-7D0F-1E087BA9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184150</xdr:rowOff>
    </xdr:from>
    <xdr:to>
      <xdr:col>17</xdr:col>
      <xdr:colOff>292100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CA15C-1654-29C6-9F78-802A0714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2</xdr:row>
      <xdr:rowOff>184150</xdr:rowOff>
    </xdr:from>
    <xdr:to>
      <xdr:col>17</xdr:col>
      <xdr:colOff>266700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FE6B-D7C8-5C27-51AA-B386EB580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44450</xdr:rowOff>
    </xdr:from>
    <xdr:to>
      <xdr:col>8</xdr:col>
      <xdr:colOff>12700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4F0B9-2DA4-5444-3ECA-EC927AFB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Tean" refreshedDate="44780.66891990741" createdVersion="8" refreshedVersion="8" minRefreshableVersion="3" recordCount="1000" xr:uid="{730D4AB4-36DC-8D4B-8C1F-345B96AD206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Tean" refreshedDate="44780.685313194444" createdVersion="8" refreshedVersion="8" minRefreshableVersion="3" recordCount="1001" xr:uid="{7085D34F-EEFF-3749-AB19-FBE75F74201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A0648-0300-2043-9117-676A6030088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ED983-4C94-9341-9EED-68D2D0A1B55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0C02-F303-FF47-9C5C-34422D299566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" style="8" bestFit="1" customWidth="1"/>
    <col min="8" max="8" width="13" bestFit="1" customWidth="1"/>
    <col min="9" max="9" width="16" style="6" bestFit="1" customWidth="1"/>
    <col min="12" max="13" width="11.1640625" bestFit="1" customWidth="1"/>
    <col min="14" max="14" width="22.1640625" style="12" bestFit="1" customWidth="1"/>
    <col min="15" max="15" width="20.83203125" bestFit="1" customWidth="1"/>
    <col min="18" max="18" width="28" bestFit="1" customWidth="1"/>
    <col min="19" max="19" width="14.6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E451/D451*100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4AAC-9840-9140-AE26-4D407D251099}">
  <dimension ref="A1:F14"/>
  <sheetViews>
    <sheetView zoomScale="118" workbookViewId="0">
      <selection activeCell="C21" sqref="C21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3" spans="1:6" x14ac:dyDescent="0.2">
      <c r="A3" s="9" t="s">
        <v>2069</v>
      </c>
      <c r="B3" s="9" t="s">
        <v>2068</v>
      </c>
    </row>
    <row r="4" spans="1:6" x14ac:dyDescent="0.2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0FB2-CFCC-EA4D-946A-978B2BC023FA}">
  <dimension ref="A1:F3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2069</v>
      </c>
      <c r="B4" s="9" t="s">
        <v>2068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A2BC-3E0F-6243-AF23-9EFB47D8E5C7}">
  <dimension ref="A1:G19"/>
  <sheetViews>
    <sheetView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9" t="s">
        <v>2031</v>
      </c>
      <c r="B1" t="s">
        <v>2070</v>
      </c>
    </row>
    <row r="2" spans="1:7" x14ac:dyDescent="0.2">
      <c r="A2" s="9" t="s">
        <v>2086</v>
      </c>
      <c r="B2" t="s">
        <v>2070</v>
      </c>
    </row>
    <row r="4" spans="1:7" x14ac:dyDescent="0.2">
      <c r="A4" s="9" t="s">
        <v>2069</v>
      </c>
      <c r="B4" s="9" t="s">
        <v>2068</v>
      </c>
    </row>
    <row r="5" spans="1:7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">
      <c r="A6" s="10" t="s">
        <v>2073</v>
      </c>
      <c r="B6" s="11"/>
      <c r="C6" s="11"/>
      <c r="D6" s="11"/>
      <c r="E6" s="11"/>
      <c r="F6" s="11"/>
      <c r="G6" s="11"/>
    </row>
    <row r="7" spans="1:7" x14ac:dyDescent="0.2">
      <c r="A7" s="10" t="s">
        <v>2074</v>
      </c>
      <c r="B7" s="11">
        <v>6</v>
      </c>
      <c r="C7" s="11">
        <v>36</v>
      </c>
      <c r="D7" s="11">
        <v>1</v>
      </c>
      <c r="E7" s="11">
        <v>49</v>
      </c>
      <c r="F7" s="11"/>
      <c r="G7" s="11">
        <v>92</v>
      </c>
    </row>
    <row r="8" spans="1:7" x14ac:dyDescent="0.2">
      <c r="A8" s="10" t="s">
        <v>2075</v>
      </c>
      <c r="B8" s="11">
        <v>7</v>
      </c>
      <c r="C8" s="11">
        <v>28</v>
      </c>
      <c r="D8" s="11"/>
      <c r="E8" s="11">
        <v>44</v>
      </c>
      <c r="F8" s="11"/>
      <c r="G8" s="11">
        <v>79</v>
      </c>
    </row>
    <row r="9" spans="1:7" x14ac:dyDescent="0.2">
      <c r="A9" s="10" t="s">
        <v>2076</v>
      </c>
      <c r="B9" s="11">
        <v>4</v>
      </c>
      <c r="C9" s="11">
        <v>33</v>
      </c>
      <c r="D9" s="11"/>
      <c r="E9" s="11">
        <v>49</v>
      </c>
      <c r="F9" s="11"/>
      <c r="G9" s="11">
        <v>86</v>
      </c>
    </row>
    <row r="10" spans="1:7" x14ac:dyDescent="0.2">
      <c r="A10" s="10" t="s">
        <v>2077</v>
      </c>
      <c r="B10" s="11">
        <v>1</v>
      </c>
      <c r="C10" s="11">
        <v>30</v>
      </c>
      <c r="D10" s="11">
        <v>1</v>
      </c>
      <c r="E10" s="11">
        <v>46</v>
      </c>
      <c r="F10" s="11"/>
      <c r="G10" s="11">
        <v>78</v>
      </c>
    </row>
    <row r="11" spans="1:7" x14ac:dyDescent="0.2">
      <c r="A11" s="10" t="s">
        <v>2078</v>
      </c>
      <c r="B11" s="11">
        <v>3</v>
      </c>
      <c r="C11" s="11">
        <v>35</v>
      </c>
      <c r="D11" s="11">
        <v>2</v>
      </c>
      <c r="E11" s="11">
        <v>46</v>
      </c>
      <c r="F11" s="11"/>
      <c r="G11" s="11">
        <v>86</v>
      </c>
    </row>
    <row r="12" spans="1:7" x14ac:dyDescent="0.2">
      <c r="A12" s="10" t="s">
        <v>2079</v>
      </c>
      <c r="B12" s="11">
        <v>3</v>
      </c>
      <c r="C12" s="11">
        <v>28</v>
      </c>
      <c r="D12" s="11">
        <v>1</v>
      </c>
      <c r="E12" s="11">
        <v>55</v>
      </c>
      <c r="F12" s="11"/>
      <c r="G12" s="11">
        <v>87</v>
      </c>
    </row>
    <row r="13" spans="1:7" x14ac:dyDescent="0.2">
      <c r="A13" s="10" t="s">
        <v>2080</v>
      </c>
      <c r="B13" s="11">
        <v>4</v>
      </c>
      <c r="C13" s="11">
        <v>31</v>
      </c>
      <c r="D13" s="11">
        <v>1</v>
      </c>
      <c r="E13" s="11">
        <v>58</v>
      </c>
      <c r="F13" s="11"/>
      <c r="G13" s="11">
        <v>94</v>
      </c>
    </row>
    <row r="14" spans="1:7" x14ac:dyDescent="0.2">
      <c r="A14" s="10" t="s">
        <v>2081</v>
      </c>
      <c r="B14" s="11">
        <v>8</v>
      </c>
      <c r="C14" s="11">
        <v>35</v>
      </c>
      <c r="D14" s="11">
        <v>1</v>
      </c>
      <c r="E14" s="11">
        <v>41</v>
      </c>
      <c r="F14" s="11"/>
      <c r="G14" s="11">
        <v>85</v>
      </c>
    </row>
    <row r="15" spans="1:7" x14ac:dyDescent="0.2">
      <c r="A15" s="10" t="s">
        <v>2082</v>
      </c>
      <c r="B15" s="11">
        <v>5</v>
      </c>
      <c r="C15" s="11">
        <v>23</v>
      </c>
      <c r="D15" s="11"/>
      <c r="E15" s="11">
        <v>45</v>
      </c>
      <c r="F15" s="11"/>
      <c r="G15" s="11">
        <v>73</v>
      </c>
    </row>
    <row r="16" spans="1:7" x14ac:dyDescent="0.2">
      <c r="A16" s="10" t="s">
        <v>2083</v>
      </c>
      <c r="B16" s="11">
        <v>6</v>
      </c>
      <c r="C16" s="11">
        <v>26</v>
      </c>
      <c r="D16" s="11">
        <v>1</v>
      </c>
      <c r="E16" s="11">
        <v>45</v>
      </c>
      <c r="F16" s="11"/>
      <c r="G16" s="11">
        <v>78</v>
      </c>
    </row>
    <row r="17" spans="1:7" x14ac:dyDescent="0.2">
      <c r="A17" s="10" t="s">
        <v>2084</v>
      </c>
      <c r="B17" s="11">
        <v>3</v>
      </c>
      <c r="C17" s="11">
        <v>27</v>
      </c>
      <c r="D17" s="11">
        <v>3</v>
      </c>
      <c r="E17" s="11">
        <v>45</v>
      </c>
      <c r="F17" s="11"/>
      <c r="G17" s="11">
        <v>78</v>
      </c>
    </row>
    <row r="18" spans="1:7" x14ac:dyDescent="0.2">
      <c r="A18" s="10" t="s">
        <v>2085</v>
      </c>
      <c r="B18" s="11">
        <v>7</v>
      </c>
      <c r="C18" s="11">
        <v>32</v>
      </c>
      <c r="D18" s="11">
        <v>3</v>
      </c>
      <c r="E18" s="11">
        <v>42</v>
      </c>
      <c r="F18" s="11"/>
      <c r="G18" s="11">
        <v>84</v>
      </c>
    </row>
    <row r="19" spans="1:7" x14ac:dyDescent="0.2">
      <c r="A19" s="10" t="s">
        <v>2067</v>
      </c>
      <c r="B19" s="11">
        <v>57</v>
      </c>
      <c r="C19" s="11">
        <v>364</v>
      </c>
      <c r="D19" s="11">
        <v>14</v>
      </c>
      <c r="E19" s="11">
        <v>565</v>
      </c>
      <c r="F19" s="11"/>
      <c r="G19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BD9A-FB72-5747-9356-D4408A960F7A}">
  <dimension ref="A1:H13"/>
  <sheetViews>
    <sheetView workbookViewId="0">
      <selection activeCell="M17" sqref="M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2">
      <c r="A2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8">
        <f>B2/E2*100</f>
        <v>58.82352941176471</v>
      </c>
      <c r="G2" s="8">
        <f>C2/E2*100</f>
        <v>39.215686274509807</v>
      </c>
      <c r="H2" s="8">
        <f>D2/E2*100</f>
        <v>1.9607843137254901</v>
      </c>
    </row>
    <row r="3" spans="1:8" x14ac:dyDescent="0.2">
      <c r="A3" t="s">
        <v>2096</v>
      </c>
      <c r="B3">
        <f>COUNTIFS(Crowdfunding!$G:$G,"successful",Crowdfunding!$D:$D,"&lt;4999",Crowdfunding!$D:$D,"&gt;=1000")</f>
        <v>191</v>
      </c>
      <c r="C3">
        <f>COUNTIFS(Crowdfunding!$G:$G,"failed",Crowdfunding!$D:$D,"&lt;4999",Crowdfunding!$D:$D,"&gt;=1000")</f>
        <v>38</v>
      </c>
      <c r="D3">
        <f>COUNTIFS(Crowdfunding!$G:$G,"canceled",Crowdfunding!$D:$D,"&lt;4999",Crowdfunding!$D:$D,"&gt;=1000")</f>
        <v>2</v>
      </c>
      <c r="E3">
        <f t="shared" ref="E3:E13" si="0">SUM(B3:D3)</f>
        <v>231</v>
      </c>
      <c r="F3" s="8">
        <f t="shared" ref="F3:F13" si="1">B3/E3*100</f>
        <v>82.683982683982677</v>
      </c>
      <c r="G3" s="8">
        <f t="shared" ref="G3:G13" si="2">C3/E3*100</f>
        <v>16.450216450216452</v>
      </c>
      <c r="H3" s="8">
        <f t="shared" ref="H3:H13" si="3">D3/E3*100</f>
        <v>0.86580086580086579</v>
      </c>
    </row>
    <row r="4" spans="1:8" x14ac:dyDescent="0.2">
      <c r="A4" t="s">
        <v>2097</v>
      </c>
      <c r="B4">
        <f>COUNTIFS(Crowdfunding!$G:$G,"successful",Crowdfunding!$D:$D,"&lt;9999",Crowdfunding!$D:$D,"&gt;=5000")</f>
        <v>164</v>
      </c>
      <c r="C4">
        <f>COUNTIFS(Crowdfunding!$G:$G,"failed",Crowdfunding!$D:$D,"&lt;9999",Crowdfunding!$D:$D,"&gt;=5000")</f>
        <v>126</v>
      </c>
      <c r="D4">
        <f>COUNTIFS(Crowdfunding!$G:$G,"canceled",Crowdfunding!$D:$D,"&lt;9999",Crowdfunding!$D:$D,"&gt;=5000")</f>
        <v>25</v>
      </c>
      <c r="E4">
        <f t="shared" si="0"/>
        <v>315</v>
      </c>
      <c r="F4" s="8">
        <f t="shared" si="1"/>
        <v>52.06349206349207</v>
      </c>
      <c r="G4" s="8">
        <f t="shared" si="2"/>
        <v>40</v>
      </c>
      <c r="H4" s="8">
        <f t="shared" si="3"/>
        <v>7.9365079365079358</v>
      </c>
    </row>
    <row r="5" spans="1:8" x14ac:dyDescent="0.2">
      <c r="A5" t="s">
        <v>2098</v>
      </c>
      <c r="B5">
        <f>COUNTIFS(Crowdfunding!$G:$G,"successful",Crowdfunding!$D:$D,"&lt;14999",Crowdfunding!$D:$D,"&gt;=10000")</f>
        <v>4</v>
      </c>
      <c r="C5">
        <f>COUNTIFS(Crowdfunding!$G:$G,"failed",Crowdfunding!$D:$D,"&lt;14999",Crowdfunding!$D:$D,"&gt;=10000")</f>
        <v>5</v>
      </c>
      <c r="D5">
        <f>COUNTIFS(Crowdfunding!$G:$G,"canceled",Crowdfunding!$D:$D,"&lt;14999",Crowdfunding!$D:$D,"&gt;=10000")</f>
        <v>0</v>
      </c>
      <c r="E5">
        <f t="shared" si="0"/>
        <v>9</v>
      </c>
      <c r="F5" s="8">
        <f t="shared" si="1"/>
        <v>44.444444444444443</v>
      </c>
      <c r="G5" s="8">
        <f t="shared" si="2"/>
        <v>55.555555555555557</v>
      </c>
      <c r="H5" s="8">
        <f t="shared" si="3"/>
        <v>0</v>
      </c>
    </row>
    <row r="6" spans="1:8" x14ac:dyDescent="0.2">
      <c r="A6" t="s">
        <v>2099</v>
      </c>
      <c r="B6">
        <f>COUNTIFS(Crowdfunding!$G:$G,"successful",Crowdfunding!$D:$D,"&lt;19999",Crowdfunding!$D:$D,"&gt;=15000")</f>
        <v>10</v>
      </c>
      <c r="C6">
        <f>COUNTIFS(Crowdfunding!$G:$G,"failed",Crowdfunding!$D:$D,"&lt;19999",Crowdfunding!$D:$D,"&gt;=15000")</f>
        <v>0</v>
      </c>
      <c r="D6">
        <f>COUNTIFS(Crowdfunding!$G:$G,"canceled",Crowdfunding!$D:$D,"&lt;19999",Crowdfunding!$D:$D,"&gt;=15000")</f>
        <v>0</v>
      </c>
      <c r="E6">
        <f t="shared" si="0"/>
        <v>10</v>
      </c>
      <c r="F6" s="8">
        <f t="shared" si="1"/>
        <v>100</v>
      </c>
      <c r="G6" s="8">
        <f t="shared" si="2"/>
        <v>0</v>
      </c>
      <c r="H6" s="8">
        <f t="shared" si="3"/>
        <v>0</v>
      </c>
    </row>
    <row r="7" spans="1:8" x14ac:dyDescent="0.2">
      <c r="A7" t="s">
        <v>2100</v>
      </c>
      <c r="B7">
        <f>COUNTIFS(Crowdfunding!$G:$G,"successful",Crowdfunding!$D:$D,"&lt;24999",Crowdfunding!$D:$D,"&gt;=20000")</f>
        <v>7</v>
      </c>
      <c r="C7">
        <f>COUNTIFS(Crowdfunding!$G:$G,"failed",Crowdfunding!$D:$D,"&lt;24999",Crowdfunding!$D:$D,"&gt;=20000")</f>
        <v>0</v>
      </c>
      <c r="D7">
        <f>COUNTIFS(Crowdfunding!$G:$G,"canceled",Crowdfunding!$D:$D,"&lt;24999",Crowdfunding!$D:$D,"&gt;=20000")</f>
        <v>0</v>
      </c>
      <c r="E7">
        <f t="shared" si="0"/>
        <v>7</v>
      </c>
      <c r="F7" s="8">
        <f t="shared" si="1"/>
        <v>100</v>
      </c>
      <c r="G7" s="8">
        <f t="shared" si="2"/>
        <v>0</v>
      </c>
      <c r="H7" s="8">
        <f t="shared" si="3"/>
        <v>0</v>
      </c>
    </row>
    <row r="8" spans="1:8" x14ac:dyDescent="0.2">
      <c r="A8" t="s">
        <v>2101</v>
      </c>
      <c r="B8">
        <f>COUNTIFS(Crowdfunding!$G:$G,"successful",Crowdfunding!$D:$D,"&lt;29999",Crowdfunding!$D:$D,"&gt;=25000")</f>
        <v>11</v>
      </c>
      <c r="C8">
        <f>COUNTIFS(Crowdfunding!$G:$G,"failed",Crowdfunding!$D:$D,"&lt;29999",Crowdfunding!$D:$D,"&gt;=25000")</f>
        <v>3</v>
      </c>
      <c r="D8">
        <f>COUNTIFS(Crowdfunding!$G:$G,"canceled",Crowdfunding!$D:$D,"&lt;29999",Crowdfunding!$D:$D,"&gt;=25000")</f>
        <v>0</v>
      </c>
      <c r="E8">
        <f t="shared" si="0"/>
        <v>14</v>
      </c>
      <c r="F8" s="8">
        <f t="shared" si="1"/>
        <v>78.571428571428569</v>
      </c>
      <c r="G8" s="8">
        <f t="shared" si="2"/>
        <v>21.428571428571427</v>
      </c>
      <c r="H8" s="8">
        <f t="shared" si="3"/>
        <v>0</v>
      </c>
    </row>
    <row r="9" spans="1:8" x14ac:dyDescent="0.2">
      <c r="A9" t="s">
        <v>2102</v>
      </c>
      <c r="B9">
        <f>COUNTIFS(Crowdfunding!$G:$G,"successful",Crowdfunding!$D:$D,"&lt;34999",Crowdfunding!$D:$D,"&gt;=30000")</f>
        <v>7</v>
      </c>
      <c r="C9">
        <f>COUNTIFS(Crowdfunding!$G:$G,"failed",Crowdfunding!$D:$D,"&lt;34999",Crowdfunding!$D:$D,"&gt;=30000")</f>
        <v>0</v>
      </c>
      <c r="D9">
        <f>COUNTIFS(Crowdfunding!$G:$G,"canceled",Crowdfunding!$D:$D,"&lt;34999",Crowdfunding!$D:$D,"&gt;=30000")</f>
        <v>0</v>
      </c>
      <c r="E9">
        <f t="shared" si="0"/>
        <v>7</v>
      </c>
      <c r="F9" s="8">
        <f t="shared" si="1"/>
        <v>100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2103</v>
      </c>
      <c r="B10">
        <f>COUNTIFS(Crowdfunding!$G:$G,"successful",Crowdfunding!$D:$D,"&lt;39999",Crowdfunding!$D:$D,"&gt;=35000")</f>
        <v>8</v>
      </c>
      <c r="C10">
        <f>COUNTIFS(Crowdfunding!$G:$G,"failed",Crowdfunding!$D:$D,"&lt;39999",Crowdfunding!$D:$D,"&gt;=35000")</f>
        <v>3</v>
      </c>
      <c r="D10">
        <f>COUNTIFS(Crowdfunding!$G:$G,"canceled",Crowdfunding!$D:$D,"&lt;39999",Crowdfunding!$D:$D,"&gt;=35000")</f>
        <v>1</v>
      </c>
      <c r="E10">
        <f t="shared" si="0"/>
        <v>12</v>
      </c>
      <c r="F10" s="8">
        <f t="shared" si="1"/>
        <v>66.666666666666657</v>
      </c>
      <c r="G10" s="8">
        <f t="shared" si="2"/>
        <v>25</v>
      </c>
      <c r="H10" s="8">
        <f t="shared" si="3"/>
        <v>8.3333333333333321</v>
      </c>
    </row>
    <row r="11" spans="1:8" x14ac:dyDescent="0.2">
      <c r="A11" t="s">
        <v>2104</v>
      </c>
      <c r="B11">
        <f>COUNTIFS(Crowdfunding!$G:$G,"successful",Crowdfunding!$D:$D,"&lt;44999",Crowdfunding!$D:$D,"&gt;=40000")</f>
        <v>11</v>
      </c>
      <c r="C11">
        <f>COUNTIFS(Crowdfunding!$G:$G,"failed",Crowdfunding!$D:$D,"&lt;44999",Crowdfunding!$D:$D,"&gt;=40000")</f>
        <v>3</v>
      </c>
      <c r="D11">
        <f>COUNTIFS(Crowdfunding!$G:$G,"canceled",Crowdfunding!$D:$D,"&lt;44999",Crowdfunding!$D:$D,"&gt;=40000")</f>
        <v>0</v>
      </c>
      <c r="E11">
        <f t="shared" si="0"/>
        <v>14</v>
      </c>
      <c r="F11" s="8">
        <f t="shared" si="1"/>
        <v>78.571428571428569</v>
      </c>
      <c r="G11" s="8">
        <f t="shared" si="2"/>
        <v>21.428571428571427</v>
      </c>
      <c r="H11" s="8">
        <f t="shared" si="3"/>
        <v>0</v>
      </c>
    </row>
    <row r="12" spans="1:8" x14ac:dyDescent="0.2">
      <c r="A12" t="s">
        <v>2105</v>
      </c>
      <c r="B12">
        <f>COUNTIFS(Crowdfunding!$G:$G,"successful",Crowdfunding!$D:$D,"&lt;49999",Crowdfunding!$D:$D,"&gt;=45000")</f>
        <v>8</v>
      </c>
      <c r="C12">
        <f>COUNTIFS(Crowdfunding!$G:$G,"failed",Crowdfunding!$D:$D,"&lt;49999",Crowdfunding!$D:$D,"&gt;=45000")</f>
        <v>3</v>
      </c>
      <c r="D12">
        <f>COUNTIFS(Crowdfunding!$G:$G,"canceled",Crowdfunding!$D:$D,"&lt;49999",Crowdfunding!$D:$D,"&gt;=45000")</f>
        <v>0</v>
      </c>
      <c r="E12">
        <f t="shared" si="0"/>
        <v>11</v>
      </c>
      <c r="F12" s="8">
        <f t="shared" si="1"/>
        <v>72.727272727272734</v>
      </c>
      <c r="G12" s="8">
        <f t="shared" si="2"/>
        <v>27.27272727272727</v>
      </c>
      <c r="H12" s="8">
        <f t="shared" si="3"/>
        <v>0</v>
      </c>
    </row>
    <row r="13" spans="1:8" x14ac:dyDescent="0.2">
      <c r="A13" t="s">
        <v>2106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8">
        <f t="shared" si="1"/>
        <v>37.377049180327873</v>
      </c>
      <c r="G13" s="8">
        <f t="shared" si="2"/>
        <v>53.442622950819676</v>
      </c>
      <c r="H13" s="8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289A-E846-8349-A7F1-D7D6160C9DA1}">
  <dimension ref="A1:I566"/>
  <sheetViews>
    <sheetView workbookViewId="0">
      <selection activeCell="J24" sqref="J24"/>
    </sheetView>
  </sheetViews>
  <sheetFormatPr baseColWidth="10" defaultRowHeight="16" x14ac:dyDescent="0.2"/>
  <cols>
    <col min="2" max="2" width="13" bestFit="1" customWidth="1"/>
    <col min="7" max="7" width="13" bestFit="1" customWidth="1"/>
  </cols>
  <sheetData>
    <row r="1" spans="1:9" x14ac:dyDescent="0.2">
      <c r="A1" s="1" t="s">
        <v>4</v>
      </c>
      <c r="B1" s="1" t="s">
        <v>5</v>
      </c>
      <c r="C1" t="s">
        <v>2107</v>
      </c>
      <c r="D1">
        <f>SUM(B2:B566)</f>
        <v>480898</v>
      </c>
      <c r="F1" s="1" t="s">
        <v>4</v>
      </c>
      <c r="G1" s="1" t="s">
        <v>5</v>
      </c>
      <c r="H1" t="s">
        <v>2107</v>
      </c>
      <c r="I1">
        <f>SUM(G2:G365)</f>
        <v>213164</v>
      </c>
    </row>
    <row r="2" spans="1:9" x14ac:dyDescent="0.2">
      <c r="A2" t="s">
        <v>20</v>
      </c>
      <c r="B2">
        <v>158</v>
      </c>
      <c r="C2" t="s">
        <v>2109</v>
      </c>
      <c r="D2">
        <f>AVERAGE(B2:B566)</f>
        <v>851.14690265486729</v>
      </c>
      <c r="F2" t="s">
        <v>14</v>
      </c>
      <c r="G2">
        <v>0</v>
      </c>
      <c r="H2" t="s">
        <v>2109</v>
      </c>
      <c r="I2">
        <f>AVERAGE(G2:G365)</f>
        <v>585.61538461538464</v>
      </c>
    </row>
    <row r="3" spans="1:9" x14ac:dyDescent="0.2">
      <c r="A3" t="s">
        <v>20</v>
      </c>
      <c r="B3">
        <v>1425</v>
      </c>
      <c r="C3" t="s">
        <v>2110</v>
      </c>
      <c r="D3">
        <f>MEDIAN(B2:B566)</f>
        <v>201</v>
      </c>
      <c r="F3" t="s">
        <v>14</v>
      </c>
      <c r="G3">
        <v>24</v>
      </c>
      <c r="H3" t="s">
        <v>2110</v>
      </c>
      <c r="I3">
        <f>MEDIAN(G2:G365)</f>
        <v>114.5</v>
      </c>
    </row>
    <row r="4" spans="1:9" x14ac:dyDescent="0.2">
      <c r="A4" t="s">
        <v>20</v>
      </c>
      <c r="B4">
        <v>174</v>
      </c>
      <c r="C4" t="s">
        <v>2111</v>
      </c>
      <c r="D4">
        <f>MIN(B2:B566)</f>
        <v>16</v>
      </c>
      <c r="F4" t="s">
        <v>14</v>
      </c>
      <c r="G4">
        <v>53</v>
      </c>
      <c r="H4" t="s">
        <v>2111</v>
      </c>
      <c r="I4">
        <f>MIN(G2:G365)</f>
        <v>0</v>
      </c>
    </row>
    <row r="5" spans="1:9" x14ac:dyDescent="0.2">
      <c r="A5" t="s">
        <v>20</v>
      </c>
      <c r="B5">
        <v>227</v>
      </c>
      <c r="C5" t="s">
        <v>2112</v>
      </c>
      <c r="D5">
        <f>MAX(B2:B566)</f>
        <v>7295</v>
      </c>
      <c r="F5" t="s">
        <v>14</v>
      </c>
      <c r="G5">
        <v>18</v>
      </c>
      <c r="H5" t="s">
        <v>2112</v>
      </c>
      <c r="I5">
        <f>MAX(G2:G365)</f>
        <v>6080</v>
      </c>
    </row>
    <row r="6" spans="1:9" x14ac:dyDescent="0.2">
      <c r="A6" t="s">
        <v>20</v>
      </c>
      <c r="B6">
        <v>220</v>
      </c>
      <c r="C6" t="s">
        <v>2113</v>
      </c>
      <c r="D6">
        <f>_xlfn.VAR.P(B2:B566)</f>
        <v>1603373.7324019109</v>
      </c>
      <c r="F6" t="s">
        <v>14</v>
      </c>
      <c r="G6">
        <v>44</v>
      </c>
      <c r="H6" t="s">
        <v>2113</v>
      </c>
      <c r="I6">
        <f>_xlfn.VAR.P(G2:G365)</f>
        <v>921574.68174133555</v>
      </c>
    </row>
    <row r="7" spans="1:9" x14ac:dyDescent="0.2">
      <c r="A7" t="s">
        <v>20</v>
      </c>
      <c r="B7">
        <v>98</v>
      </c>
      <c r="C7" t="s">
        <v>2108</v>
      </c>
      <c r="D7">
        <f>_xlfn.STDEV.P(B2:B566)</f>
        <v>1266.2439466397898</v>
      </c>
      <c r="F7" t="s">
        <v>14</v>
      </c>
      <c r="G7">
        <v>27</v>
      </c>
      <c r="H7" t="s">
        <v>2108</v>
      </c>
      <c r="I7">
        <f>_xlfn.STDEV.P(G2:G365)</f>
        <v>959.98681331637863</v>
      </c>
    </row>
    <row r="8" spans="1:9" x14ac:dyDescent="0.2">
      <c r="A8" t="s">
        <v>20</v>
      </c>
      <c r="B8">
        <v>100</v>
      </c>
      <c r="F8" t="s">
        <v>14</v>
      </c>
      <c r="G8">
        <v>55</v>
      </c>
    </row>
    <row r="9" spans="1:9" x14ac:dyDescent="0.2">
      <c r="A9" t="s">
        <v>20</v>
      </c>
      <c r="B9">
        <v>1249</v>
      </c>
      <c r="F9" t="s">
        <v>14</v>
      </c>
      <c r="G9">
        <v>200</v>
      </c>
    </row>
    <row r="10" spans="1:9" x14ac:dyDescent="0.2">
      <c r="A10" t="s">
        <v>20</v>
      </c>
      <c r="B10">
        <v>1396</v>
      </c>
      <c r="F10" t="s">
        <v>14</v>
      </c>
      <c r="G10">
        <v>452</v>
      </c>
    </row>
    <row r="11" spans="1:9" x14ac:dyDescent="0.2">
      <c r="A11" t="s">
        <v>20</v>
      </c>
      <c r="B11">
        <v>890</v>
      </c>
      <c r="F11" t="s">
        <v>14</v>
      </c>
      <c r="G11">
        <v>674</v>
      </c>
    </row>
    <row r="12" spans="1:9" x14ac:dyDescent="0.2">
      <c r="A12" t="s">
        <v>20</v>
      </c>
      <c r="B12">
        <v>142</v>
      </c>
      <c r="F12" t="s">
        <v>14</v>
      </c>
      <c r="G12">
        <v>558</v>
      </c>
    </row>
    <row r="13" spans="1:9" x14ac:dyDescent="0.2">
      <c r="A13" t="s">
        <v>20</v>
      </c>
      <c r="B13">
        <v>2673</v>
      </c>
      <c r="F13" t="s">
        <v>14</v>
      </c>
      <c r="G13">
        <v>15</v>
      </c>
    </row>
    <row r="14" spans="1:9" x14ac:dyDescent="0.2">
      <c r="A14" t="s">
        <v>20</v>
      </c>
      <c r="B14">
        <v>163</v>
      </c>
      <c r="F14" t="s">
        <v>14</v>
      </c>
      <c r="G14">
        <v>2307</v>
      </c>
    </row>
    <row r="15" spans="1:9" x14ac:dyDescent="0.2">
      <c r="A15" t="s">
        <v>20</v>
      </c>
      <c r="B15">
        <v>2220</v>
      </c>
      <c r="F15" t="s">
        <v>14</v>
      </c>
      <c r="G15">
        <v>88</v>
      </c>
    </row>
    <row r="16" spans="1:9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  <c r="F364" t="s">
        <v>14</v>
      </c>
      <c r="G364">
        <v>112</v>
      </c>
    </row>
    <row r="365" spans="1:7" x14ac:dyDescent="0.2">
      <c r="A365" t="s">
        <v>20</v>
      </c>
      <c r="B365">
        <v>234</v>
      </c>
      <c r="F365" t="s">
        <v>14</v>
      </c>
      <c r="G365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F1:F365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successful">
      <formula>NOT(ISERROR(SEARCH("successful",F1)))</formula>
    </cfRule>
    <cfRule type="containsText" dxfId="0" priority="4" operator="containsText" text="failed">
      <formula>NOT(ISERROR(SEARCH("failed",F1)))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PT</vt:lpstr>
      <vt:lpstr>Sub-Category PT</vt:lpstr>
      <vt:lpstr>Date PT</vt:lpstr>
      <vt:lpstr>Bonus</vt:lpstr>
      <vt:lpstr>Bonus 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Joshua Tean</cp:lastModifiedBy>
  <dcterms:created xsi:type="dcterms:W3CDTF">2021-09-29T18:52:28Z</dcterms:created>
  <dcterms:modified xsi:type="dcterms:W3CDTF">2022-08-11T08:47:53Z</dcterms:modified>
  <cp:category/>
</cp:coreProperties>
</file>