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E:\SEDEMA\INVENTARIOS\IE 2022\Electricidad\"/>
    </mc:Choice>
  </mc:AlternateContent>
  <xr:revisionPtr revIDLastSave="0" documentId="13_ncr:1_{41ACA880-BFD8-4C05-A47B-F55D10F8E339}" xr6:coauthVersionLast="47" xr6:coauthVersionMax="47" xr10:uidLastSave="{00000000-0000-0000-0000-000000000000}"/>
  <bookViews>
    <workbookView xWindow="-120" yWindow="-120" windowWidth="29040" windowHeight="15840" firstSheet="3" activeTab="4" xr2:uid="{00000000-000D-0000-FFFF-FFFF00000000}"/>
  </bookViews>
  <sheets>
    <sheet name="Generales" sheetId="1" r:id="rId1"/>
    <sheet name="Metodología y FE" sheetId="3" r:id="rId2"/>
    <sheet name="Dato de Actividad" sheetId="13" r:id="rId3"/>
    <sheet name="Consumo_CDMX" sheetId="11" r:id="rId4"/>
    <sheet name="Consumo_EDOMEX" sheetId="14" r:id="rId5"/>
    <sheet name="Consumo_Tizayuca" sheetId="15" r:id="rId6"/>
    <sheet name="Emisiones GEI_Electricidad" sheetId="6" r:id="rId7"/>
    <sheet name="Emisiones por entidad" sheetId="8" r:id="rId8"/>
    <sheet name="TJ" sheetId="16" r:id="rId9"/>
    <sheet name="Propuesta Población" sheetId="17"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6" l="1"/>
  <c r="J41" i="6"/>
  <c r="K41" i="6"/>
  <c r="H41" i="6"/>
  <c r="C41" i="6"/>
  <c r="F20" i="14"/>
  <c r="F19" i="14"/>
  <c r="C20" i="14"/>
  <c r="G82" i="13"/>
  <c r="F18" i="14" s="1"/>
  <c r="K80" i="13"/>
  <c r="K79" i="13"/>
  <c r="C24" i="14" l="1"/>
  <c r="F21" i="14"/>
  <c r="F22" i="14" s="1"/>
  <c r="K5" i="17"/>
  <c r="E5" i="17"/>
  <c r="D11" i="17"/>
  <c r="C11" i="17"/>
  <c r="C6" i="17"/>
  <c r="D6" i="17"/>
  <c r="C7" i="17"/>
  <c r="D7" i="17"/>
  <c r="C8" i="17"/>
  <c r="D8" i="17"/>
  <c r="C10" i="17"/>
  <c r="D10" i="17"/>
  <c r="D5" i="17"/>
  <c r="C5" i="17"/>
  <c r="C58" i="13"/>
  <c r="C57" i="13"/>
  <c r="C56" i="13"/>
  <c r="D63" i="13"/>
  <c r="C63" i="13"/>
  <c r="E35" i="13"/>
  <c r="N26" i="13"/>
  <c r="D26" i="13"/>
  <c r="E26" i="13"/>
  <c r="F26" i="13"/>
  <c r="G26" i="13"/>
  <c r="H26" i="13"/>
  <c r="I26" i="13"/>
  <c r="J26" i="13"/>
  <c r="K26" i="13"/>
  <c r="L26" i="13"/>
  <c r="M26" i="13"/>
  <c r="D17" i="11"/>
  <c r="D12" i="11"/>
  <c r="D13" i="11"/>
  <c r="D11" i="11"/>
  <c r="D10" i="11"/>
  <c r="D9" i="11"/>
  <c r="D8" i="11"/>
  <c r="D5" i="11"/>
  <c r="D3" i="11"/>
  <c r="F17" i="11"/>
  <c r="G18" i="11" s="1"/>
  <c r="F5" i="11"/>
  <c r="F14" i="11"/>
  <c r="F15" i="11"/>
  <c r="F16" i="11"/>
  <c r="F13" i="11"/>
  <c r="F12" i="11"/>
  <c r="F7" i="11"/>
  <c r="F8" i="11"/>
  <c r="F9" i="11"/>
  <c r="F10" i="11"/>
  <c r="F11" i="11"/>
  <c r="F6" i="11"/>
  <c r="H6" i="11" s="1"/>
  <c r="C17" i="11"/>
  <c r="C12" i="11"/>
  <c r="C13" i="11"/>
  <c r="C11" i="11"/>
  <c r="C8" i="11"/>
  <c r="C10" i="11"/>
  <c r="C9" i="11"/>
  <c r="C5" i="11"/>
  <c r="C7" i="11"/>
  <c r="C6" i="11"/>
  <c r="F37" i="11"/>
  <c r="F38" i="11"/>
  <c r="F39" i="11"/>
  <c r="F36" i="11"/>
  <c r="F11" i="14"/>
  <c r="G8" i="14" s="1"/>
  <c r="G10" i="14"/>
  <c r="G9" i="14"/>
  <c r="D7" i="14"/>
  <c r="D6" i="14"/>
  <c r="F5" i="16"/>
  <c r="D19" i="14" l="1"/>
  <c r="D18" i="14"/>
  <c r="D20" i="14"/>
  <c r="G6" i="14"/>
  <c r="G5" i="14"/>
  <c r="G7" i="14"/>
  <c r="G14" i="11"/>
  <c r="G11" i="14" l="1"/>
  <c r="G132" i="8"/>
  <c r="G128" i="8"/>
  <c r="D130" i="8"/>
  <c r="G130" i="8" s="1"/>
  <c r="E130" i="8"/>
  <c r="F130" i="8"/>
  <c r="D131" i="8"/>
  <c r="G131" i="8" s="1"/>
  <c r="E131" i="8"/>
  <c r="F131" i="8"/>
  <c r="D132" i="8"/>
  <c r="E132" i="8"/>
  <c r="F132" i="8"/>
  <c r="E129" i="8"/>
  <c r="F129" i="8"/>
  <c r="G129" i="8" s="1"/>
  <c r="D129" i="8"/>
  <c r="D128" i="8"/>
  <c r="E128" i="8"/>
  <c r="F128" i="8"/>
  <c r="E127" i="8"/>
  <c r="F127" i="8"/>
  <c r="D127" i="8"/>
  <c r="G127" i="8" s="1"/>
  <c r="D109" i="8"/>
  <c r="E109" i="8"/>
  <c r="F109" i="8"/>
  <c r="C109" i="8"/>
  <c r="D66" i="8"/>
  <c r="E66" i="8"/>
  <c r="F66" i="8"/>
  <c r="G66" i="8"/>
  <c r="H66" i="8"/>
  <c r="I66" i="8"/>
  <c r="J66" i="8"/>
  <c r="K66" i="8"/>
  <c r="L66" i="8"/>
  <c r="M66" i="8"/>
  <c r="N66" i="8"/>
  <c r="O66" i="8"/>
  <c r="P66" i="8"/>
  <c r="Q66" i="8"/>
  <c r="R66" i="8"/>
  <c r="D67" i="8"/>
  <c r="E67" i="8"/>
  <c r="F67" i="8"/>
  <c r="G67" i="8"/>
  <c r="H67" i="8"/>
  <c r="I67" i="8"/>
  <c r="J67" i="8"/>
  <c r="K67" i="8"/>
  <c r="L67" i="8"/>
  <c r="M67" i="8"/>
  <c r="N67" i="8"/>
  <c r="O67" i="8"/>
  <c r="P67" i="8"/>
  <c r="Q67" i="8"/>
  <c r="R67" i="8"/>
  <c r="D68" i="8"/>
  <c r="E68" i="8"/>
  <c r="F68" i="8"/>
  <c r="G68" i="8"/>
  <c r="H68" i="8"/>
  <c r="I68" i="8"/>
  <c r="J68" i="8"/>
  <c r="K68" i="8"/>
  <c r="L68" i="8"/>
  <c r="M68" i="8"/>
  <c r="N68" i="8"/>
  <c r="O68" i="8"/>
  <c r="P68" i="8"/>
  <c r="Q68" i="8"/>
  <c r="R68" i="8"/>
  <c r="D69" i="8"/>
  <c r="E69" i="8"/>
  <c r="F69" i="8"/>
  <c r="G69" i="8"/>
  <c r="H69" i="8"/>
  <c r="I69" i="8"/>
  <c r="J69" i="8"/>
  <c r="K69" i="8"/>
  <c r="L69" i="8"/>
  <c r="M69" i="8"/>
  <c r="N69" i="8"/>
  <c r="O69" i="8"/>
  <c r="P69" i="8"/>
  <c r="Q69" i="8"/>
  <c r="R69" i="8"/>
  <c r="D70" i="8"/>
  <c r="E70" i="8"/>
  <c r="F70" i="8"/>
  <c r="G70" i="8"/>
  <c r="H70" i="8"/>
  <c r="I70" i="8"/>
  <c r="J70" i="8"/>
  <c r="K70" i="8"/>
  <c r="L70" i="8"/>
  <c r="M70" i="8"/>
  <c r="N70" i="8"/>
  <c r="O70" i="8"/>
  <c r="P70" i="8"/>
  <c r="Q70" i="8"/>
  <c r="R70" i="8"/>
  <c r="D71" i="8"/>
  <c r="E71" i="8"/>
  <c r="F71" i="8"/>
  <c r="G71" i="8"/>
  <c r="H71" i="8"/>
  <c r="I71" i="8"/>
  <c r="J71" i="8"/>
  <c r="K71" i="8"/>
  <c r="L71" i="8"/>
  <c r="M71" i="8"/>
  <c r="N71" i="8"/>
  <c r="O71" i="8"/>
  <c r="P71" i="8"/>
  <c r="Q71" i="8"/>
  <c r="R71" i="8"/>
  <c r="D72" i="8"/>
  <c r="E72" i="8"/>
  <c r="F72" i="8"/>
  <c r="G72" i="8"/>
  <c r="H72" i="8"/>
  <c r="I72" i="8"/>
  <c r="J72" i="8"/>
  <c r="K72" i="8"/>
  <c r="L72" i="8"/>
  <c r="M72" i="8"/>
  <c r="N72" i="8"/>
  <c r="O72" i="8"/>
  <c r="P72" i="8"/>
  <c r="Q72" i="8"/>
  <c r="R72" i="8"/>
  <c r="E65" i="8"/>
  <c r="F65" i="8"/>
  <c r="G65" i="8"/>
  <c r="H65" i="8"/>
  <c r="I65" i="8"/>
  <c r="J65" i="8"/>
  <c r="K65" i="8"/>
  <c r="L65" i="8"/>
  <c r="M65" i="8"/>
  <c r="N65" i="8"/>
  <c r="O65" i="8"/>
  <c r="P65" i="8"/>
  <c r="Q65" i="8"/>
  <c r="R65" i="8"/>
  <c r="D65" i="8"/>
  <c r="D54" i="8"/>
  <c r="E54" i="8"/>
  <c r="F54" i="8"/>
  <c r="G54" i="8"/>
  <c r="H54" i="8"/>
  <c r="I54" i="8"/>
  <c r="J54" i="8"/>
  <c r="K54" i="8"/>
  <c r="L54" i="8"/>
  <c r="M54" i="8"/>
  <c r="N54" i="8"/>
  <c r="O54" i="8"/>
  <c r="P54" i="8"/>
  <c r="Q54" i="8"/>
  <c r="R54" i="8"/>
  <c r="D55" i="8"/>
  <c r="E55" i="8"/>
  <c r="F55" i="8"/>
  <c r="G55" i="8"/>
  <c r="H55" i="8"/>
  <c r="I55" i="8"/>
  <c r="J55" i="8"/>
  <c r="K55" i="8"/>
  <c r="L55" i="8"/>
  <c r="M55" i="8"/>
  <c r="N55" i="8"/>
  <c r="O55" i="8"/>
  <c r="P55" i="8"/>
  <c r="Q55" i="8"/>
  <c r="R55" i="8"/>
  <c r="D56" i="8"/>
  <c r="E56" i="8"/>
  <c r="F56" i="8"/>
  <c r="G56" i="8"/>
  <c r="H56" i="8"/>
  <c r="I56" i="8"/>
  <c r="J56" i="8"/>
  <c r="K56" i="8"/>
  <c r="L56" i="8"/>
  <c r="M56" i="8"/>
  <c r="N56" i="8"/>
  <c r="O56" i="8"/>
  <c r="P56" i="8"/>
  <c r="Q56" i="8"/>
  <c r="R56" i="8"/>
  <c r="D57" i="8"/>
  <c r="E57" i="8"/>
  <c r="F57" i="8"/>
  <c r="G57" i="8"/>
  <c r="H57" i="8"/>
  <c r="I57" i="8"/>
  <c r="J57" i="8"/>
  <c r="K57" i="8"/>
  <c r="L57" i="8"/>
  <c r="M57" i="8"/>
  <c r="N57" i="8"/>
  <c r="O57" i="8"/>
  <c r="P57" i="8"/>
  <c r="Q57" i="8"/>
  <c r="R57" i="8"/>
  <c r="D58" i="8"/>
  <c r="E58" i="8"/>
  <c r="F58" i="8"/>
  <c r="G58" i="8"/>
  <c r="H58" i="8"/>
  <c r="I58" i="8"/>
  <c r="J58" i="8"/>
  <c r="K58" i="8"/>
  <c r="L58" i="8"/>
  <c r="M58" i="8"/>
  <c r="N58" i="8"/>
  <c r="O58" i="8"/>
  <c r="P58" i="8"/>
  <c r="Q58" i="8"/>
  <c r="R58" i="8"/>
  <c r="D59" i="8"/>
  <c r="E59" i="8"/>
  <c r="F59" i="8"/>
  <c r="G59" i="8"/>
  <c r="H59" i="8"/>
  <c r="I59" i="8"/>
  <c r="J59" i="8"/>
  <c r="K59" i="8"/>
  <c r="L59" i="8"/>
  <c r="M59" i="8"/>
  <c r="N59" i="8"/>
  <c r="O59" i="8"/>
  <c r="P59" i="8"/>
  <c r="Q59" i="8"/>
  <c r="R59" i="8"/>
  <c r="D60" i="8"/>
  <c r="E60" i="8"/>
  <c r="F60" i="8"/>
  <c r="G60" i="8"/>
  <c r="H60" i="8"/>
  <c r="I60" i="8"/>
  <c r="J60" i="8"/>
  <c r="K60" i="8"/>
  <c r="L60" i="8"/>
  <c r="M60" i="8"/>
  <c r="N60" i="8"/>
  <c r="O60" i="8"/>
  <c r="P60" i="8"/>
  <c r="Q60" i="8"/>
  <c r="R60" i="8"/>
  <c r="E53" i="8"/>
  <c r="F53" i="8"/>
  <c r="G53" i="8"/>
  <c r="H53" i="8"/>
  <c r="I53" i="8"/>
  <c r="J53" i="8"/>
  <c r="K53" i="8"/>
  <c r="L53" i="8"/>
  <c r="M53" i="8"/>
  <c r="N53" i="8"/>
  <c r="O53" i="8"/>
  <c r="P53" i="8"/>
  <c r="Q53" i="8"/>
  <c r="R53" i="8"/>
  <c r="D53" i="8"/>
  <c r="F63" i="13" l="1"/>
  <c r="J7" i="15" l="1"/>
  <c r="K9" i="15" s="1"/>
  <c r="J10" i="15"/>
  <c r="J9" i="15"/>
  <c r="J8" i="15"/>
  <c r="J24" i="14"/>
  <c r="J23" i="14"/>
  <c r="J21" i="14"/>
  <c r="J20" i="14"/>
  <c r="K8" i="15" l="1"/>
  <c r="K7" i="15" s="1"/>
  <c r="L12" i="17"/>
  <c r="O10" i="13" l="1"/>
  <c r="D57" i="13"/>
  <c r="K35" i="13" l="1"/>
  <c r="C67" i="13" l="1"/>
  <c r="C93" i="13"/>
  <c r="C92" i="13"/>
  <c r="C91" i="13"/>
  <c r="C90" i="13"/>
  <c r="C89" i="13"/>
  <c r="C82" i="13"/>
  <c r="C81" i="13"/>
  <c r="C80" i="13"/>
  <c r="C79" i="13"/>
  <c r="C78" i="13"/>
  <c r="C47" i="13"/>
  <c r="C46" i="13"/>
  <c r="C45" i="13"/>
  <c r="C44" i="13"/>
  <c r="C48" i="13" l="1"/>
  <c r="O12" i="13"/>
  <c r="O11" i="13"/>
  <c r="C26" i="13" l="1"/>
  <c r="N25" i="13"/>
  <c r="D25" i="13"/>
  <c r="E25" i="13"/>
  <c r="F25" i="13"/>
  <c r="G25" i="13"/>
  <c r="H25" i="13"/>
  <c r="I25" i="13"/>
  <c r="J25" i="13"/>
  <c r="K25" i="13"/>
  <c r="L25" i="13"/>
  <c r="M25" i="13"/>
  <c r="C25" i="13"/>
  <c r="N24" i="13"/>
  <c r="D24" i="13"/>
  <c r="E24" i="13"/>
  <c r="F24" i="13"/>
  <c r="G24" i="13"/>
  <c r="H24" i="13"/>
  <c r="I24" i="13"/>
  <c r="J24" i="13"/>
  <c r="K24" i="13"/>
  <c r="L24" i="13"/>
  <c r="M24" i="13"/>
  <c r="C24" i="13"/>
  <c r="K12" i="17"/>
  <c r="F6" i="17" l="1"/>
  <c r="F7" i="17"/>
  <c r="F8" i="17"/>
  <c r="F10" i="17"/>
  <c r="F5" i="17"/>
  <c r="F4" i="16" l="1"/>
  <c r="C23" i="3"/>
  <c r="F23" i="3"/>
  <c r="E23" i="3"/>
  <c r="D23" i="3"/>
  <c r="F6" i="16" l="1"/>
  <c r="D82" i="13"/>
  <c r="K36" i="13" l="1"/>
  <c r="C42" i="11" s="1"/>
  <c r="F23" i="14" l="1"/>
  <c r="F56" i="11"/>
  <c r="O25" i="13" l="1"/>
  <c r="O24" i="13"/>
  <c r="J5" i="14" l="1"/>
  <c r="H14" i="11" l="1"/>
  <c r="D44" i="13" l="1"/>
  <c r="C68" i="13"/>
  <c r="C83" i="13" l="1"/>
  <c r="C84" i="13" s="1"/>
  <c r="O26" i="13" l="1"/>
  <c r="G83" i="11" l="1"/>
  <c r="G82" i="11"/>
  <c r="E6" i="17"/>
  <c r="K6" i="17" s="1"/>
  <c r="E7" i="17"/>
  <c r="K7" i="17" s="1"/>
  <c r="E8" i="17"/>
  <c r="K8" i="17" s="1"/>
  <c r="E10" i="17"/>
  <c r="K10" i="17" s="1"/>
  <c r="P24" i="13" l="1"/>
  <c r="H75" i="11" s="1"/>
  <c r="J6" i="14" l="1"/>
  <c r="F40" i="11" l="1"/>
  <c r="G38" i="11" s="1"/>
  <c r="G37" i="11" l="1"/>
  <c r="G36" i="11"/>
  <c r="G39" i="11"/>
  <c r="D7" i="11" l="1"/>
  <c r="D6" i="11"/>
  <c r="P26" i="13" l="1"/>
  <c r="O27" i="13" l="1"/>
  <c r="C6" i="16" l="1"/>
  <c r="D46" i="13"/>
  <c r="C32" i="11" s="1"/>
  <c r="C49" i="13" l="1"/>
  <c r="C50" i="13" s="1"/>
  <c r="C5" i="16" l="1"/>
  <c r="D5" i="16" s="1"/>
  <c r="C94" i="13"/>
  <c r="C95" i="13" s="1"/>
  <c r="P12" i="13"/>
  <c r="C7" i="16" l="1"/>
  <c r="C8" i="16" s="1"/>
  <c r="P11" i="13" l="1"/>
  <c r="P10" i="13"/>
  <c r="C75" i="11" s="1"/>
  <c r="P25" i="13"/>
  <c r="H40" i="14" s="1"/>
  <c r="P27" i="13" l="1"/>
  <c r="F28" i="11" l="1"/>
  <c r="G30" i="11"/>
  <c r="F30" i="11"/>
  <c r="F29" i="11"/>
  <c r="F31" i="11"/>
  <c r="F26" i="11"/>
  <c r="E11" i="17"/>
  <c r="F27" i="11" l="1"/>
  <c r="K11" i="17"/>
  <c r="M5" i="17" s="1"/>
  <c r="M6" i="17" l="1"/>
  <c r="L6" i="17" s="1"/>
  <c r="M7" i="17"/>
  <c r="L7" i="17" s="1"/>
  <c r="G28" i="11" s="1"/>
  <c r="M8" i="17"/>
  <c r="L8" i="17" s="1"/>
  <c r="G29" i="11" s="1"/>
  <c r="M10" i="17"/>
  <c r="L10" i="17" s="1"/>
  <c r="G31" i="11" s="1"/>
  <c r="L5" i="17"/>
  <c r="G27" i="11"/>
  <c r="M11" i="17" l="1"/>
  <c r="G26" i="11"/>
  <c r="L11" i="17"/>
  <c r="D58" i="13"/>
  <c r="G12" i="15" l="1"/>
  <c r="G11" i="15"/>
  <c r="C11" i="14" l="1"/>
  <c r="D11" i="14" l="1"/>
  <c r="D89" i="13" l="1"/>
  <c r="D94" i="13"/>
  <c r="D95" i="13" s="1"/>
  <c r="D93" i="13"/>
  <c r="D92" i="13"/>
  <c r="F9" i="15" s="1"/>
  <c r="D91" i="13"/>
  <c r="C9" i="15" s="1"/>
  <c r="D90" i="13"/>
  <c r="C8" i="15" s="1"/>
  <c r="F10" i="15" l="1"/>
  <c r="F8" i="15"/>
  <c r="F7" i="15"/>
  <c r="C7" i="15"/>
  <c r="D8" i="15" s="1"/>
  <c r="F11" i="15" l="1"/>
  <c r="F12" i="15"/>
  <c r="D9" i="15"/>
  <c r="C13" i="15"/>
  <c r="D80" i="13" l="1"/>
  <c r="C19" i="14" s="1"/>
  <c r="D79" i="13"/>
  <c r="C18" i="14" s="1"/>
  <c r="D81" i="13"/>
  <c r="D78" i="13"/>
  <c r="D56" i="13"/>
  <c r="D7" i="15"/>
  <c r="D13" i="15" s="1"/>
  <c r="C19" i="15"/>
  <c r="C59" i="13"/>
  <c r="F17" i="14" l="1"/>
  <c r="D83" i="13"/>
  <c r="C40" i="14" s="1"/>
  <c r="C17" i="14"/>
  <c r="D59" i="13"/>
  <c r="C33" i="11" s="1"/>
  <c r="C40" i="11" s="1"/>
  <c r="E56" i="13" l="1"/>
  <c r="C29" i="14"/>
  <c r="D33" i="11"/>
  <c r="E36" i="13"/>
  <c r="C34" i="11" s="1"/>
  <c r="C39" i="11" s="1"/>
  <c r="D34" i="11" l="1"/>
  <c r="D17" i="14"/>
  <c r="D24" i="14" s="1"/>
  <c r="C55" i="11"/>
  <c r="C56" i="11" l="1"/>
  <c r="J52" i="11" s="1"/>
  <c r="F32" i="11" l="1"/>
  <c r="G32" i="11"/>
  <c r="H26" i="11" s="1"/>
  <c r="H27" i="11" l="1"/>
  <c r="H31" i="11"/>
  <c r="H30" i="11"/>
  <c r="H28" i="11"/>
  <c r="H29" i="11"/>
  <c r="D45" i="13"/>
  <c r="C26" i="11" s="1"/>
  <c r="D47" i="13"/>
  <c r="F57" i="11" s="1"/>
  <c r="J53" i="11" s="1"/>
  <c r="D48" i="13"/>
  <c r="C38" i="11" s="1"/>
  <c r="C43" i="11" s="1"/>
  <c r="C28" i="11" l="1"/>
  <c r="C27" i="11"/>
  <c r="H39" i="11"/>
  <c r="H36" i="11"/>
  <c r="F55" i="11" s="1"/>
  <c r="H37" i="11"/>
  <c r="H38" i="11"/>
  <c r="C30" i="11" s="1"/>
  <c r="C49" i="11"/>
  <c r="C50" i="11"/>
  <c r="D38" i="11"/>
  <c r="D26" i="11"/>
  <c r="H32" i="11"/>
  <c r="J50" i="11" l="1"/>
  <c r="C48" i="11"/>
  <c r="C54" i="11"/>
  <c r="D32" i="11"/>
  <c r="N12" i="17" l="1"/>
  <c r="N5" i="17" s="1"/>
  <c r="N8" i="17" l="1"/>
  <c r="N10" i="17"/>
  <c r="N6" i="17"/>
  <c r="N7" i="17"/>
  <c r="N9" i="17"/>
  <c r="L25" i="11"/>
  <c r="I27" i="11" s="1"/>
  <c r="D49" i="13"/>
  <c r="E21" i="11" s="1"/>
  <c r="C18" i="11"/>
  <c r="I26" i="11" l="1"/>
  <c r="F49" i="11" s="1"/>
  <c r="G6" i="11"/>
  <c r="G9" i="11"/>
  <c r="G7" i="11"/>
  <c r="G11" i="11"/>
  <c r="G12" i="11"/>
  <c r="G8" i="11"/>
  <c r="G15" i="11"/>
  <c r="G13" i="11"/>
  <c r="G16" i="11"/>
  <c r="G10" i="11"/>
  <c r="G5" i="11"/>
  <c r="C19" i="11"/>
  <c r="N11" i="17"/>
  <c r="I30" i="11"/>
  <c r="F53" i="11" s="1"/>
  <c r="I31" i="11"/>
  <c r="F54" i="11" s="1"/>
  <c r="I28" i="11"/>
  <c r="F51" i="11" s="1"/>
  <c r="F50" i="11"/>
  <c r="I29" i="11"/>
  <c r="F52" i="11" s="1"/>
  <c r="L23" i="11" l="1"/>
  <c r="G17" i="11"/>
  <c r="I32" i="11"/>
  <c r="F48" i="11" l="1"/>
  <c r="J48" i="11" s="1"/>
  <c r="J7" i="14" l="1"/>
  <c r="K5" i="14" s="1"/>
  <c r="K6" i="14" l="1"/>
  <c r="F24" i="14" l="1"/>
  <c r="G23" i="14"/>
  <c r="K7" i="14"/>
  <c r="G20" i="14" l="1"/>
  <c r="G19" i="14"/>
  <c r="C25" i="14"/>
  <c r="D40" i="14" s="1"/>
  <c r="G17" i="14"/>
  <c r="G18" i="14"/>
  <c r="G21" i="14"/>
  <c r="G22" i="14"/>
  <c r="F13" i="15"/>
  <c r="C30" i="14"/>
  <c r="G7" i="15" l="1"/>
  <c r="G8" i="15"/>
  <c r="G24" i="14"/>
  <c r="D25" i="14"/>
  <c r="I40" i="14"/>
  <c r="G10" i="15"/>
  <c r="C20" i="15"/>
  <c r="C14" i="15"/>
  <c r="G9" i="15"/>
  <c r="C28" i="14"/>
  <c r="D14" i="15" l="1"/>
  <c r="C39" i="15"/>
  <c r="H39" i="15"/>
  <c r="C18" i="15"/>
  <c r="G13" i="15"/>
  <c r="D29" i="14"/>
  <c r="C38" i="14" s="1"/>
  <c r="D28" i="14"/>
  <c r="D30" i="14"/>
  <c r="C39" i="14" s="1"/>
  <c r="C46" i="14" l="1"/>
  <c r="C66" i="6" s="1"/>
  <c r="C47" i="14"/>
  <c r="C45" i="14"/>
  <c r="H38" i="14"/>
  <c r="E46" i="14"/>
  <c r="E45" i="14"/>
  <c r="D19" i="15"/>
  <c r="D20" i="15"/>
  <c r="C38" i="15" s="1"/>
  <c r="E47" i="14"/>
  <c r="E48" i="14"/>
  <c r="E44" i="14"/>
  <c r="H39" i="14"/>
  <c r="H46" i="14" l="1"/>
  <c r="H47" i="14"/>
  <c r="H45" i="14"/>
  <c r="D67" i="6"/>
  <c r="E67" i="6"/>
  <c r="F67" i="6"/>
  <c r="C67" i="6"/>
  <c r="J46" i="14"/>
  <c r="M43" i="14" s="1"/>
  <c r="J45" i="14"/>
  <c r="D66" i="6"/>
  <c r="E66" i="6"/>
  <c r="F66" i="6"/>
  <c r="J66" i="6"/>
  <c r="I66" i="6"/>
  <c r="K66" i="6"/>
  <c r="H66" i="6"/>
  <c r="E51" i="14"/>
  <c r="C37" i="15"/>
  <c r="C44" i="15" s="1"/>
  <c r="D18" i="15"/>
  <c r="C44" i="14"/>
  <c r="C51" i="14" s="1"/>
  <c r="H38" i="15"/>
  <c r="J43" i="15" s="1"/>
  <c r="H37" i="15"/>
  <c r="H44" i="15" s="1"/>
  <c r="E43" i="15"/>
  <c r="E44" i="15"/>
  <c r="E45" i="15"/>
  <c r="E46" i="15"/>
  <c r="E50" i="14"/>
  <c r="E49" i="14"/>
  <c r="J44" i="14"/>
  <c r="M40" i="14" s="1"/>
  <c r="J47" i="14"/>
  <c r="M44" i="14" s="1"/>
  <c r="J48" i="14"/>
  <c r="M42" i="14" s="1"/>
  <c r="F26" i="6" l="1"/>
  <c r="F108" i="6" s="1"/>
  <c r="D26" i="6"/>
  <c r="D108" i="6" s="1"/>
  <c r="E26" i="6"/>
  <c r="E108" i="6" s="1"/>
  <c r="C26" i="6"/>
  <c r="C108" i="6" s="1"/>
  <c r="E25" i="6"/>
  <c r="C25" i="6"/>
  <c r="F25" i="6"/>
  <c r="D25" i="6"/>
  <c r="K25" i="6"/>
  <c r="K107" i="6" s="1"/>
  <c r="J25" i="6"/>
  <c r="I25" i="6"/>
  <c r="I107" i="6" s="1"/>
  <c r="H25" i="6"/>
  <c r="H107" i="6" s="1"/>
  <c r="J51" i="14"/>
  <c r="D63" i="14" s="1"/>
  <c r="E122" i="8" s="1"/>
  <c r="J107" i="6"/>
  <c r="H24" i="6"/>
  <c r="C45" i="15"/>
  <c r="C43" i="15" s="1"/>
  <c r="C49" i="15" s="1"/>
  <c r="D58" i="15" s="1"/>
  <c r="J45" i="15"/>
  <c r="M47" i="15" s="1"/>
  <c r="M43" i="15"/>
  <c r="J46" i="15"/>
  <c r="M45" i="15" s="1"/>
  <c r="J44" i="15"/>
  <c r="H45" i="15"/>
  <c r="H43" i="15" s="1"/>
  <c r="H49" i="15" s="1"/>
  <c r="E47" i="15"/>
  <c r="E49" i="15"/>
  <c r="D60" i="15" s="1"/>
  <c r="J49" i="14"/>
  <c r="J50" i="14"/>
  <c r="H44" i="14"/>
  <c r="H51" i="14" s="1"/>
  <c r="D62" i="14"/>
  <c r="E121" i="8" s="1"/>
  <c r="M41" i="14" l="1"/>
  <c r="M45" i="14" s="1"/>
  <c r="M46" i="14" s="1"/>
  <c r="J47" i="15"/>
  <c r="J48" i="15" s="1"/>
  <c r="M44" i="15"/>
  <c r="J49" i="15"/>
  <c r="D61" i="15" s="1"/>
  <c r="F122" i="8" s="1"/>
  <c r="F142" i="8" s="1"/>
  <c r="D59" i="15"/>
  <c r="E48" i="15"/>
  <c r="D56" i="15"/>
  <c r="E56" i="15" s="1"/>
  <c r="C50" i="15"/>
  <c r="E142" i="8"/>
  <c r="E141" i="8"/>
  <c r="H52" i="14"/>
  <c r="I52" i="14" s="1"/>
  <c r="C52" i="14"/>
  <c r="D52" i="14" s="1"/>
  <c r="F119" i="8"/>
  <c r="F139" i="8" s="1"/>
  <c r="D61" i="14"/>
  <c r="F121" i="8"/>
  <c r="F141" i="8" s="1"/>
  <c r="D60" i="14"/>
  <c r="M48" i="15" l="1"/>
  <c r="H50" i="15"/>
  <c r="D57" i="15"/>
  <c r="E57" i="15" s="1"/>
  <c r="F120" i="8"/>
  <c r="F140" i="8" s="1"/>
  <c r="D58" i="14"/>
  <c r="E119" i="8"/>
  <c r="D59" i="14"/>
  <c r="E120" i="8"/>
  <c r="E140" i="8" l="1"/>
  <c r="E139" i="8"/>
  <c r="F117" i="8"/>
  <c r="F137" i="8" s="1"/>
  <c r="E59" i="14"/>
  <c r="E118" i="8"/>
  <c r="E58" i="14"/>
  <c r="F58" i="14"/>
  <c r="E117" i="8"/>
  <c r="F118" i="8"/>
  <c r="F138" i="8" s="1"/>
  <c r="E138" i="8" l="1"/>
  <c r="E137" i="8"/>
  <c r="G40" i="11" l="1"/>
  <c r="F58" i="11" l="1"/>
  <c r="F60" i="11" s="1"/>
  <c r="J51" i="11" l="1"/>
  <c r="K51" i="11" s="1"/>
  <c r="C31" i="11"/>
  <c r="C29" i="11" s="1"/>
  <c r="C35" i="11" s="1"/>
  <c r="H40" i="11"/>
  <c r="H41" i="11" s="1"/>
  <c r="C52" i="11"/>
  <c r="L24" i="11" l="1"/>
  <c r="L26" i="11" s="1"/>
  <c r="L27" i="11" s="1"/>
  <c r="C53" i="11"/>
  <c r="C51" i="11" l="1"/>
  <c r="J49" i="11" s="1"/>
  <c r="G55" i="11"/>
  <c r="G56" i="11"/>
  <c r="G49" i="11"/>
  <c r="G54" i="11"/>
  <c r="G52" i="11"/>
  <c r="G53" i="11"/>
  <c r="G51" i="11"/>
  <c r="G58" i="11"/>
  <c r="G48" i="11"/>
  <c r="G57" i="11"/>
  <c r="G50" i="11"/>
  <c r="C67" i="11"/>
  <c r="C60" i="11"/>
  <c r="D49" i="11" s="1"/>
  <c r="D51" i="11" l="1"/>
  <c r="D54" i="11"/>
  <c r="G60" i="11"/>
  <c r="C66" i="11"/>
  <c r="D55" i="11"/>
  <c r="C65" i="11"/>
  <c r="D75" i="11" s="1"/>
  <c r="C61" i="11"/>
  <c r="J54" i="11" s="1"/>
  <c r="D50" i="11"/>
  <c r="D48" i="11" s="1"/>
  <c r="D56" i="11"/>
  <c r="D53" i="11"/>
  <c r="D52" i="11"/>
  <c r="D61" i="11" l="1"/>
  <c r="D67" i="11"/>
  <c r="H74" i="11" s="1"/>
  <c r="D66" i="11"/>
  <c r="C73" i="11" s="1"/>
  <c r="J87" i="11" l="1"/>
  <c r="J86" i="11"/>
  <c r="H73" i="11"/>
  <c r="H83" i="11" s="1"/>
  <c r="D65" i="11"/>
  <c r="C74" i="11"/>
  <c r="J88" i="11"/>
  <c r="J89" i="11"/>
  <c r="D60" i="11"/>
  <c r="J84" i="11"/>
  <c r="J81" i="11"/>
  <c r="J82" i="11"/>
  <c r="J83" i="11"/>
  <c r="J80" i="11"/>
  <c r="J85" i="11"/>
  <c r="E89" i="11" l="1"/>
  <c r="E87" i="11"/>
  <c r="E86" i="11"/>
  <c r="M82" i="11"/>
  <c r="H14" i="6"/>
  <c r="I15" i="6"/>
  <c r="J15" i="6"/>
  <c r="H15" i="6"/>
  <c r="U15" i="6" s="1"/>
  <c r="K15" i="6"/>
  <c r="H84" i="11"/>
  <c r="H82" i="11" s="1"/>
  <c r="H81" i="11"/>
  <c r="H85" i="11"/>
  <c r="H80" i="11"/>
  <c r="H86" i="11"/>
  <c r="H87" i="11"/>
  <c r="C15" i="6" s="1"/>
  <c r="E81" i="11"/>
  <c r="E82" i="11"/>
  <c r="E83" i="11"/>
  <c r="E84" i="11"/>
  <c r="E88" i="11"/>
  <c r="E85" i="11"/>
  <c r="E80" i="11"/>
  <c r="J79" i="11"/>
  <c r="C85" i="11"/>
  <c r="C83" i="11"/>
  <c r="C80" i="11"/>
  <c r="C87" i="11"/>
  <c r="F88" i="11" s="1"/>
  <c r="C86" i="11"/>
  <c r="F86" i="11" s="1"/>
  <c r="C81" i="11"/>
  <c r="C84" i="11"/>
  <c r="V15" i="6" l="1"/>
  <c r="W15" i="6"/>
  <c r="H55" i="6"/>
  <c r="K55" i="6"/>
  <c r="K96" i="6" s="1"/>
  <c r="J55" i="6"/>
  <c r="W55" i="6" s="1"/>
  <c r="I55" i="6"/>
  <c r="V55" i="6" s="1"/>
  <c r="M81" i="11"/>
  <c r="J91" i="11"/>
  <c r="D103" i="11" s="1"/>
  <c r="D122" i="8" s="1"/>
  <c r="H79" i="11"/>
  <c r="H91" i="11" s="1"/>
  <c r="C82" i="11"/>
  <c r="E79" i="11"/>
  <c r="E91" i="11" s="1"/>
  <c r="D102" i="11" s="1"/>
  <c r="D121" i="8" s="1"/>
  <c r="G121" i="8" s="1"/>
  <c r="G141" i="8" s="1"/>
  <c r="C79" i="11"/>
  <c r="C91" i="11" l="1"/>
  <c r="D100" i="11" s="1"/>
  <c r="D98" i="11" s="1"/>
  <c r="X15" i="6"/>
  <c r="J96" i="6"/>
  <c r="W96" i="6" s="1"/>
  <c r="D141" i="8"/>
  <c r="H96" i="6"/>
  <c r="U96" i="6" s="1"/>
  <c r="U55" i="6"/>
  <c r="X55" i="6" s="1"/>
  <c r="I96" i="6"/>
  <c r="V96" i="6" s="1"/>
  <c r="D101" i="11"/>
  <c r="D99" i="11" s="1"/>
  <c r="M80" i="11"/>
  <c r="M79" i="11" s="1"/>
  <c r="F82" i="11"/>
  <c r="H92" i="11"/>
  <c r="D142" i="8"/>
  <c r="G122" i="8"/>
  <c r="G142" i="8" s="1"/>
  <c r="C93" i="11" l="1"/>
  <c r="D93" i="11" s="1"/>
  <c r="D119" i="8"/>
  <c r="D139" i="8" s="1"/>
  <c r="X96" i="6"/>
  <c r="H93" i="11"/>
  <c r="I92" i="11"/>
  <c r="D117" i="8"/>
  <c r="E98" i="11"/>
  <c r="D120" i="8"/>
  <c r="G119" i="8" l="1"/>
  <c r="G139" i="8" s="1"/>
  <c r="D118" i="8"/>
  <c r="D138" i="8" s="1"/>
  <c r="E99" i="11"/>
  <c r="G120" i="8"/>
  <c r="G140" i="8" s="1"/>
  <c r="D140" i="8"/>
  <c r="G117" i="8"/>
  <c r="G137" i="8" s="1"/>
  <c r="D137" i="8"/>
  <c r="G118" i="8" l="1"/>
  <c r="G138" i="8" s="1"/>
  <c r="D6" i="16" l="1"/>
  <c r="D7" i="16"/>
  <c r="E108" i="8" l="1"/>
  <c r="E110" i="8" s="1"/>
  <c r="J64" i="6"/>
  <c r="J67" i="6"/>
  <c r="J65" i="6"/>
  <c r="J76" i="6"/>
  <c r="J75" i="6"/>
  <c r="J70" i="6"/>
  <c r="E65" i="6"/>
  <c r="E64" i="6" s="1"/>
  <c r="E71" i="6" s="1"/>
  <c r="E36" i="6"/>
  <c r="J26" i="6"/>
  <c r="E37" i="6"/>
  <c r="J36" i="6"/>
  <c r="J35" i="6"/>
  <c r="E76" i="6"/>
  <c r="J77" i="6"/>
  <c r="J23" i="6"/>
  <c r="J24" i="6"/>
  <c r="E24" i="6"/>
  <c r="E77" i="6"/>
  <c r="J69" i="6"/>
  <c r="E107" i="6"/>
  <c r="J37" i="6"/>
  <c r="J39" i="6"/>
  <c r="J79" i="6"/>
  <c r="J29" i="6"/>
  <c r="J28" i="6"/>
  <c r="J80" i="6"/>
  <c r="J40" i="6"/>
  <c r="J56" i="6"/>
  <c r="J8" i="6"/>
  <c r="J14" i="6"/>
  <c r="W14" i="6" s="1"/>
  <c r="W18" i="6"/>
  <c r="J13" i="6"/>
  <c r="W13" i="6" s="1"/>
  <c r="J12" i="6"/>
  <c r="W12" i="6" s="1"/>
  <c r="J17" i="6"/>
  <c r="W17" i="6" s="1"/>
  <c r="J9" i="6"/>
  <c r="W9" i="6" s="1"/>
  <c r="J53" i="6"/>
  <c r="J16" i="6"/>
  <c r="W16" i="6" s="1"/>
  <c r="E14" i="6"/>
  <c r="R14" i="6" s="1"/>
  <c r="J11" i="6"/>
  <c r="W11" i="6" s="1"/>
  <c r="J48" i="6"/>
  <c r="J10" i="6"/>
  <c r="W10" i="6" s="1"/>
  <c r="E8" i="6"/>
  <c r="R8" i="6" s="1"/>
  <c r="E13" i="6"/>
  <c r="R13" i="6" s="1"/>
  <c r="J57" i="6"/>
  <c r="E15" i="6"/>
  <c r="R15" i="6" s="1"/>
  <c r="J52" i="6"/>
  <c r="J49" i="6"/>
  <c r="J51" i="6"/>
  <c r="E11" i="6"/>
  <c r="R11" i="6" s="1"/>
  <c r="J54" i="6"/>
  <c r="W54" i="6" s="1"/>
  <c r="E9" i="6"/>
  <c r="R9" i="6" s="1"/>
  <c r="J50" i="6"/>
  <c r="E12" i="6"/>
  <c r="R12" i="6" s="1"/>
  <c r="E52" i="6"/>
  <c r="R52" i="6" s="1"/>
  <c r="E49" i="6"/>
  <c r="E54" i="6"/>
  <c r="R54" i="6" s="1"/>
  <c r="E55" i="6"/>
  <c r="E53" i="6"/>
  <c r="R53" i="6" s="1"/>
  <c r="E51" i="6"/>
  <c r="R51" i="6" s="1"/>
  <c r="E48" i="6"/>
  <c r="R48" i="6" s="1"/>
  <c r="D8" i="16"/>
  <c r="F108" i="8"/>
  <c r="F110" i="8" s="1"/>
  <c r="K64" i="6"/>
  <c r="K67" i="6"/>
  <c r="K65" i="6"/>
  <c r="K37" i="6"/>
  <c r="F36" i="6"/>
  <c r="F77" i="6"/>
  <c r="F24" i="6"/>
  <c r="K24" i="6"/>
  <c r="K69" i="6"/>
  <c r="K75" i="6"/>
  <c r="K70" i="6"/>
  <c r="K26" i="6"/>
  <c r="F65" i="6"/>
  <c r="F64" i="6" s="1"/>
  <c r="F71" i="6" s="1"/>
  <c r="F37" i="6"/>
  <c r="F76" i="6"/>
  <c r="K77" i="6"/>
  <c r="K36" i="6"/>
  <c r="K35" i="6"/>
  <c r="K76" i="6"/>
  <c r="K23" i="6"/>
  <c r="F107" i="6"/>
  <c r="K39" i="6"/>
  <c r="K28" i="6"/>
  <c r="K29" i="6"/>
  <c r="K79" i="6"/>
  <c r="K80" i="6"/>
  <c r="K40" i="6"/>
  <c r="F8" i="6"/>
  <c r="K50" i="6"/>
  <c r="K51" i="6"/>
  <c r="K56" i="6"/>
  <c r="K12" i="6"/>
  <c r="F14" i="6"/>
  <c r="K14" i="6"/>
  <c r="F13" i="6"/>
  <c r="K52" i="6"/>
  <c r="F11" i="6"/>
  <c r="K16" i="6"/>
  <c r="K54" i="6"/>
  <c r="F9" i="6"/>
  <c r="K9" i="6"/>
  <c r="K53" i="6"/>
  <c r="K11" i="6"/>
  <c r="K48" i="6"/>
  <c r="F12" i="6"/>
  <c r="K10" i="6"/>
  <c r="K13" i="6"/>
  <c r="K57" i="6"/>
  <c r="K17" i="6"/>
  <c r="K8" i="6"/>
  <c r="K49" i="6"/>
  <c r="F15" i="6"/>
  <c r="F51" i="6"/>
  <c r="F48" i="6"/>
  <c r="F54" i="6"/>
  <c r="F52" i="6"/>
  <c r="F49" i="6"/>
  <c r="F53" i="6"/>
  <c r="F55" i="6"/>
  <c r="C108" i="8"/>
  <c r="C110" i="8" s="1"/>
  <c r="C37" i="6"/>
  <c r="H36" i="6"/>
  <c r="H23" i="6"/>
  <c r="H64" i="6"/>
  <c r="H65" i="6"/>
  <c r="H76" i="6"/>
  <c r="C65" i="6"/>
  <c r="C64" i="6" s="1"/>
  <c r="C71" i="6" s="1"/>
  <c r="H67" i="6"/>
  <c r="H37" i="6"/>
  <c r="C76" i="6"/>
  <c r="C107" i="6"/>
  <c r="C24" i="6"/>
  <c r="H26" i="6"/>
  <c r="H35" i="6"/>
  <c r="C36" i="6"/>
  <c r="C77" i="6"/>
  <c r="H77" i="6"/>
  <c r="H75" i="6"/>
  <c r="H29" i="6"/>
  <c r="H69" i="6"/>
  <c r="H39" i="6"/>
  <c r="H70" i="6"/>
  <c r="H28" i="6"/>
  <c r="H79" i="6"/>
  <c r="H40" i="6"/>
  <c r="H80" i="6"/>
  <c r="H54" i="6"/>
  <c r="U54" i="6" s="1"/>
  <c r="H49" i="6"/>
  <c r="H57" i="6"/>
  <c r="H11" i="6"/>
  <c r="U11" i="6" s="1"/>
  <c r="H52" i="6"/>
  <c r="C12" i="6"/>
  <c r="P12" i="6" s="1"/>
  <c r="C11" i="6"/>
  <c r="H16" i="6"/>
  <c r="U16" i="6" s="1"/>
  <c r="C8" i="6"/>
  <c r="P8" i="6" s="1"/>
  <c r="C13" i="6"/>
  <c r="P13" i="6" s="1"/>
  <c r="H56" i="6"/>
  <c r="H10" i="6"/>
  <c r="U10" i="6" s="1"/>
  <c r="H9" i="6"/>
  <c r="U9" i="6" s="1"/>
  <c r="H12" i="6"/>
  <c r="U12" i="6" s="1"/>
  <c r="H53" i="6"/>
  <c r="U53" i="6" s="1"/>
  <c r="H8" i="6"/>
  <c r="U14" i="6"/>
  <c r="U18" i="6"/>
  <c r="H13" i="6"/>
  <c r="U13" i="6" s="1"/>
  <c r="C14" i="6"/>
  <c r="P14" i="6" s="1"/>
  <c r="C9" i="6"/>
  <c r="P9" i="6" s="1"/>
  <c r="H50" i="6"/>
  <c r="U50" i="6" s="1"/>
  <c r="P15" i="6"/>
  <c r="H48" i="6"/>
  <c r="H17" i="6"/>
  <c r="U17" i="6" s="1"/>
  <c r="H51" i="6"/>
  <c r="U51" i="6" s="1"/>
  <c r="C55" i="6"/>
  <c r="C96" i="6" s="1"/>
  <c r="P96" i="6" s="1"/>
  <c r="C49" i="6"/>
  <c r="P49" i="6" s="1"/>
  <c r="C53" i="6"/>
  <c r="P53" i="6" s="1"/>
  <c r="C54" i="6"/>
  <c r="P54" i="6" s="1"/>
  <c r="C51" i="6"/>
  <c r="P51" i="6" s="1"/>
  <c r="C52" i="6"/>
  <c r="P52" i="6" s="1"/>
  <c r="C48" i="6"/>
  <c r="U52" i="6" l="1"/>
  <c r="H93" i="6"/>
  <c r="U93" i="6" s="1"/>
  <c r="H98" i="6"/>
  <c r="U98" i="6" s="1"/>
  <c r="U49" i="6"/>
  <c r="H90" i="6"/>
  <c r="H105" i="6"/>
  <c r="W52" i="6"/>
  <c r="J93" i="6"/>
  <c r="W93" i="6" s="1"/>
  <c r="H47" i="6"/>
  <c r="H59" i="6" s="1"/>
  <c r="K93" i="6"/>
  <c r="H110" i="6"/>
  <c r="C106" i="6"/>
  <c r="P48" i="6"/>
  <c r="P47" i="6" s="1"/>
  <c r="C89" i="6"/>
  <c r="E96" i="6"/>
  <c r="R96" i="6" s="1"/>
  <c r="K95" i="6"/>
  <c r="F95" i="6"/>
  <c r="F96" i="6"/>
  <c r="H119" i="6"/>
  <c r="U58" i="6"/>
  <c r="K98" i="6"/>
  <c r="W48" i="6"/>
  <c r="J47" i="6"/>
  <c r="J59" i="6" s="1"/>
  <c r="K97" i="6"/>
  <c r="U56" i="6"/>
  <c r="H97" i="6"/>
  <c r="U97" i="6" s="1"/>
  <c r="U57" i="6"/>
  <c r="W57" i="6"/>
  <c r="J98" i="6"/>
  <c r="W98" i="6" s="1"/>
  <c r="W8" i="6"/>
  <c r="W7" i="6" s="1"/>
  <c r="W19" i="6" s="1"/>
  <c r="J7" i="6"/>
  <c r="J19" i="6" s="1"/>
  <c r="K47" i="6"/>
  <c r="K59" i="6" s="1"/>
  <c r="W56" i="6"/>
  <c r="J97" i="6"/>
  <c r="W97" i="6" s="1"/>
  <c r="U48" i="6"/>
  <c r="H89" i="6"/>
  <c r="U8" i="6"/>
  <c r="U7" i="6" s="1"/>
  <c r="U19" i="6" s="1"/>
  <c r="H7" i="6"/>
  <c r="H19" i="6" s="1"/>
  <c r="K7" i="6"/>
  <c r="K19" i="6" s="1"/>
  <c r="C35" i="6"/>
  <c r="N10" i="8" s="1"/>
  <c r="D21" i="8" s="1"/>
  <c r="E119" i="6"/>
  <c r="H118" i="6"/>
  <c r="H38" i="6"/>
  <c r="F119" i="6"/>
  <c r="J106" i="6"/>
  <c r="K122" i="6"/>
  <c r="H117" i="6"/>
  <c r="F93" i="6"/>
  <c r="R50" i="6"/>
  <c r="R7" i="6"/>
  <c r="C10" i="6"/>
  <c r="P11" i="6"/>
  <c r="R55" i="6"/>
  <c r="R10" i="6"/>
  <c r="J91" i="6"/>
  <c r="W91" i="6" s="1"/>
  <c r="W50" i="6"/>
  <c r="P7" i="6"/>
  <c r="K111" i="6"/>
  <c r="K119" i="6"/>
  <c r="E90" i="6"/>
  <c r="R90" i="6" s="1"/>
  <c r="R49" i="6"/>
  <c r="R47" i="6" s="1"/>
  <c r="J90" i="6"/>
  <c r="W90" i="6" s="1"/>
  <c r="W49" i="6"/>
  <c r="J94" i="6"/>
  <c r="W94" i="6" s="1"/>
  <c r="W53" i="6"/>
  <c r="P50" i="6"/>
  <c r="P55" i="6"/>
  <c r="J92" i="6"/>
  <c r="W92" i="6" s="1"/>
  <c r="W51" i="6"/>
  <c r="W58" i="6"/>
  <c r="L31" i="8"/>
  <c r="L91" i="8" s="1"/>
  <c r="K92" i="6"/>
  <c r="C119" i="6"/>
  <c r="H106" i="6"/>
  <c r="F94" i="6"/>
  <c r="K106" i="6"/>
  <c r="K68" i="6"/>
  <c r="K71" i="6" s="1"/>
  <c r="E7" i="6"/>
  <c r="K108" i="6"/>
  <c r="J108" i="6"/>
  <c r="K94" i="6"/>
  <c r="C95" i="6"/>
  <c r="P95" i="6" s="1"/>
  <c r="H91" i="6"/>
  <c r="U91" i="6" s="1"/>
  <c r="H92" i="6"/>
  <c r="U92" i="6" s="1"/>
  <c r="P31" i="8"/>
  <c r="P91" i="8" s="1"/>
  <c r="D108" i="8"/>
  <c r="D110" i="8" s="1"/>
  <c r="I65" i="6"/>
  <c r="I64" i="6"/>
  <c r="I67" i="6"/>
  <c r="I35" i="6"/>
  <c r="D77" i="6"/>
  <c r="I77" i="6"/>
  <c r="I69" i="6"/>
  <c r="D107" i="6"/>
  <c r="I26" i="6"/>
  <c r="I36" i="6"/>
  <c r="D76" i="6"/>
  <c r="D36" i="6"/>
  <c r="I76" i="6"/>
  <c r="D65" i="6"/>
  <c r="D64" i="6" s="1"/>
  <c r="D71" i="6" s="1"/>
  <c r="D24" i="6"/>
  <c r="I70" i="6"/>
  <c r="I23" i="6"/>
  <c r="D37" i="6"/>
  <c r="I37" i="6"/>
  <c r="I75" i="6"/>
  <c r="I24" i="6"/>
  <c r="I79" i="6"/>
  <c r="I28" i="6"/>
  <c r="I29" i="6"/>
  <c r="I39" i="6"/>
  <c r="I40" i="6"/>
  <c r="I80" i="6"/>
  <c r="I16" i="6"/>
  <c r="V16" i="6" s="1"/>
  <c r="X16" i="6" s="1"/>
  <c r="D9" i="6"/>
  <c r="Q9" i="6" s="1"/>
  <c r="S9" i="6" s="1"/>
  <c r="I10" i="6"/>
  <c r="V10" i="6" s="1"/>
  <c r="X10" i="6" s="1"/>
  <c r="I9" i="6"/>
  <c r="V9" i="6" s="1"/>
  <c r="X9" i="6" s="1"/>
  <c r="I53" i="6"/>
  <c r="V53" i="6" s="1"/>
  <c r="D13" i="6"/>
  <c r="Q13" i="6" s="1"/>
  <c r="D14" i="6"/>
  <c r="Q14" i="6" s="1"/>
  <c r="S14" i="6" s="1"/>
  <c r="D15" i="6"/>
  <c r="Q15" i="6" s="1"/>
  <c r="S15" i="6" s="1"/>
  <c r="I8" i="6"/>
  <c r="I14" i="6"/>
  <c r="V14" i="6" s="1"/>
  <c r="X14" i="6" s="1"/>
  <c r="I11" i="6"/>
  <c r="V11" i="6" s="1"/>
  <c r="X11" i="6" s="1"/>
  <c r="I52" i="6"/>
  <c r="I48" i="6"/>
  <c r="D12" i="6"/>
  <c r="Q12" i="6" s="1"/>
  <c r="S12" i="6" s="1"/>
  <c r="D8" i="6"/>
  <c r="Q8" i="6" s="1"/>
  <c r="I56" i="6"/>
  <c r="I49" i="6"/>
  <c r="V49" i="6" s="1"/>
  <c r="I12" i="6"/>
  <c r="V12" i="6" s="1"/>
  <c r="X12" i="6" s="1"/>
  <c r="I50" i="6"/>
  <c r="I17" i="6"/>
  <c r="V17" i="6" s="1"/>
  <c r="X17" i="6" s="1"/>
  <c r="I51" i="6"/>
  <c r="V51" i="6" s="1"/>
  <c r="D11" i="6"/>
  <c r="Q11" i="6" s="1"/>
  <c r="I54" i="6"/>
  <c r="V54" i="6" s="1"/>
  <c r="V18" i="6"/>
  <c r="X18" i="6" s="1"/>
  <c r="I13" i="6"/>
  <c r="V13" i="6" s="1"/>
  <c r="X13" i="6" s="1"/>
  <c r="I57" i="6"/>
  <c r="D54" i="6"/>
  <c r="Q54" i="6" s="1"/>
  <c r="S54" i="6" s="1"/>
  <c r="D55" i="6"/>
  <c r="D49" i="6"/>
  <c r="D53" i="6"/>
  <c r="Q53" i="6" s="1"/>
  <c r="D52" i="6"/>
  <c r="Q52" i="6" s="1"/>
  <c r="S52" i="6" s="1"/>
  <c r="D48" i="6"/>
  <c r="Q48" i="6" s="1"/>
  <c r="S48" i="6" s="1"/>
  <c r="D51" i="6"/>
  <c r="Q51" i="6" s="1"/>
  <c r="S51" i="6" s="1"/>
  <c r="F10" i="6"/>
  <c r="E95" i="6"/>
  <c r="R95" i="6" s="1"/>
  <c r="H94" i="6"/>
  <c r="U94" i="6" s="1"/>
  <c r="K117" i="6"/>
  <c r="E10" i="6"/>
  <c r="E89" i="6"/>
  <c r="E47" i="6"/>
  <c r="J27" i="6"/>
  <c r="J30" i="6" s="1"/>
  <c r="J110" i="6"/>
  <c r="J119" i="6"/>
  <c r="C47" i="6"/>
  <c r="C59" i="6" s="1"/>
  <c r="U90" i="6"/>
  <c r="H121" i="6"/>
  <c r="H68" i="6"/>
  <c r="H71" i="6" s="1"/>
  <c r="C23" i="6"/>
  <c r="C30" i="6" s="1"/>
  <c r="H108" i="6"/>
  <c r="F47" i="6"/>
  <c r="F89" i="6"/>
  <c r="K90" i="6"/>
  <c r="K89" i="6"/>
  <c r="F7" i="6"/>
  <c r="F35" i="6"/>
  <c r="F41" i="6" s="1"/>
  <c r="K105" i="6"/>
  <c r="E50" i="6"/>
  <c r="E92" i="6"/>
  <c r="J89" i="6"/>
  <c r="J111" i="6"/>
  <c r="E23" i="6"/>
  <c r="E30" i="6" s="1"/>
  <c r="E106" i="6"/>
  <c r="E75" i="6"/>
  <c r="E81" i="6" s="1"/>
  <c r="P33" i="8" s="1"/>
  <c r="J117" i="6"/>
  <c r="J105" i="6"/>
  <c r="C92" i="6"/>
  <c r="C50" i="6"/>
  <c r="H78" i="6"/>
  <c r="H81" i="6" s="1"/>
  <c r="N34" i="8" s="1"/>
  <c r="H122" i="6"/>
  <c r="C75" i="6"/>
  <c r="C81" i="6" s="1"/>
  <c r="N33" i="8" s="1"/>
  <c r="C118" i="6"/>
  <c r="F23" i="6"/>
  <c r="F30" i="6" s="1"/>
  <c r="F106" i="6"/>
  <c r="J78" i="6"/>
  <c r="J81" i="6" s="1"/>
  <c r="P34" i="8" s="1"/>
  <c r="J122" i="6"/>
  <c r="K91" i="6"/>
  <c r="K121" i="6"/>
  <c r="K78" i="6"/>
  <c r="K81" i="6" s="1"/>
  <c r="L34" i="8" s="1"/>
  <c r="C94" i="6"/>
  <c r="P94" i="6" s="1"/>
  <c r="C7" i="6"/>
  <c r="C93" i="6"/>
  <c r="P93" i="6" s="1"/>
  <c r="C90" i="6"/>
  <c r="P90" i="6" s="1"/>
  <c r="H95" i="6"/>
  <c r="U95" i="6" s="1"/>
  <c r="H27" i="6"/>
  <c r="H30" i="6" s="1"/>
  <c r="H111" i="6"/>
  <c r="N31" i="8"/>
  <c r="N91" i="8" s="1"/>
  <c r="F90" i="6"/>
  <c r="F92" i="6"/>
  <c r="F50" i="6"/>
  <c r="K38" i="6"/>
  <c r="K124" i="6" s="1"/>
  <c r="K27" i="6"/>
  <c r="K30" i="6" s="1"/>
  <c r="K110" i="6"/>
  <c r="K118" i="6"/>
  <c r="F75" i="6"/>
  <c r="F81" i="6" s="1"/>
  <c r="L33" i="8" s="1"/>
  <c r="F118" i="6"/>
  <c r="E94" i="6"/>
  <c r="R94" i="6" s="1"/>
  <c r="E93" i="6"/>
  <c r="R93" i="6" s="1"/>
  <c r="J95" i="6"/>
  <c r="W95" i="6" s="1"/>
  <c r="J38" i="6"/>
  <c r="J121" i="6"/>
  <c r="J68" i="6"/>
  <c r="J71" i="6" s="1"/>
  <c r="E118" i="6"/>
  <c r="E35" i="6"/>
  <c r="E41" i="6" s="1"/>
  <c r="J118" i="6"/>
  <c r="E59" i="6" l="1"/>
  <c r="F59" i="6"/>
  <c r="L29" i="8" s="1"/>
  <c r="L89" i="8" s="1"/>
  <c r="J124" i="6"/>
  <c r="F91" i="6"/>
  <c r="H124" i="6"/>
  <c r="I47" i="6"/>
  <c r="I59" i="6" s="1"/>
  <c r="E19" i="6"/>
  <c r="P6" i="8" s="1"/>
  <c r="E91" i="6"/>
  <c r="C91" i="6"/>
  <c r="C19" i="6"/>
  <c r="N6" i="8" s="1"/>
  <c r="N78" i="8" s="1"/>
  <c r="F19" i="6"/>
  <c r="L6" i="8" s="1"/>
  <c r="L78" i="8" s="1"/>
  <c r="U47" i="6"/>
  <c r="U59" i="6" s="1"/>
  <c r="V52" i="6"/>
  <c r="X52" i="6" s="1"/>
  <c r="I93" i="6"/>
  <c r="V93" i="6" s="1"/>
  <c r="X93" i="6" s="1"/>
  <c r="C88" i="6"/>
  <c r="H88" i="6"/>
  <c r="H100" i="6" s="1"/>
  <c r="E88" i="6"/>
  <c r="P59" i="6"/>
  <c r="K101" i="6"/>
  <c r="J88" i="6"/>
  <c r="J100" i="6" s="1"/>
  <c r="V56" i="6"/>
  <c r="X56" i="6" s="1"/>
  <c r="I97" i="6"/>
  <c r="V97" i="6" s="1"/>
  <c r="X97" i="6" s="1"/>
  <c r="V57" i="6"/>
  <c r="X57" i="6" s="1"/>
  <c r="I98" i="6"/>
  <c r="V98" i="6" s="1"/>
  <c r="X98" i="6" s="1"/>
  <c r="K88" i="6"/>
  <c r="K100" i="6" s="1"/>
  <c r="Q55" i="6"/>
  <c r="S55" i="6" s="1"/>
  <c r="D96" i="6"/>
  <c r="Q96" i="6" s="1"/>
  <c r="S96" i="6" s="1"/>
  <c r="V58" i="6"/>
  <c r="X58" i="6" s="1"/>
  <c r="V48" i="6"/>
  <c r="X48" i="6" s="1"/>
  <c r="V8" i="6"/>
  <c r="X8" i="6" s="1"/>
  <c r="X7" i="6" s="1"/>
  <c r="X19" i="6" s="1"/>
  <c r="I7" i="6"/>
  <c r="I19" i="6" s="1"/>
  <c r="X53" i="6"/>
  <c r="N29" i="8"/>
  <c r="P32" i="8"/>
  <c r="P92" i="8" s="1"/>
  <c r="N32" i="8"/>
  <c r="N92" i="8" s="1"/>
  <c r="L32" i="8"/>
  <c r="L92" i="8" s="1"/>
  <c r="L30" i="8"/>
  <c r="P30" i="8"/>
  <c r="P29" i="8"/>
  <c r="L7" i="8"/>
  <c r="L79" i="8" s="1"/>
  <c r="I111" i="6"/>
  <c r="E117" i="6"/>
  <c r="E123" i="6" s="1"/>
  <c r="K120" i="6"/>
  <c r="K123" i="6" s="1"/>
  <c r="F105" i="6"/>
  <c r="F112" i="6" s="1"/>
  <c r="F117" i="6"/>
  <c r="F123" i="6" s="1"/>
  <c r="Q10" i="6"/>
  <c r="R22" i="6"/>
  <c r="X49" i="6"/>
  <c r="X51" i="6"/>
  <c r="U20" i="6"/>
  <c r="K109" i="6"/>
  <c r="K112" i="6" s="1"/>
  <c r="W47" i="6"/>
  <c r="W59" i="6" s="1"/>
  <c r="Q7" i="6"/>
  <c r="W20" i="6"/>
  <c r="R62" i="6"/>
  <c r="R59" i="6"/>
  <c r="I91" i="6"/>
  <c r="V91" i="6" s="1"/>
  <c r="X91" i="6" s="1"/>
  <c r="V50" i="6"/>
  <c r="X50" i="6" s="1"/>
  <c r="S50" i="6"/>
  <c r="R19" i="6"/>
  <c r="S53" i="6"/>
  <c r="Q50" i="6"/>
  <c r="D90" i="6"/>
  <c r="Q90" i="6" s="1"/>
  <c r="S90" i="6" s="1"/>
  <c r="Q49" i="6"/>
  <c r="S49" i="6" s="1"/>
  <c r="S47" i="6" s="1"/>
  <c r="X54" i="6"/>
  <c r="S8" i="6"/>
  <c r="S7" i="6" s="1"/>
  <c r="S13" i="6"/>
  <c r="P62" i="6"/>
  <c r="S11" i="6"/>
  <c r="S10" i="6" s="1"/>
  <c r="P10" i="6"/>
  <c r="P19" i="6" s="1"/>
  <c r="C117" i="6"/>
  <c r="C123" i="6" s="1"/>
  <c r="D10" i="6"/>
  <c r="F42" i="8"/>
  <c r="H120" i="6"/>
  <c r="H123" i="6" s="1"/>
  <c r="I117" i="6"/>
  <c r="I38" i="6"/>
  <c r="O31" i="8"/>
  <c r="O91" i="8" s="1"/>
  <c r="C105" i="6"/>
  <c r="C112" i="6" s="1"/>
  <c r="J109" i="6"/>
  <c r="J112" i="6" s="1"/>
  <c r="I68" i="6"/>
  <c r="I71" i="6" s="1"/>
  <c r="I108" i="6"/>
  <c r="I90" i="6"/>
  <c r="V90" i="6" s="1"/>
  <c r="X90" i="6" s="1"/>
  <c r="F88" i="6"/>
  <c r="D94" i="6"/>
  <c r="Q94" i="6" s="1"/>
  <c r="S94" i="6" s="1"/>
  <c r="I95" i="6"/>
  <c r="V95" i="6" s="1"/>
  <c r="X95" i="6" s="1"/>
  <c r="D7" i="6"/>
  <c r="P11" i="8"/>
  <c r="F22" i="8" s="1"/>
  <c r="D42" i="8"/>
  <c r="P8" i="8"/>
  <c r="E113" i="6"/>
  <c r="P10" i="8"/>
  <c r="F21" i="8" s="1"/>
  <c r="E124" i="6"/>
  <c r="N7" i="8"/>
  <c r="I121" i="6"/>
  <c r="I78" i="6"/>
  <c r="I81" i="6" s="1"/>
  <c r="O34" i="8" s="1"/>
  <c r="L9" i="8"/>
  <c r="L81" i="8" s="1"/>
  <c r="N9" i="8"/>
  <c r="D44" i="8"/>
  <c r="P9" i="8"/>
  <c r="J113" i="6"/>
  <c r="H109" i="6"/>
  <c r="H112" i="6" s="1"/>
  <c r="U89" i="6"/>
  <c r="J120" i="6"/>
  <c r="J123" i="6" s="1"/>
  <c r="L8" i="8"/>
  <c r="L80" i="8" s="1"/>
  <c r="F113" i="6"/>
  <c r="P92" i="6"/>
  <c r="F44" i="8"/>
  <c r="R92" i="6"/>
  <c r="R91" i="6" s="1"/>
  <c r="F124" i="6"/>
  <c r="L10" i="8"/>
  <c r="P7" i="8"/>
  <c r="D47" i="6"/>
  <c r="D89" i="6"/>
  <c r="I92" i="6"/>
  <c r="V92" i="6" s="1"/>
  <c r="X92" i="6" s="1"/>
  <c r="I89" i="6"/>
  <c r="I94" i="6"/>
  <c r="V94" i="6" s="1"/>
  <c r="X94" i="6" s="1"/>
  <c r="D35" i="6"/>
  <c r="D41" i="6" s="1"/>
  <c r="D119" i="6"/>
  <c r="I106" i="6"/>
  <c r="W89" i="6"/>
  <c r="W88" i="6" s="1"/>
  <c r="W100" i="6" s="1"/>
  <c r="R89" i="6"/>
  <c r="R88" i="6" s="1"/>
  <c r="L11" i="8"/>
  <c r="P89" i="6"/>
  <c r="D92" i="6"/>
  <c r="D50" i="6"/>
  <c r="I118" i="6"/>
  <c r="I105" i="6"/>
  <c r="C124" i="6"/>
  <c r="N11" i="8"/>
  <c r="D22" i="8" s="1"/>
  <c r="F45" i="8"/>
  <c r="D45" i="8"/>
  <c r="E105" i="6"/>
  <c r="E112" i="6" s="1"/>
  <c r="N8" i="8"/>
  <c r="C113" i="6"/>
  <c r="D93" i="6"/>
  <c r="Q93" i="6" s="1"/>
  <c r="S93" i="6" s="1"/>
  <c r="D95" i="6"/>
  <c r="Q95" i="6" s="1"/>
  <c r="S95" i="6" s="1"/>
  <c r="I122" i="6"/>
  <c r="I27" i="6"/>
  <c r="I30" i="6" s="1"/>
  <c r="I110" i="6"/>
  <c r="I119" i="6"/>
  <c r="D23" i="6"/>
  <c r="D30" i="6" s="1"/>
  <c r="D106" i="6"/>
  <c r="D75" i="6"/>
  <c r="D81" i="6" s="1"/>
  <c r="O33" i="8" s="1"/>
  <c r="D118" i="6"/>
  <c r="D59" i="6" l="1"/>
  <c r="C100" i="6"/>
  <c r="F100" i="6"/>
  <c r="C101" i="6"/>
  <c r="D91" i="6"/>
  <c r="I124" i="6"/>
  <c r="D19" i="6"/>
  <c r="O6" i="8" s="1"/>
  <c r="E17" i="8" s="1"/>
  <c r="W60" i="6"/>
  <c r="U60" i="6"/>
  <c r="K113" i="6"/>
  <c r="P22" i="6"/>
  <c r="F43" i="8"/>
  <c r="I88" i="6"/>
  <c r="I100" i="6" s="1"/>
  <c r="E100" i="6"/>
  <c r="V7" i="6"/>
  <c r="V19" i="6" s="1"/>
  <c r="V20" i="6" s="1"/>
  <c r="J101" i="6"/>
  <c r="D43" i="8"/>
  <c r="H113" i="6"/>
  <c r="O32" i="8"/>
  <c r="O92" i="8" s="1"/>
  <c r="P36" i="8"/>
  <c r="P96" i="8" s="1"/>
  <c r="F41" i="8"/>
  <c r="P90" i="8"/>
  <c r="L90" i="8"/>
  <c r="L36" i="8"/>
  <c r="L96" i="8" s="1"/>
  <c r="H101" i="6"/>
  <c r="N30" i="8"/>
  <c r="O30" i="8"/>
  <c r="E41" i="8" s="1"/>
  <c r="I109" i="6"/>
  <c r="I112" i="6" s="1"/>
  <c r="R20" i="6"/>
  <c r="Q22" i="6"/>
  <c r="Q19" i="6"/>
  <c r="S62" i="6"/>
  <c r="S22" i="6"/>
  <c r="S59" i="6"/>
  <c r="V47" i="6"/>
  <c r="V59" i="6" s="1"/>
  <c r="S19" i="6"/>
  <c r="R60" i="6"/>
  <c r="R103" i="6"/>
  <c r="P20" i="6"/>
  <c r="X47" i="6"/>
  <c r="X59" i="6" s="1"/>
  <c r="Q47" i="6"/>
  <c r="P60" i="6"/>
  <c r="D117" i="6"/>
  <c r="D123" i="6" s="1"/>
  <c r="E42" i="8"/>
  <c r="G42" i="8" s="1"/>
  <c r="Q31" i="8" s="1"/>
  <c r="Q91" i="8" s="1"/>
  <c r="I120" i="6"/>
  <c r="I123" i="6" s="1"/>
  <c r="D105" i="6"/>
  <c r="D112" i="6" s="1"/>
  <c r="F101" i="6"/>
  <c r="R100" i="6"/>
  <c r="W101" i="6"/>
  <c r="E101" i="6"/>
  <c r="O11" i="8"/>
  <c r="E22" i="8" s="1"/>
  <c r="G22" i="8" s="1"/>
  <c r="Q11" i="8" s="1"/>
  <c r="V89" i="6"/>
  <c r="V88" i="6" s="1"/>
  <c r="V100" i="6" s="1"/>
  <c r="D113" i="6"/>
  <c r="O8" i="8"/>
  <c r="P89" i="8"/>
  <c r="F40" i="8"/>
  <c r="F46" i="8" s="1"/>
  <c r="P35" i="8"/>
  <c r="P95" i="8" s="1"/>
  <c r="L12" i="8"/>
  <c r="L82" i="8" s="1"/>
  <c r="D17" i="8"/>
  <c r="N12" i="8"/>
  <c r="N82" i="8" s="1"/>
  <c r="L13" i="8"/>
  <c r="L83" i="8" s="1"/>
  <c r="P81" i="8"/>
  <c r="F20" i="8"/>
  <c r="F17" i="8"/>
  <c r="P12" i="8"/>
  <c r="P82" i="8" s="1"/>
  <c r="P78" i="8"/>
  <c r="I113" i="6"/>
  <c r="O9" i="8"/>
  <c r="N89" i="8"/>
  <c r="N35" i="8"/>
  <c r="N95" i="8" s="1"/>
  <c r="D40" i="8"/>
  <c r="N79" i="8"/>
  <c r="N13" i="8"/>
  <c r="N83" i="8" s="1"/>
  <c r="D18" i="8"/>
  <c r="P88" i="6"/>
  <c r="O7" i="8"/>
  <c r="Q89" i="6"/>
  <c r="Q88" i="6" s="1"/>
  <c r="D88" i="6"/>
  <c r="P13" i="8"/>
  <c r="P83" i="8" s="1"/>
  <c r="F18" i="8"/>
  <c r="P79" i="8"/>
  <c r="U88" i="6"/>
  <c r="U100" i="6" s="1"/>
  <c r="U101" i="6" s="1"/>
  <c r="Q92" i="6"/>
  <c r="Q91" i="6" s="1"/>
  <c r="O10" i="8"/>
  <c r="E21" i="8" s="1"/>
  <c r="G21" i="8" s="1"/>
  <c r="Q10" i="8" s="1"/>
  <c r="D124" i="6"/>
  <c r="E45" i="8"/>
  <c r="G45" i="8" s="1"/>
  <c r="Q34" i="8" s="1"/>
  <c r="E44" i="8"/>
  <c r="G44" i="8" s="1"/>
  <c r="Q33" i="8" s="1"/>
  <c r="N80" i="8"/>
  <c r="D19" i="8"/>
  <c r="L35" i="8"/>
  <c r="L95" i="8" s="1"/>
  <c r="P91" i="6"/>
  <c r="D20" i="8"/>
  <c r="N81" i="8"/>
  <c r="F19" i="8"/>
  <c r="P80" i="8"/>
  <c r="F47" i="8" l="1"/>
  <c r="V60" i="6"/>
  <c r="D100" i="6"/>
  <c r="E43" i="8"/>
  <c r="G43" i="8" s="1"/>
  <c r="Q32" i="8" s="1"/>
  <c r="Q92" i="8" s="1"/>
  <c r="I101" i="6"/>
  <c r="O90" i="8"/>
  <c r="N36" i="8"/>
  <c r="N96" i="8" s="1"/>
  <c r="D41" i="8"/>
  <c r="D47" i="8" s="1"/>
  <c r="N90" i="8"/>
  <c r="O36" i="8"/>
  <c r="O96" i="8" s="1"/>
  <c r="O78" i="8"/>
  <c r="Q62" i="6"/>
  <c r="Q59" i="6"/>
  <c r="Q60" i="6" s="1"/>
  <c r="Q20" i="6"/>
  <c r="P103" i="6"/>
  <c r="Q103" i="6"/>
  <c r="F24" i="8"/>
  <c r="O12" i="8"/>
  <c r="O82" i="8" s="1"/>
  <c r="Q100" i="6"/>
  <c r="V101" i="6"/>
  <c r="R101" i="6"/>
  <c r="S89" i="6"/>
  <c r="S88" i="6" s="1"/>
  <c r="F23" i="8"/>
  <c r="S92" i="6"/>
  <c r="S91" i="6" s="1"/>
  <c r="P100" i="6"/>
  <c r="P101" i="6" s="1"/>
  <c r="O29" i="8"/>
  <c r="D101" i="6"/>
  <c r="D46" i="8"/>
  <c r="E20" i="8"/>
  <c r="G20" i="8" s="1"/>
  <c r="Q9" i="8" s="1"/>
  <c r="Q81" i="8" s="1"/>
  <c r="O81" i="8"/>
  <c r="X89" i="6"/>
  <c r="X88" i="6" s="1"/>
  <c r="X100" i="6" s="1"/>
  <c r="O79" i="8"/>
  <c r="O13" i="8"/>
  <c r="O83" i="8" s="1"/>
  <c r="E18" i="8"/>
  <c r="G18" i="8" s="1"/>
  <c r="Q7" i="8" s="1"/>
  <c r="D24" i="8"/>
  <c r="D23" i="8"/>
  <c r="G17" i="8"/>
  <c r="Q6" i="8" s="1"/>
  <c r="O80" i="8"/>
  <c r="E19" i="8"/>
  <c r="G19" i="8" s="1"/>
  <c r="Q8" i="8" s="1"/>
  <c r="Q80" i="8" s="1"/>
  <c r="E47" i="8" l="1"/>
  <c r="G47" i="8" s="1"/>
  <c r="G41" i="8"/>
  <c r="Q30" i="8" s="1"/>
  <c r="Q90" i="8" s="1"/>
  <c r="S103" i="6"/>
  <c r="Q101" i="6"/>
  <c r="S100" i="6"/>
  <c r="E23" i="8"/>
  <c r="G23" i="8" s="1"/>
  <c r="O35" i="8"/>
  <c r="O95" i="8" s="1"/>
  <c r="E40" i="8"/>
  <c r="O89" i="8"/>
  <c r="Q13" i="8"/>
  <c r="Q83" i="8" s="1"/>
  <c r="Q79" i="8"/>
  <c r="Q12" i="8"/>
  <c r="Q82" i="8" s="1"/>
  <c r="Q78" i="8"/>
  <c r="E24" i="8"/>
  <c r="G24" i="8" s="1"/>
  <c r="Q36" i="8" l="1"/>
  <c r="Q96" i="8" s="1"/>
  <c r="E46" i="8"/>
  <c r="G46" i="8" s="1"/>
  <c r="G40" i="8"/>
  <c r="Q29" i="8" s="1"/>
  <c r="Q89" i="8" l="1"/>
  <c r="Q35" i="8"/>
  <c r="Q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ALBI</author>
    <author>smendoza</author>
  </authors>
  <commentList>
    <comment ref="B6" authorId="0" shapeId="0" xr:uid="{00000000-0006-0000-0300-000001000000}">
      <text>
        <r>
          <rPr>
            <b/>
            <sz val="9"/>
            <color indexed="81"/>
            <rFont val="Tahoma"/>
            <family val="2"/>
          </rPr>
          <t xml:space="preserve">Itzel Lima: </t>
        </r>
        <r>
          <rPr>
            <sz val="9"/>
            <color indexed="81"/>
            <rFont val="Tahoma"/>
            <family val="2"/>
          </rPr>
          <t xml:space="preserve">Información de cambio climático </t>
        </r>
      </text>
    </comment>
    <comment ref="B10" authorId="0" shapeId="0" xr:uid="{00000000-0006-0000-0300-000002000000}">
      <text>
        <r>
          <rPr>
            <b/>
            <sz val="9"/>
            <color indexed="81"/>
            <rFont val="Tahoma"/>
            <family val="2"/>
          </rPr>
          <t>Itzel Lima:</t>
        </r>
        <r>
          <rPr>
            <sz val="9"/>
            <color indexed="81"/>
            <rFont val="Tahoma"/>
            <family val="2"/>
          </rPr>
          <t xml:space="preserve">
No se encontró información de semáforos por lo que se tomo el % que se reporto en 2016.
</t>
        </r>
      </text>
    </comment>
    <comment ref="D86" authorId="1" shapeId="0" xr:uid="{00000000-0006-0000-0300-000003000000}">
      <text>
        <r>
          <rPr>
            <b/>
            <sz val="10"/>
            <color indexed="81"/>
            <rFont val="Tahoma"/>
            <family val="2"/>
          </rPr>
          <t>smendoza:</t>
        </r>
        <r>
          <rPr>
            <sz val="10"/>
            <color indexed="81"/>
            <rFont val="Tahoma"/>
            <family val="2"/>
          </rPr>
          <t xml:space="preserve">
sector servicios del sector privado</t>
        </r>
      </text>
    </comment>
    <comment ref="I86" authorId="1" shapeId="0" xr:uid="{00000000-0006-0000-0300-000004000000}">
      <text>
        <r>
          <rPr>
            <b/>
            <sz val="10"/>
            <color indexed="81"/>
            <rFont val="Tahoma"/>
            <family val="2"/>
          </rPr>
          <t>smendoza:</t>
        </r>
        <r>
          <rPr>
            <sz val="10"/>
            <color indexed="81"/>
            <rFont val="Tahoma"/>
            <family val="2"/>
          </rPr>
          <t xml:space="preserve">
sector servicios del sector privado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smendoza</author>
  </authors>
  <commentList>
    <comment ref="G14" authorId="0" shapeId="0" xr:uid="{00000000-0006-0000-0600-000001000000}">
      <text>
        <r>
          <rPr>
            <b/>
            <sz val="10"/>
            <color indexed="81"/>
            <rFont val="Tahoma"/>
            <family val="2"/>
          </rPr>
          <t>smendoza:</t>
        </r>
        <r>
          <rPr>
            <sz val="10"/>
            <color indexed="81"/>
            <rFont val="Tahoma"/>
            <family val="2"/>
          </rPr>
          <t xml:space="preserve">
sector servicios del sector privado</t>
        </r>
      </text>
    </comment>
  </commentList>
</comments>
</file>

<file path=xl/sharedStrings.xml><?xml version="1.0" encoding="utf-8"?>
<sst xmlns="http://schemas.openxmlformats.org/spreadsheetml/2006/main" count="1615" uniqueCount="343">
  <si>
    <t>DIRECCIÓN GENERAL DE GESTIÓN DE LA CALIDAD DEL AIRE</t>
  </si>
  <si>
    <t>DIRECCIÓN DE PROGRAMAS DE CALIDAD DEL AIRE E INVENTARIO DE EMISIONES</t>
  </si>
  <si>
    <t>SUBDIRECCIÓN DE INVENTARIO Y MODELACIÓN</t>
  </si>
  <si>
    <t>FUENTES DE ÁREA</t>
  </si>
  <si>
    <t>METODOLOGÍA:</t>
  </si>
  <si>
    <t>Fuentes:</t>
  </si>
  <si>
    <t>Entidad</t>
  </si>
  <si>
    <t>CO</t>
  </si>
  <si>
    <r>
      <t>CO</t>
    </r>
    <r>
      <rPr>
        <b/>
        <vertAlign val="subscript"/>
        <sz val="7.5"/>
        <color theme="1"/>
        <rFont val="Arial"/>
        <family val="2"/>
      </rPr>
      <t xml:space="preserve">2 </t>
    </r>
  </si>
  <si>
    <r>
      <t>CH</t>
    </r>
    <r>
      <rPr>
        <b/>
        <vertAlign val="subscript"/>
        <sz val="7.5"/>
        <color theme="1"/>
        <rFont val="Arial"/>
        <family val="2"/>
      </rPr>
      <t>4</t>
    </r>
  </si>
  <si>
    <r>
      <t>N</t>
    </r>
    <r>
      <rPr>
        <b/>
        <vertAlign val="subscript"/>
        <sz val="7.5"/>
        <color theme="1"/>
        <rFont val="Arial"/>
        <family val="2"/>
      </rPr>
      <t>2</t>
    </r>
    <r>
      <rPr>
        <b/>
        <sz val="7.5"/>
        <color theme="1"/>
        <rFont val="Arial"/>
        <family val="2"/>
      </rPr>
      <t>O</t>
    </r>
  </si>
  <si>
    <t>CDMX</t>
  </si>
  <si>
    <t>N/A</t>
  </si>
  <si>
    <t>EDOMEX</t>
  </si>
  <si>
    <t>ZMVM</t>
  </si>
  <si>
    <t>Estimación de CO2 e</t>
  </si>
  <si>
    <t>CO2 e</t>
  </si>
  <si>
    <t>Potencial de calentamiento</t>
  </si>
  <si>
    <t>PM10</t>
  </si>
  <si>
    <t>PM2.5</t>
  </si>
  <si>
    <r>
      <t>SO</t>
    </r>
    <r>
      <rPr>
        <b/>
        <vertAlign val="subscript"/>
        <sz val="7.5"/>
        <color theme="1"/>
        <rFont val="Arial"/>
        <family val="2"/>
      </rPr>
      <t>2</t>
    </r>
  </si>
  <si>
    <t>NOX</t>
  </si>
  <si>
    <t>COT</t>
  </si>
  <si>
    <t>COV</t>
  </si>
  <si>
    <r>
      <t>NH</t>
    </r>
    <r>
      <rPr>
        <b/>
        <vertAlign val="subscript"/>
        <sz val="7.5"/>
        <color theme="1"/>
        <rFont val="Arial"/>
        <family val="2"/>
      </rPr>
      <t>3</t>
    </r>
  </si>
  <si>
    <t>Carbono Negro</t>
  </si>
  <si>
    <t>Tóxicos</t>
  </si>
  <si>
    <t>CO2 eq.</t>
  </si>
  <si>
    <t>HFC</t>
  </si>
  <si>
    <t>CATEGORIA:Emisiones GEI por Generación de Electricidad</t>
  </si>
  <si>
    <t>FUENTE DE EMISIÓN:</t>
  </si>
  <si>
    <t xml:space="preserve">Generación de energía </t>
  </si>
  <si>
    <t xml:space="preserve">SUBCATEGORÍAS: </t>
  </si>
  <si>
    <t xml:space="preserve">Emsiones Generación de energía </t>
  </si>
  <si>
    <t>Sector</t>
  </si>
  <si>
    <t>Gobierno</t>
  </si>
  <si>
    <t>Comunidad</t>
  </si>
  <si>
    <t>%</t>
  </si>
  <si>
    <t>Fuente 2</t>
  </si>
  <si>
    <t>Emisiones por Generación de Electricidad</t>
  </si>
  <si>
    <t>Emisiones por Electricidad importada</t>
  </si>
  <si>
    <t>[ton CO2 /año]</t>
  </si>
  <si>
    <t>[ton CH4 /año]</t>
  </si>
  <si>
    <t>[ton N2O/año]</t>
  </si>
  <si>
    <t>Alumbrado</t>
  </si>
  <si>
    <t>Residencial</t>
  </si>
  <si>
    <t>Alumbrado público</t>
  </si>
  <si>
    <t>Casa independiente</t>
  </si>
  <si>
    <t>Alumbrado decorativo</t>
  </si>
  <si>
    <t>Departamento en edificio</t>
  </si>
  <si>
    <t>Edificios GDF y semáforos</t>
  </si>
  <si>
    <t>Vivienda en vecindad</t>
  </si>
  <si>
    <t>Edificios GDF</t>
  </si>
  <si>
    <t>Vivienda móvil, refugio u otras</t>
  </si>
  <si>
    <t>Semáforos</t>
  </si>
  <si>
    <t>Bombeo</t>
  </si>
  <si>
    <t>Vivienda en cuarto de azotea</t>
  </si>
  <si>
    <t>STC- Metro</t>
  </si>
  <si>
    <t>Local no construido para habitación</t>
  </si>
  <si>
    <t>STE: trolebús, tren ligero</t>
  </si>
  <si>
    <t>Comercial-Servicios</t>
  </si>
  <si>
    <t>Agrícola</t>
  </si>
  <si>
    <t>Industria</t>
  </si>
  <si>
    <t>Total</t>
  </si>
  <si>
    <t>FACTORES DE EMISIÓN GEI</t>
  </si>
  <si>
    <t>CO2</t>
  </si>
  <si>
    <t>CH4</t>
  </si>
  <si>
    <t>APF</t>
  </si>
  <si>
    <t>MWh/año</t>
  </si>
  <si>
    <t>Tipo de vivienda</t>
  </si>
  <si>
    <t>% de consumo</t>
  </si>
  <si>
    <t>Consumo doméstico</t>
  </si>
  <si>
    <t>Consumo por anual por habitante</t>
  </si>
  <si>
    <t>GWh/año</t>
  </si>
  <si>
    <t xml:space="preserve">Consumo per cápita </t>
  </si>
  <si>
    <t>KWh/año-habitante</t>
  </si>
  <si>
    <t>No especificado</t>
  </si>
  <si>
    <t>Actividad/Servicio</t>
  </si>
  <si>
    <t xml:space="preserve">Alumbrado </t>
  </si>
  <si>
    <t>Bombeo SACM</t>
  </si>
  <si>
    <t>Transportes eléctricos</t>
  </si>
  <si>
    <t>Metro</t>
  </si>
  <si>
    <t>Sistema de Información Energética</t>
  </si>
  <si>
    <t>Sector Eléctrico Nacional</t>
  </si>
  <si>
    <t>Generación bruta de energía eléctrica por entidad federativa</t>
  </si>
  <si>
    <t>Ventas internas de energía eléctrica por entidad federativa</t>
  </si>
  <si>
    <t>(megawatts-hora)</t>
  </si>
  <si>
    <t>REALES-MENSUAL</t>
  </si>
  <si>
    <t/>
  </si>
  <si>
    <t>Edo. de México</t>
  </si>
  <si>
    <t>Del sistema de transporte colectivo SCT- metro</t>
  </si>
  <si>
    <t xml:space="preserve">Total de Energía consumida </t>
  </si>
  <si>
    <t>[GWh/año]</t>
  </si>
  <si>
    <t>Edificios GOBCDMX</t>
  </si>
  <si>
    <t>Edificios GOBCDMX y semáforos</t>
  </si>
  <si>
    <t>kWh/año</t>
  </si>
  <si>
    <t xml:space="preserve">Total </t>
  </si>
  <si>
    <t>MWh</t>
  </si>
  <si>
    <t>1GWh=</t>
  </si>
  <si>
    <t>Total consumo CDMX</t>
  </si>
  <si>
    <t>Consumo del Gobieno</t>
  </si>
  <si>
    <t>%Consumo</t>
  </si>
  <si>
    <t>Consumo de energía Importada GOBCDMX</t>
  </si>
  <si>
    <t>Energía importada CDMX</t>
  </si>
  <si>
    <t>Consumo de energía Importada Comunidad</t>
  </si>
  <si>
    <t xml:space="preserve">% de Consumo </t>
  </si>
  <si>
    <t xml:space="preserve">%de consumo </t>
  </si>
  <si>
    <t>Energía Generada CDMX</t>
  </si>
  <si>
    <t>Consumo de energía generada GOBCDMX</t>
  </si>
  <si>
    <t>Consumo de energía Generada Comunidad</t>
  </si>
  <si>
    <t>N2O</t>
  </si>
  <si>
    <t>Vivienda colectiva</t>
  </si>
  <si>
    <t>Total de Energía CDMX</t>
  </si>
  <si>
    <t>Consumo [GWh/año]</t>
  </si>
  <si>
    <t xml:space="preserve">GWh/año </t>
  </si>
  <si>
    <t>Ventas de energía total CDMX =</t>
  </si>
  <si>
    <t>Energía importada</t>
  </si>
  <si>
    <t>Energía Generada</t>
  </si>
  <si>
    <t xml:space="preserve">Energía total </t>
  </si>
  <si>
    <t>SECTOR</t>
  </si>
  <si>
    <t xml:space="preserve">Tipo de Energía </t>
  </si>
  <si>
    <t>Importada</t>
  </si>
  <si>
    <t>Generada</t>
  </si>
  <si>
    <t>Consumo Comunidad</t>
  </si>
  <si>
    <t xml:space="preserve">Gobierno </t>
  </si>
  <si>
    <t>CN</t>
  </si>
  <si>
    <t>[ton CN/ año]</t>
  </si>
  <si>
    <t xml:space="preserve">Emisiones totales </t>
  </si>
  <si>
    <t>Consumo de COMUNIDAD</t>
  </si>
  <si>
    <t>Para la estimación de emisiones por Generación de energía se utilizo la siguiente formula:</t>
  </si>
  <si>
    <t>en donde:</t>
  </si>
  <si>
    <r>
      <t>FA= Factor de emisión [ton</t>
    </r>
    <r>
      <rPr>
        <vertAlign val="subscript"/>
        <sz val="12"/>
        <color theme="1"/>
        <rFont val="Arial"/>
        <family val="2"/>
      </rPr>
      <t>Contaminate</t>
    </r>
    <r>
      <rPr>
        <sz val="11"/>
        <color theme="1"/>
        <rFont val="Arial"/>
        <family val="2"/>
      </rPr>
      <t>/GWh]</t>
    </r>
  </si>
  <si>
    <t>Fuente: Determinados por la SEDEMA</t>
  </si>
  <si>
    <t>Volumen de las ventas de energía por Tipo de Servicio</t>
  </si>
  <si>
    <t>Servicio</t>
  </si>
  <si>
    <t>Volumen de ventas [Megawatts-hora]</t>
  </si>
  <si>
    <t>Doméstico</t>
  </si>
  <si>
    <t>Bombero de aguas negras y potables</t>
  </si>
  <si>
    <t>Industrial y servicios.</t>
  </si>
  <si>
    <t>Ventas internas de energía eléctrica CDMX y EDOMEX.</t>
  </si>
  <si>
    <t>Ventas de energía por sector</t>
  </si>
  <si>
    <t>Concepto</t>
  </si>
  <si>
    <t>Tren Ligero</t>
  </si>
  <si>
    <t>Transporte eléctrico</t>
  </si>
  <si>
    <t>Transporte</t>
  </si>
  <si>
    <t>Tren ligero</t>
  </si>
  <si>
    <t>Consumo Total [GWh]</t>
  </si>
  <si>
    <t>GWh</t>
  </si>
  <si>
    <t>1kWh=</t>
  </si>
  <si>
    <t>1MWh=</t>
  </si>
  <si>
    <t>Volumen de ventas [Gigawatts-hora]</t>
  </si>
  <si>
    <t>Consumo de energía SERVICIOS  INDUSTRIAS [GWH]</t>
  </si>
  <si>
    <t>Comercios-Servicios</t>
  </si>
  <si>
    <t>Industrial</t>
  </si>
  <si>
    <t>Energía [GWh/año]</t>
  </si>
  <si>
    <t>% contribución</t>
  </si>
  <si>
    <t>Total Gob-Comu</t>
  </si>
  <si>
    <t>Servicio público</t>
  </si>
  <si>
    <t>Mediana</t>
  </si>
  <si>
    <t>Grande</t>
  </si>
  <si>
    <t>[MWh/año]</t>
  </si>
  <si>
    <t>Total consumo EDOMEX</t>
  </si>
  <si>
    <t>Consumo de energía Importada GOBEDOMEX</t>
  </si>
  <si>
    <t>Se estima con al diferencia entre la energía de consumo - energía generada</t>
  </si>
  <si>
    <t>Energía importada EDOMEX</t>
  </si>
  <si>
    <t>Energía Generada EDOMEX</t>
  </si>
  <si>
    <t>Total consumo Tizayuca</t>
  </si>
  <si>
    <t>Porcentaje del total de consumo</t>
  </si>
  <si>
    <t>Tizayuca</t>
  </si>
  <si>
    <t xml:space="preserve">Año </t>
  </si>
  <si>
    <t>Factores de emisión [ton/MWh]</t>
  </si>
  <si>
    <t>1kWH=</t>
  </si>
  <si>
    <t>IPCC, 2006</t>
  </si>
  <si>
    <t>Energía Electrica consumida Total</t>
  </si>
  <si>
    <t>TIZAYUCA</t>
  </si>
  <si>
    <t>ZMVMV</t>
  </si>
  <si>
    <t>Factor de energía</t>
  </si>
  <si>
    <t>TJ/MWh</t>
  </si>
  <si>
    <t>TJ/año</t>
  </si>
  <si>
    <t>Total CO2e</t>
  </si>
  <si>
    <t>Potenciales de calentamiento</t>
  </si>
  <si>
    <t>Emisiones totales en CO2 equivalente para CDP por consumo de energía electrica</t>
  </si>
  <si>
    <t>KWh/año</t>
  </si>
  <si>
    <t>Todos los tipos de edificios</t>
  </si>
  <si>
    <t>Municipales</t>
  </si>
  <si>
    <t>Residenciales</t>
  </si>
  <si>
    <t>comerciales</t>
  </si>
  <si>
    <t>Consumo MWh</t>
  </si>
  <si>
    <t>comercios y Servicios</t>
  </si>
  <si>
    <t>PARA SCOPE 2</t>
  </si>
  <si>
    <t>Fuente:</t>
  </si>
  <si>
    <t xml:space="preserve">Tizayuca </t>
  </si>
  <si>
    <t>https://www.gob.mx/cms/uploads/attachment/file/528054/Balance_Nacional_de_Energ_a_2018.pdf</t>
  </si>
  <si>
    <t>Trolebús</t>
  </si>
  <si>
    <t xml:space="preserve">Consumo de metro </t>
  </si>
  <si>
    <t>DA=Energía eléctrica generada y energía eléctrica importada [GWh/año]</t>
  </si>
  <si>
    <t>Consumo de energía eléctrica por transporte eléctrico</t>
  </si>
  <si>
    <t>Volumen de ventas [Mega watts-hora]</t>
  </si>
  <si>
    <t>Consumo de energía eléctrica CDMX</t>
  </si>
  <si>
    <t>Consumo del Gobierno</t>
  </si>
  <si>
    <t>Consumo de energía eléctrica EDOMEX</t>
  </si>
  <si>
    <t xml:space="preserve">Para estimar la energía importada se realiza un balance de energía  (Energía de consumo-Energía generada=Energía importada), para la distribución de energía importada y generada por Jurisdicción se consideran los % de consumo. </t>
  </si>
  <si>
    <t>Consumo de energía eléctrica Tizayuca</t>
  </si>
  <si>
    <t>Hidalgo</t>
  </si>
  <si>
    <t xml:space="preserve">Pasajeros Transportados </t>
  </si>
  <si>
    <t>Unidades en pasajeros transportados en el servicio de transportes eléctricos</t>
  </si>
  <si>
    <t>[GWh]</t>
  </si>
  <si>
    <t>Gob y comunidad</t>
  </si>
  <si>
    <t>Ciudad de México</t>
  </si>
  <si>
    <r>
      <rPr>
        <b/>
        <sz val="18"/>
        <color theme="9" tint="-0.499984740745262"/>
        <rFont val="Arial"/>
        <family val="2"/>
      </rPr>
      <t>Información</t>
    </r>
    <r>
      <rPr>
        <b/>
        <sz val="20"/>
        <color theme="9" tint="-0.499984740745262"/>
        <rFont val="Arial"/>
        <family val="2"/>
      </rPr>
      <t xml:space="preserve"> TIZAYUCA</t>
    </r>
  </si>
  <si>
    <r>
      <rPr>
        <b/>
        <sz val="18"/>
        <color theme="9" tint="-0.499984740745262"/>
        <rFont val="Arial"/>
        <family val="2"/>
      </rPr>
      <t>Información</t>
    </r>
    <r>
      <rPr>
        <b/>
        <sz val="20"/>
        <color theme="9" tint="-0.499984740745262"/>
        <rFont val="Arial"/>
        <family val="2"/>
      </rPr>
      <t xml:space="preserve"> EDOMEX</t>
    </r>
    <r>
      <rPr>
        <b/>
        <sz val="16"/>
        <color theme="9" tint="-0.499984740745262"/>
        <rFont val="Arial"/>
        <family val="2"/>
      </rPr>
      <t xml:space="preserve"> 59 municipios</t>
    </r>
  </si>
  <si>
    <r>
      <rPr>
        <b/>
        <sz val="18"/>
        <color theme="9" tint="-0.499984740745262"/>
        <rFont val="Arial"/>
        <family val="2"/>
      </rPr>
      <t>Información</t>
    </r>
    <r>
      <rPr>
        <b/>
        <sz val="16"/>
        <color theme="9" tint="-0.499984740745262"/>
        <rFont val="Arial"/>
        <family val="2"/>
      </rPr>
      <t xml:space="preserve"> </t>
    </r>
    <r>
      <rPr>
        <b/>
        <sz val="20"/>
        <color theme="9" tint="-0.499984740745262"/>
        <rFont val="Arial"/>
        <family val="2"/>
      </rPr>
      <t>CDMX</t>
    </r>
  </si>
  <si>
    <t>2. Se realiza un balance de energía consumida por sector (Gobierno y comunidad) y por actividad.</t>
  </si>
  <si>
    <t xml:space="preserve">Emisiones por consumo de energía electrica generada </t>
  </si>
  <si>
    <t>Se considera el total del consumo</t>
  </si>
  <si>
    <t>Emisiones por consumo de electricidad importada</t>
  </si>
  <si>
    <t>SECRETARIA DEL MEDIO AMBIENTE DEL GOBIERNO DE LA CIUDAD DE MÉXICO</t>
  </si>
  <si>
    <t>JUD DE INVENTARIO DE SEGUIMIENTO Y EVALUACIÓN DE PROYECTOS</t>
  </si>
  <si>
    <t>1. Se determina el consumo energía eléctrica doméstico para la ZMVM que abarca 16 Alcaldías de la CDMX, 59 municipios del EDOMEX y el municipio de Tizayuca Hgo.</t>
  </si>
  <si>
    <t>Fuente 1 y 4</t>
  </si>
  <si>
    <t>Edificios Gob. CDMX</t>
  </si>
  <si>
    <t>Edificos Gob. CDMX</t>
  </si>
  <si>
    <t>Edificios Gob. CDMX y semáforos</t>
  </si>
  <si>
    <t>Industria, comercios-servicios, edif. Gob. CDMX y semáforos</t>
  </si>
  <si>
    <r>
      <t>SO</t>
    </r>
    <r>
      <rPr>
        <b/>
        <vertAlign val="subscript"/>
        <sz val="7.5"/>
        <color theme="0"/>
        <rFont val="Arial"/>
        <family val="2"/>
      </rPr>
      <t>2</t>
    </r>
  </si>
  <si>
    <r>
      <t>NH</t>
    </r>
    <r>
      <rPr>
        <b/>
        <vertAlign val="subscript"/>
        <sz val="7.5"/>
        <color theme="0"/>
        <rFont val="Arial"/>
        <family val="2"/>
      </rPr>
      <t>3</t>
    </r>
  </si>
  <si>
    <r>
      <t>CO</t>
    </r>
    <r>
      <rPr>
        <b/>
        <vertAlign val="subscript"/>
        <sz val="7.5"/>
        <color theme="0"/>
        <rFont val="Arial"/>
        <family val="2"/>
      </rPr>
      <t xml:space="preserve">2 </t>
    </r>
  </si>
  <si>
    <r>
      <t>CH</t>
    </r>
    <r>
      <rPr>
        <b/>
        <vertAlign val="subscript"/>
        <sz val="7.5"/>
        <color theme="0"/>
        <rFont val="Arial"/>
        <family val="2"/>
      </rPr>
      <t>4</t>
    </r>
  </si>
  <si>
    <r>
      <t>N</t>
    </r>
    <r>
      <rPr>
        <b/>
        <vertAlign val="subscript"/>
        <sz val="7.5"/>
        <color theme="0"/>
        <rFont val="Arial"/>
        <family val="2"/>
      </rPr>
      <t>2</t>
    </r>
    <r>
      <rPr>
        <b/>
        <sz val="7.5"/>
        <color theme="0"/>
        <rFont val="Arial"/>
        <family val="2"/>
      </rPr>
      <t>O</t>
    </r>
  </si>
  <si>
    <t>Diferencia en emisiones [%]</t>
  </si>
  <si>
    <r>
      <t>SO</t>
    </r>
    <r>
      <rPr>
        <b/>
        <vertAlign val="subscript"/>
        <sz val="9"/>
        <color theme="0"/>
        <rFont val="Arial"/>
        <family val="2"/>
      </rPr>
      <t>2</t>
    </r>
  </si>
  <si>
    <r>
      <t>NH</t>
    </r>
    <r>
      <rPr>
        <b/>
        <vertAlign val="subscript"/>
        <sz val="9"/>
        <color theme="0"/>
        <rFont val="Arial"/>
        <family val="2"/>
      </rPr>
      <t>3</t>
    </r>
  </si>
  <si>
    <r>
      <t>CO</t>
    </r>
    <r>
      <rPr>
        <b/>
        <vertAlign val="subscript"/>
        <sz val="9"/>
        <color theme="0"/>
        <rFont val="Arial"/>
        <family val="2"/>
      </rPr>
      <t xml:space="preserve">2 </t>
    </r>
  </si>
  <si>
    <r>
      <t>CH</t>
    </r>
    <r>
      <rPr>
        <b/>
        <vertAlign val="subscript"/>
        <sz val="9"/>
        <color theme="0"/>
        <rFont val="Arial"/>
        <family val="2"/>
      </rPr>
      <t>4</t>
    </r>
  </si>
  <si>
    <r>
      <t>N</t>
    </r>
    <r>
      <rPr>
        <b/>
        <vertAlign val="subscript"/>
        <sz val="9"/>
        <color theme="0"/>
        <rFont val="Arial"/>
        <family val="2"/>
      </rPr>
      <t>2</t>
    </r>
    <r>
      <rPr>
        <b/>
        <sz val="9"/>
        <color theme="0"/>
        <rFont val="Arial"/>
        <family val="2"/>
      </rPr>
      <t>O</t>
    </r>
  </si>
  <si>
    <t>Se asume que toda la energía es generada, no hay importación</t>
  </si>
  <si>
    <t>Para Tizayuca se considera el 100% de consumo de energía generada, no hay importación.</t>
  </si>
  <si>
    <t>Emisiones por consumo de Electricidad generada en la entidad</t>
  </si>
  <si>
    <r>
      <t>SO</t>
    </r>
    <r>
      <rPr>
        <b/>
        <vertAlign val="subscript"/>
        <sz val="10"/>
        <color theme="1"/>
        <rFont val="Arial"/>
        <family val="2"/>
      </rPr>
      <t>2</t>
    </r>
  </si>
  <si>
    <r>
      <t>NH</t>
    </r>
    <r>
      <rPr>
        <b/>
        <vertAlign val="subscript"/>
        <sz val="10"/>
        <color theme="1"/>
        <rFont val="Arial"/>
        <family val="2"/>
      </rPr>
      <t>3</t>
    </r>
  </si>
  <si>
    <r>
      <t>CO</t>
    </r>
    <r>
      <rPr>
        <b/>
        <vertAlign val="subscript"/>
        <sz val="10"/>
        <color theme="1"/>
        <rFont val="Arial"/>
        <family val="2"/>
      </rPr>
      <t xml:space="preserve">2 </t>
    </r>
  </si>
  <si>
    <r>
      <t>CH</t>
    </r>
    <r>
      <rPr>
        <b/>
        <vertAlign val="subscript"/>
        <sz val="10"/>
        <color theme="1"/>
        <rFont val="Arial"/>
        <family val="2"/>
      </rPr>
      <t>4</t>
    </r>
  </si>
  <si>
    <r>
      <t>N</t>
    </r>
    <r>
      <rPr>
        <b/>
        <vertAlign val="subscript"/>
        <sz val="10"/>
        <color theme="1"/>
        <rFont val="Arial"/>
        <family val="2"/>
      </rPr>
      <t>2</t>
    </r>
    <r>
      <rPr>
        <b/>
        <sz val="10"/>
        <color theme="1"/>
        <rFont val="Arial"/>
        <family val="2"/>
      </rPr>
      <t>O</t>
    </r>
  </si>
  <si>
    <t>Emisiones por consumo de Electricidad importada</t>
  </si>
  <si>
    <t>Actualización de los factores de emisión de contaminantes criterio y GEI</t>
  </si>
  <si>
    <t>Para CIRIS</t>
  </si>
  <si>
    <t>Institucional MWh</t>
  </si>
  <si>
    <t>Electricidad institucional</t>
  </si>
  <si>
    <t>Institucional</t>
  </si>
  <si>
    <t>NO SE CONTÓ CON INFORMACIÓN DESAGREGADA MENSUALMENTE</t>
  </si>
  <si>
    <t>Volumen de ventas [MWh]</t>
  </si>
  <si>
    <t>Volumen de ventas [GWh]</t>
  </si>
  <si>
    <t>Consumo Total [KWh]</t>
  </si>
  <si>
    <t>Fuente 5</t>
  </si>
  <si>
    <t>Población (2020)</t>
  </si>
  <si>
    <t>Viviendas con eléctricidad 2020</t>
  </si>
  <si>
    <t>para cuestionario CDP pregunta (3), sección edificios</t>
  </si>
  <si>
    <t>Emisiones totales por entidad federativa  por consumo de electricidad generada  [t/año]</t>
  </si>
  <si>
    <t>Emisiones totales por entidad federativa  por electricidad importada  [t/año]</t>
  </si>
  <si>
    <t>Fuentes 3 y 6</t>
  </si>
  <si>
    <t>Energía Eléctrica 2020 [GWh]</t>
  </si>
  <si>
    <t>Casa independiente (terreno)</t>
  </si>
  <si>
    <t>Generación bruta de energía eléctrica CDMX, EDOMEX e Hidalgo</t>
  </si>
  <si>
    <t>Consumo de energía eléctrica por pasajero</t>
  </si>
  <si>
    <t>[kWh/pasajero]</t>
  </si>
  <si>
    <t>Información 2018</t>
  </si>
  <si>
    <t>Balance de energía consumida por el  GOBCDMX</t>
  </si>
  <si>
    <t>Balance de Energía Doméstica consumida</t>
  </si>
  <si>
    <t>SCOPE 1</t>
  </si>
  <si>
    <t>% contribución 2018</t>
  </si>
  <si>
    <t>Energía importada Tizayuca</t>
  </si>
  <si>
    <t>Energía Generada Tizayuca</t>
  </si>
  <si>
    <t>Datos de Ferrocarriles Suburbanos</t>
  </si>
  <si>
    <t>Tren suburbano</t>
  </si>
  <si>
    <t>Tren Suburbano</t>
  </si>
  <si>
    <t>concesión derecho de vía, operado por particulares</t>
  </si>
  <si>
    <t>3. Una vez con la energía de consumida por sector y actividad, se determina la energía generada e importada, para la energía importada se realiza la diferencia entre Ventas y generada.</t>
  </si>
  <si>
    <t>Dato 2020</t>
  </si>
  <si>
    <t>Viviendas con eléctricidad 2022</t>
  </si>
  <si>
    <t>Población (2022)</t>
  </si>
  <si>
    <t>Factores de emisión [t/GWh]</t>
  </si>
  <si>
    <t>Total 2022</t>
  </si>
  <si>
    <t>Energía consumida por el STC-metro 2022</t>
  </si>
  <si>
    <t>Energía consumida por el Tren Suburbano 2022 (fracción CDMX)</t>
  </si>
  <si>
    <t>Por actualizar</t>
  </si>
  <si>
    <t xml:space="preserve">Cablebús </t>
  </si>
  <si>
    <t>Consumo de energía eléctrica de edificios e instalaciones GCM 2022, Información proporcionada por la Dirección de Cambio Climático y Proyectos Sustentables, proporcionado en marzo de 2024, vía correo electrónico; y vía whatsapp el 22 de octubre de 2024.</t>
  </si>
  <si>
    <t>INFORMACIÓN 2022</t>
  </si>
  <si>
    <t>Viviendas con electricidad 2022</t>
  </si>
  <si>
    <t>Energía 2022 [GWh/año]</t>
  </si>
  <si>
    <t>STE: trolebús, tren ligero, cablebús</t>
  </si>
  <si>
    <t>Balance de Electricidad consumida en la CDMX 2022</t>
  </si>
  <si>
    <t xml:space="preserve">Se utiliza información del 2018 para estimar los porcentajes de consumo y obtener el consumo 2022  en el caso de los sectores que no cuentan con información. </t>
  </si>
  <si>
    <t>Se utiliza el % 2018 para separar comercios y servicios de Industria ya que en 2022 se reportan juntos.</t>
  </si>
  <si>
    <t>Dato Fijas</t>
  </si>
  <si>
    <t>Datos para distribución de industria, comercios y servicios</t>
  </si>
  <si>
    <t>Fuente: Reporte Anual del Sistema Eléctrico del Estado de México. https://cee.edomex.gob.mx/sites/cee.edomex.gob.mx/files/files/Reporte%20Energ%C3%A9tico%20del%20Estado%20de%20M%C3%A9xico%20(1).pdf</t>
  </si>
  <si>
    <t>Porcentaje</t>
  </si>
  <si>
    <t>Comercios y servicios</t>
  </si>
  <si>
    <t>Ind. Mediana</t>
  </si>
  <si>
    <t>Ind. Grande</t>
  </si>
  <si>
    <t>Datos para distribución con información de Conahcyt, 2022</t>
  </si>
  <si>
    <t>industria mediana</t>
  </si>
  <si>
    <t>industria grande</t>
  </si>
  <si>
    <t>comercios y servicios</t>
  </si>
  <si>
    <t>industria</t>
  </si>
  <si>
    <t>% industria</t>
  </si>
  <si>
    <t>NO HAY DATO PARA REPORTAR</t>
  </si>
  <si>
    <t>Conahcyt (s/f). Energía y Cambio Climático. Consumo de energía eléctrica 2022. Consultado en octubre de 2023, de: https://energia.conacyt.mx/planeas/electricidad/consumo</t>
  </si>
  <si>
    <t>Gobierno del Estado de México (2023). Reporte Anual del Sistema Eléctrico del GEM REASE. Consultado en octubre de 2024 de: https://cee.edomex.gob.mx/sites/cee.edomex.gob.mx/files/files/Reporte%20Energ%C3%A9tico%20del%20Estado%20de%20M%C3%A9xico%20(1).pdf</t>
  </si>
  <si>
    <t>SEMARNAT (2024). Inventario de fuentes fijas de competencia federal 2022, proporcionada de manera económica por la Dirección de Calidad del Aire de la Semarnat, en octubre de 2024</t>
  </si>
  <si>
    <t>SENER (2023).  Generación bruta de energía eléctrica por entidad federativa. Sistema de Información Energética con información de CFE y Productores Independientes de Energía (PIE). Consultado en diciembre de 2023 en: https://sie.energia.gob.mx/difusion/#/cuadros</t>
  </si>
  <si>
    <t>SENER (2023) . Sistema de Información Energética con información de CFE, incluye extinta LyFC. Consumo de energía eléctrica por entidad federativa . Consultado en agosto de 2024 en: https://sie.energia.gob.mx/difusion/#/cuadros</t>
  </si>
  <si>
    <t>Fuente: 1 y 4</t>
  </si>
  <si>
    <t>INEGI (2024). Principales Indicadores del transporte eléctrico, Energia eléctrica consumida. Banco de información Económica de INEGI. Consultado  en octubre de 2024. Consultado en: https://www.inegi.org.mx/app/indicadores/?tm=0</t>
  </si>
  <si>
    <t>Ferrocarriles Suburbanos (2023). Datos de operación del tren suburbano, 2022. Enviado por la Dirección de Operaciones de Ferrocarriles Suburbanos S.A.P.I. de C.V., vía correo electrónico el 18 de septiembre de 2023.</t>
  </si>
  <si>
    <t>ENIGH (2023). Encuesta Nacional de Ingresos y Gastos en Hogares 2022. Consultado en noviembre de 2023, en: https://www.inegi.org.mx/programas/enigh/nc/2022/#tabulados</t>
  </si>
  <si>
    <t>Fuentes: 8 y 9</t>
  </si>
  <si>
    <t>Conapo (2023). Proyecciones de Población de México y de las Entidades Federativas. Población a mitad de año, 1950-2070. Consultado en diciembre de 2023, disponible en: https://datos.gob.mx/busca/dataset/proyecciones-de-la-poblacion-de-mexico-y-de-las-entidades-federativas-2020-2070</t>
  </si>
  <si>
    <t>Fuente: 10</t>
  </si>
  <si>
    <t>Cablebús</t>
  </si>
  <si>
    <t xml:space="preserve">Fuente 5 </t>
  </si>
  <si>
    <t>Fuente 7</t>
  </si>
  <si>
    <t>Fuente 4</t>
  </si>
  <si>
    <t>En este caso se considera que no hay energía importada porque la energía que se consume es inferior a la energía generada en la entidad.</t>
  </si>
  <si>
    <t>2022 vs 2020</t>
  </si>
  <si>
    <t>Se utilizaron combustibles para la Generación de Electricidad en la zona centro, anteriormente se utilizaban datos nacionales</t>
  </si>
  <si>
    <t>Nuevos potenciales de calentamiento, Sexta comunicación IPCC</t>
  </si>
  <si>
    <t>Emisiones totales por entidad federativa  por electricidad importada 2020 [t/año]</t>
  </si>
  <si>
    <t>Emisiones totales por entidad federativa  por generación de eléctricidad, 2020  [t/año]</t>
  </si>
  <si>
    <t>Las emisiones estimadas en el IE2022 presentan diferencias  respecto a las reportadas en el EI2020, por las siguiente razones:</t>
  </si>
  <si>
    <t>Energía Eléctrica 2022 [GWh]</t>
  </si>
  <si>
    <t>Energía Eléctrica 2022 vs 2020 [%]</t>
  </si>
  <si>
    <t xml:space="preserve">Total consumo </t>
  </si>
  <si>
    <t xml:space="preserve">Se utilizan los porcentajes de consumo del 2020 para obtener el consumo 2022. </t>
  </si>
  <si>
    <t>Información 2020</t>
  </si>
  <si>
    <t>Falta actualizar</t>
  </si>
  <si>
    <t>Mexicable</t>
  </si>
  <si>
    <t xml:space="preserve">Energía consumida por el Tren Suburbano  (fracción EDOMEX) y Mexicable 2022 </t>
  </si>
  <si>
    <t>Consumo de energía</t>
  </si>
  <si>
    <t>Sistema Mexicable</t>
  </si>
  <si>
    <t>Fuente: 2 y 10</t>
  </si>
  <si>
    <t>quitando energía de transporte eléctrico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</si>
</sst>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3" formatCode="_-* #,##0.00_-;\-* #,##0.00_-;_-* &quot;-&quot;??_-;_-@_-"/>
    <numFmt numFmtId="164" formatCode="#,##0;[Red]#,##0"/>
    <numFmt numFmtId="165" formatCode="_-* #,##0.0_-;\-* #,##0.0_-;_-* &quot;-&quot;??_-;_-@_-"/>
    <numFmt numFmtId="166" formatCode="#,##0.0"/>
    <numFmt numFmtId="167" formatCode="0.0%"/>
    <numFmt numFmtId="168" formatCode="_-* #,##0_-;\-* #,##0_-;_-* &quot;-&quot;??_-;_-@_-"/>
    <numFmt numFmtId="169" formatCode="_-* #,##0.000_-;\-* #,##0.000_-;_-* &quot;-&quot;??_-;_-@_-"/>
    <numFmt numFmtId="170" formatCode="0.000%"/>
    <numFmt numFmtId="171" formatCode="#,##0;#,##0"/>
    <numFmt numFmtId="172" formatCode="_-* #,##0.0000_-;\-* #,##0.0000_-;_-* &quot;-&quot;??_-;_-@_-"/>
    <numFmt numFmtId="173" formatCode="0.000000"/>
    <numFmt numFmtId="174" formatCode="_-* #,##0.00000_-;\-* #,##0.00000_-;_-* &quot;-&quot;??_-;_-@_-"/>
    <numFmt numFmtId="175" formatCode="_-* #,##0.000000_-;\-* #,##0.000000_-;_-* &quot;-&quot;??_-;_-@_-"/>
    <numFmt numFmtId="176" formatCode="#,##0.000"/>
    <numFmt numFmtId="177" formatCode="#,##0.0000"/>
    <numFmt numFmtId="178" formatCode="#,##0.00000"/>
  </numFmts>
  <fonts count="9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color rgb="FFFF149B"/>
      <name val="Calibri"/>
      <family val="2"/>
      <scheme val="minor"/>
    </font>
    <font>
      <sz val="10"/>
      <name val="Arial"/>
      <family val="2"/>
    </font>
    <font>
      <sz val="11"/>
      <color theme="1"/>
      <name val="Arial"/>
      <family val="2"/>
    </font>
    <font>
      <b/>
      <sz val="7.5"/>
      <color theme="1"/>
      <name val="Arial"/>
      <family val="2"/>
    </font>
    <font>
      <b/>
      <vertAlign val="subscript"/>
      <sz val="7.5"/>
      <color theme="1"/>
      <name val="Arial"/>
      <family val="2"/>
    </font>
    <font>
      <sz val="10"/>
      <color theme="1"/>
      <name val="Calibri"/>
      <family val="2"/>
      <scheme val="minor"/>
    </font>
    <font>
      <sz val="9"/>
      <color theme="1"/>
      <name val="Calibri"/>
      <family val="2"/>
      <scheme val="minor"/>
    </font>
    <font>
      <sz val="11"/>
      <name val="Calibri"/>
      <family val="2"/>
      <charset val="1"/>
    </font>
    <font>
      <b/>
      <sz val="10"/>
      <color theme="1"/>
      <name val="Calibri"/>
      <family val="2"/>
      <scheme val="minor"/>
    </font>
    <font>
      <sz val="11"/>
      <name val="Calibri"/>
      <family val="2"/>
      <scheme val="minor"/>
    </font>
    <font>
      <b/>
      <sz val="10"/>
      <name val="Arial"/>
      <family val="2"/>
    </font>
    <font>
      <b/>
      <sz val="11"/>
      <color theme="1"/>
      <name val="Arial"/>
      <family val="2"/>
    </font>
    <font>
      <sz val="11"/>
      <color rgb="FFFF33CC"/>
      <name val="Arial"/>
      <family val="2"/>
    </font>
    <font>
      <b/>
      <sz val="10"/>
      <color theme="1"/>
      <name val="Arial"/>
      <family val="2"/>
    </font>
    <font>
      <b/>
      <sz val="10"/>
      <name val="Calibri"/>
      <family val="2"/>
      <scheme val="minor"/>
    </font>
    <font>
      <sz val="11"/>
      <name val="Arial"/>
      <family val="2"/>
    </font>
    <font>
      <i/>
      <sz val="9"/>
      <name val="Arial"/>
      <family val="2"/>
    </font>
    <font>
      <b/>
      <sz val="11"/>
      <name val="Arial"/>
      <family val="2"/>
    </font>
    <font>
      <b/>
      <sz val="11"/>
      <color theme="1"/>
      <name val="Arial Unicode MS"/>
      <family val="2"/>
    </font>
    <font>
      <b/>
      <sz val="10"/>
      <color indexed="81"/>
      <name val="Tahoma"/>
      <family val="2"/>
    </font>
    <font>
      <sz val="10"/>
      <color indexed="81"/>
      <name val="Tahoma"/>
      <family val="2"/>
    </font>
    <font>
      <i/>
      <sz val="9"/>
      <color theme="1"/>
      <name val="Arial"/>
      <family val="2"/>
    </font>
    <font>
      <sz val="10"/>
      <color theme="1"/>
      <name val="Arial"/>
      <family val="2"/>
    </font>
    <font>
      <u/>
      <sz val="11"/>
      <color theme="10"/>
      <name val="Calibri"/>
      <family val="2"/>
      <scheme val="minor"/>
    </font>
    <font>
      <sz val="16"/>
      <color rgb="FF0070C0"/>
      <name val="Calibri"/>
      <family val="2"/>
      <scheme val="minor"/>
    </font>
    <font>
      <i/>
      <sz val="10"/>
      <color theme="1"/>
      <name val="Arial"/>
      <family val="2"/>
    </font>
    <font>
      <b/>
      <sz val="9"/>
      <color theme="1"/>
      <name val="Arial"/>
      <family val="2"/>
    </font>
    <font>
      <sz val="9"/>
      <name val="Arial"/>
      <family val="2"/>
    </font>
    <font>
      <i/>
      <sz val="11"/>
      <name val="Arial"/>
      <family val="2"/>
    </font>
    <font>
      <sz val="11"/>
      <color rgb="FFFF0000"/>
      <name val="Calibri"/>
      <family val="2"/>
      <scheme val="minor"/>
    </font>
    <font>
      <b/>
      <sz val="11"/>
      <color rgb="FFFF0000"/>
      <name val="Calibri"/>
      <family val="2"/>
      <scheme val="minor"/>
    </font>
    <font>
      <b/>
      <sz val="11"/>
      <name val="Calibri"/>
      <family val="2"/>
      <scheme val="minor"/>
    </font>
    <font>
      <i/>
      <sz val="10"/>
      <name val="Arial"/>
      <family val="2"/>
    </font>
    <font>
      <b/>
      <sz val="12"/>
      <color rgb="FFFF149B"/>
      <name val="Arial"/>
      <family val="2"/>
    </font>
    <font>
      <vertAlign val="subscript"/>
      <sz val="12"/>
      <color theme="1"/>
      <name val="Arial"/>
      <family val="2"/>
    </font>
    <font>
      <b/>
      <sz val="18"/>
      <color theme="1"/>
      <name val="Calibri"/>
      <family val="2"/>
      <scheme val="minor"/>
    </font>
    <font>
      <sz val="12"/>
      <color theme="1"/>
      <name val="Arial"/>
      <family val="2"/>
    </font>
    <font>
      <sz val="12"/>
      <color theme="1"/>
      <name val="Calibri"/>
      <family val="2"/>
      <scheme val="minor"/>
    </font>
    <font>
      <b/>
      <sz val="12"/>
      <color theme="1"/>
      <name val="Arial"/>
      <family val="2"/>
    </font>
    <font>
      <sz val="12"/>
      <name val="Arial"/>
      <family val="2"/>
    </font>
    <font>
      <i/>
      <sz val="12"/>
      <name val="Arial"/>
      <family val="2"/>
    </font>
    <font>
      <b/>
      <sz val="12"/>
      <name val="Arial"/>
      <family val="2"/>
    </font>
    <font>
      <i/>
      <sz val="11"/>
      <color theme="1"/>
      <name val="Arial"/>
      <family val="2"/>
    </font>
    <font>
      <b/>
      <i/>
      <sz val="11"/>
      <color theme="1"/>
      <name val="Arial"/>
      <family val="2"/>
    </font>
    <font>
      <b/>
      <i/>
      <sz val="10"/>
      <color theme="1"/>
      <name val="Arial"/>
      <family val="2"/>
    </font>
    <font>
      <b/>
      <sz val="11"/>
      <color rgb="FF00B050"/>
      <name val="Calibri"/>
      <family val="2"/>
      <scheme val="minor"/>
    </font>
    <font>
      <sz val="11"/>
      <color rgb="FFFF0000"/>
      <name val="Arial"/>
      <family val="2"/>
    </font>
    <font>
      <sz val="11"/>
      <color rgb="FF00B050"/>
      <name val="Calibri"/>
      <family val="2"/>
      <scheme val="minor"/>
    </font>
    <font>
      <sz val="9"/>
      <color indexed="81"/>
      <name val="Tahoma"/>
      <family val="2"/>
    </font>
    <font>
      <b/>
      <sz val="9"/>
      <color indexed="81"/>
      <name val="Tahoma"/>
      <family val="2"/>
    </font>
    <font>
      <b/>
      <sz val="12"/>
      <color theme="6" tint="-0.249977111117893"/>
      <name val="Arial"/>
      <family val="2"/>
    </font>
    <font>
      <sz val="16"/>
      <name val="Calibri"/>
      <family val="2"/>
      <scheme val="minor"/>
    </font>
    <font>
      <sz val="11"/>
      <color rgb="FFC00000"/>
      <name val="Calibri"/>
      <family val="2"/>
      <scheme val="minor"/>
    </font>
    <font>
      <b/>
      <sz val="11"/>
      <color rgb="FF00B050"/>
      <name val="Arial"/>
      <family val="2"/>
    </font>
    <font>
      <b/>
      <sz val="12"/>
      <color rgb="FF0070C0"/>
      <name val="Arial"/>
      <family val="2"/>
    </font>
    <font>
      <b/>
      <sz val="12"/>
      <color theme="9" tint="-0.499984740745262"/>
      <name val="Arial"/>
      <family val="2"/>
    </font>
    <font>
      <b/>
      <sz val="11"/>
      <color theme="9" tint="-0.499984740745262"/>
      <name val="Arial"/>
      <family val="2"/>
    </font>
    <font>
      <b/>
      <sz val="14"/>
      <color theme="9" tint="-0.499984740745262"/>
      <name val="Calibri"/>
      <family val="2"/>
      <scheme val="minor"/>
    </font>
    <font>
      <sz val="11"/>
      <color theme="9" tint="-0.499984740745262"/>
      <name val="Arial"/>
      <family val="2"/>
    </font>
    <font>
      <sz val="10"/>
      <color theme="9" tint="-0.499984740745262"/>
      <name val="Arial"/>
      <family val="2"/>
    </font>
    <font>
      <b/>
      <sz val="9"/>
      <color theme="9" tint="-0.499984740745262"/>
      <name val="Arial"/>
      <family val="2"/>
    </font>
    <font>
      <sz val="9"/>
      <color theme="9" tint="-0.499984740745262"/>
      <name val="Arial"/>
      <family val="2"/>
    </font>
    <font>
      <sz val="11"/>
      <color theme="9" tint="-0.499984740745262"/>
      <name val="Calibri"/>
      <family val="2"/>
      <scheme val="minor"/>
    </font>
    <font>
      <b/>
      <sz val="10"/>
      <color theme="9" tint="-0.499984740745262"/>
      <name val="Arial"/>
      <family val="2"/>
    </font>
    <font>
      <b/>
      <sz val="12"/>
      <color theme="9" tint="-0.499984740745262"/>
      <name val="Calibri"/>
      <family val="2"/>
      <scheme val="minor"/>
    </font>
    <font>
      <b/>
      <sz val="16"/>
      <color theme="9" tint="-0.499984740745262"/>
      <name val="Arial"/>
      <family val="2"/>
    </font>
    <font>
      <b/>
      <sz val="18"/>
      <color theme="9" tint="-0.499984740745262"/>
      <name val="Arial"/>
      <family val="2"/>
    </font>
    <font>
      <b/>
      <sz val="20"/>
      <color theme="9" tint="-0.499984740745262"/>
      <name val="Arial"/>
      <family val="2"/>
    </font>
    <font>
      <sz val="12"/>
      <color theme="9" tint="-0.499984740745262"/>
      <name val="Arial"/>
      <family val="2"/>
    </font>
    <font>
      <b/>
      <sz val="10"/>
      <color theme="9" tint="-0.499984740745262"/>
      <name val="Calibri"/>
      <family val="2"/>
      <scheme val="minor"/>
    </font>
    <font>
      <b/>
      <sz val="11"/>
      <color theme="9" tint="-0.499984740745262"/>
      <name val="Calibri"/>
      <family val="2"/>
      <scheme val="minor"/>
    </font>
    <font>
      <b/>
      <sz val="16"/>
      <color theme="9" tint="-0.499984740745262"/>
      <name val="Calibri"/>
      <family val="2"/>
      <scheme val="minor"/>
    </font>
    <font>
      <b/>
      <sz val="11"/>
      <color theme="0"/>
      <name val="Calibri"/>
      <family val="2"/>
      <scheme val="minor"/>
    </font>
    <font>
      <b/>
      <sz val="14"/>
      <color theme="9" tint="-0.499984740745262"/>
      <name val="Arial"/>
      <family val="2"/>
    </font>
    <font>
      <b/>
      <sz val="7.5"/>
      <color theme="0"/>
      <name val="Arial"/>
      <family val="2"/>
    </font>
    <font>
      <b/>
      <vertAlign val="subscript"/>
      <sz val="7.5"/>
      <color theme="0"/>
      <name val="Arial"/>
      <family val="2"/>
    </font>
    <font>
      <b/>
      <sz val="9"/>
      <color theme="0"/>
      <name val="Arial"/>
      <family val="2"/>
    </font>
    <font>
      <b/>
      <sz val="10"/>
      <color theme="0"/>
      <name val="Arial"/>
      <family val="2"/>
    </font>
    <font>
      <b/>
      <sz val="11"/>
      <color theme="0"/>
      <name val="Arial"/>
      <family val="2"/>
    </font>
    <font>
      <b/>
      <sz val="9"/>
      <color theme="0"/>
      <name val="Calibri"/>
      <family val="2"/>
      <scheme val="minor"/>
    </font>
    <font>
      <b/>
      <vertAlign val="subscript"/>
      <sz val="9"/>
      <color theme="0"/>
      <name val="Arial"/>
      <family val="2"/>
    </font>
    <font>
      <b/>
      <vertAlign val="subscript"/>
      <sz val="10"/>
      <color theme="1"/>
      <name val="Arial"/>
      <family val="2"/>
    </font>
    <font>
      <b/>
      <sz val="11"/>
      <color theme="3"/>
      <name val="Calibri"/>
      <family val="2"/>
      <scheme val="minor"/>
    </font>
    <font>
      <sz val="12"/>
      <color theme="0" tint="-0.249977111117893"/>
      <name val="Arial"/>
      <family val="2"/>
    </font>
    <font>
      <b/>
      <sz val="12"/>
      <color theme="0" tint="-0.249977111117893"/>
      <name val="Arial"/>
      <family val="2"/>
    </font>
    <font>
      <i/>
      <sz val="12"/>
      <color theme="0" tint="-0.249977111117893"/>
      <name val="Arial"/>
      <family val="2"/>
    </font>
    <font>
      <sz val="11"/>
      <color rgb="FF00B050"/>
      <name val="Arial"/>
      <family val="2"/>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indexed="64"/>
      </right>
      <top style="thin">
        <color auto="1"/>
      </top>
      <bottom style="thin">
        <color auto="1"/>
      </bottom>
      <diagonal/>
    </border>
    <border>
      <left style="thin">
        <color indexed="64"/>
      </left>
      <right style="medium">
        <color indexed="64"/>
      </right>
      <top style="thin">
        <color auto="1"/>
      </top>
      <bottom style="thin">
        <color auto="1"/>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thin">
        <color indexed="64"/>
      </right>
      <top/>
      <bottom style="thin">
        <color auto="1"/>
      </bottom>
      <diagonal/>
    </border>
    <border>
      <left style="thin">
        <color indexed="64"/>
      </left>
      <right style="medium">
        <color indexed="64"/>
      </right>
      <top/>
      <bottom style="thin">
        <color auto="1"/>
      </bottom>
      <diagonal/>
    </border>
    <border>
      <left style="thin">
        <color indexed="64"/>
      </left>
      <right style="thin">
        <color indexed="64"/>
      </right>
      <top style="thin">
        <color auto="1"/>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auto="1"/>
      </top>
      <bottom/>
      <diagonal/>
    </border>
    <border>
      <left style="thin">
        <color indexed="64"/>
      </left>
      <right style="medium">
        <color indexed="64"/>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style="medium">
        <color indexed="64"/>
      </bottom>
      <diagonal/>
    </border>
    <border>
      <left style="thin">
        <color indexed="64"/>
      </left>
      <right/>
      <top style="thin">
        <color auto="1"/>
      </top>
      <bottom style="medium">
        <color indexed="64"/>
      </bottom>
      <diagonal/>
    </border>
  </borders>
  <cellStyleXfs count="17">
    <xf numFmtId="0" fontId="0" fillId="0" borderId="0"/>
    <xf numFmtId="43" fontId="1"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 fillId="0" borderId="0" applyFont="0" applyFill="0" applyBorder="0" applyAlignment="0" applyProtection="0"/>
    <xf numFmtId="0" fontId="1" fillId="0" borderId="0"/>
    <xf numFmtId="0" fontId="1" fillId="0" borderId="0"/>
    <xf numFmtId="0" fontId="27" fillId="0" borderId="0" applyNumberFormat="0" applyFill="0" applyBorder="0" applyAlignment="0" applyProtection="0"/>
    <xf numFmtId="0" fontId="5" fillId="0" borderId="0" applyNumberFormat="0" applyFont="0" applyFill="0" applyBorder="0" applyAlignment="0" applyProtection="0"/>
    <xf numFmtId="9" fontId="5" fillId="0" borderId="0" applyNumberFormat="0" applyFont="0" applyFill="0" applyBorder="0" applyAlignment="0" applyProtection="0"/>
    <xf numFmtId="43" fontId="1" fillId="0" borderId="0" applyFont="0" applyFill="0" applyBorder="0" applyAlignment="0" applyProtection="0"/>
  </cellStyleXfs>
  <cellXfs count="809">
    <xf numFmtId="0" fontId="0" fillId="0" borderId="0" xfId="0"/>
    <xf numFmtId="0" fontId="2" fillId="0" borderId="0" xfId="0" applyFont="1"/>
    <xf numFmtId="1" fontId="0" fillId="0" borderId="0" xfId="0" applyNumberFormat="1"/>
    <xf numFmtId="0" fontId="3" fillId="0" borderId="0" xfId="0" applyFont="1"/>
    <xf numFmtId="0" fontId="4" fillId="0" borderId="0" xfId="0" applyFont="1"/>
    <xf numFmtId="0" fontId="0" fillId="0" borderId="1" xfId="0" applyBorder="1"/>
    <xf numFmtId="43" fontId="0" fillId="0" borderId="0" xfId="0" applyNumberFormat="1"/>
    <xf numFmtId="0" fontId="2" fillId="0" borderId="0" xfId="0" applyFont="1" applyAlignment="1">
      <alignment horizontal="right" vertical="center"/>
    </xf>
    <xf numFmtId="165" fontId="0" fillId="0" borderId="1" xfId="1" applyNumberFormat="1" applyFont="1" applyBorder="1"/>
    <xf numFmtId="165" fontId="0" fillId="0" borderId="0" xfId="0" applyNumberFormat="1"/>
    <xf numFmtId="0" fontId="0" fillId="0" borderId="0" xfId="0" applyAlignment="1">
      <alignment horizontal="center" vertical="center"/>
    </xf>
    <xf numFmtId="9" fontId="0" fillId="0" borderId="0" xfId="0" applyNumberFormat="1"/>
    <xf numFmtId="0" fontId="2" fillId="0" borderId="0" xfId="0" applyFont="1" applyAlignment="1">
      <alignment horizontal="left" vertical="center" wrapText="1"/>
    </xf>
    <xf numFmtId="0" fontId="11"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xf>
    <xf numFmtId="3" fontId="6" fillId="0" borderId="0" xfId="9" applyNumberFormat="1" applyFont="1" applyAlignment="1">
      <alignment vertical="center"/>
    </xf>
    <xf numFmtId="0" fontId="9" fillId="0" borderId="0" xfId="0" applyFont="1" applyAlignment="1">
      <alignment horizontal="left"/>
    </xf>
    <xf numFmtId="43" fontId="0" fillId="0" borderId="1" xfId="0" applyNumberFormat="1" applyBorder="1"/>
    <xf numFmtId="0" fontId="2" fillId="2" borderId="0" xfId="0" applyFont="1" applyFill="1" applyAlignment="1">
      <alignment vertical="center" wrapText="1"/>
    </xf>
    <xf numFmtId="0" fontId="12" fillId="2" borderId="0" xfId="0" applyFont="1" applyFill="1" applyAlignment="1">
      <alignment vertical="center" wrapText="1"/>
    </xf>
    <xf numFmtId="0" fontId="0" fillId="0" borderId="3" xfId="0" applyBorder="1" applyAlignment="1">
      <alignment horizontal="center"/>
    </xf>
    <xf numFmtId="165" fontId="0" fillId="0" borderId="1" xfId="1" applyNumberFormat="1" applyFont="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xf>
    <xf numFmtId="0" fontId="7" fillId="0" borderId="0" xfId="0" applyFont="1" applyAlignment="1">
      <alignment horizontal="center" vertical="center" wrapText="1"/>
    </xf>
    <xf numFmtId="0" fontId="5" fillId="0" borderId="0" xfId="11" applyFont="1"/>
    <xf numFmtId="0" fontId="14" fillId="0" borderId="0" xfId="11" applyFont="1"/>
    <xf numFmtId="0" fontId="5" fillId="0" borderId="0" xfId="2"/>
    <xf numFmtId="166" fontId="0" fillId="0" borderId="0" xfId="0" applyNumberFormat="1"/>
    <xf numFmtId="164" fontId="0" fillId="0" borderId="0" xfId="4" applyNumberFormat="1" applyFont="1"/>
    <xf numFmtId="167" fontId="0" fillId="0" borderId="0" xfId="0" applyNumberFormat="1"/>
    <xf numFmtId="0" fontId="0" fillId="0" borderId="0" xfId="1" applyNumberFormat="1" applyFont="1"/>
    <xf numFmtId="0" fontId="14" fillId="0" borderId="0" xfId="2" applyFont="1"/>
    <xf numFmtId="0" fontId="0" fillId="0" borderId="0" xfId="0" applyAlignment="1">
      <alignment horizontal="left"/>
    </xf>
    <xf numFmtId="0" fontId="12" fillId="0" borderId="0" xfId="0" applyFont="1" applyAlignment="1">
      <alignment vertical="center" wrapText="1"/>
    </xf>
    <xf numFmtId="0" fontId="16" fillId="0" borderId="0" xfId="0" applyFont="1" applyAlignment="1">
      <alignment horizontal="left"/>
    </xf>
    <xf numFmtId="3" fontId="6" fillId="0" borderId="0" xfId="0" applyNumberFormat="1" applyFont="1" applyAlignment="1">
      <alignment vertical="center" wrapText="1"/>
    </xf>
    <xf numFmtId="0" fontId="6" fillId="0" borderId="0" xfId="0" applyFont="1" applyAlignment="1">
      <alignment vertical="center" wrapText="1"/>
    </xf>
    <xf numFmtId="0" fontId="6" fillId="0" borderId="0" xfId="0" applyFont="1" applyAlignment="1">
      <alignment horizontal="left" wrapText="1"/>
    </xf>
    <xf numFmtId="0" fontId="12" fillId="0" borderId="0" xfId="0" applyFont="1" applyAlignment="1">
      <alignment horizontal="left" vertical="top" wrapText="1"/>
    </xf>
    <xf numFmtId="0" fontId="9" fillId="0" borderId="0" xfId="0" applyFont="1" applyAlignment="1">
      <alignment horizontal="left" vertical="top" wrapText="1"/>
    </xf>
    <xf numFmtId="0" fontId="14" fillId="3" borderId="1" xfId="11" applyFont="1" applyFill="1" applyBorder="1" applyAlignment="1">
      <alignment horizontal="center" vertical="center"/>
    </xf>
    <xf numFmtId="0" fontId="18" fillId="0" borderId="0" xfId="11" applyFont="1"/>
    <xf numFmtId="0" fontId="19" fillId="0" borderId="1" xfId="0" applyFont="1" applyBorder="1"/>
    <xf numFmtId="168" fontId="19" fillId="0" borderId="1" xfId="0" applyNumberFormat="1" applyFont="1" applyBorder="1"/>
    <xf numFmtId="0" fontId="20" fillId="0" borderId="1" xfId="0" applyFont="1" applyBorder="1" applyAlignment="1">
      <alignment horizontal="left" indent="1"/>
    </xf>
    <xf numFmtId="0" fontId="6" fillId="0" borderId="0" xfId="0" applyFont="1"/>
    <xf numFmtId="0" fontId="6" fillId="0" borderId="1" xfId="0" applyFont="1" applyBorder="1"/>
    <xf numFmtId="10" fontId="6" fillId="0" borderId="1" xfId="10" applyNumberFormat="1" applyFont="1" applyBorder="1"/>
    <xf numFmtId="0" fontId="16" fillId="0" borderId="0" xfId="5" applyFont="1"/>
    <xf numFmtId="0" fontId="6" fillId="2" borderId="1" xfId="0" applyFont="1" applyFill="1" applyBorder="1"/>
    <xf numFmtId="0" fontId="5" fillId="0" borderId="13" xfId="2" applyBorder="1"/>
    <xf numFmtId="0" fontId="5" fillId="0" borderId="17" xfId="2" applyBorder="1"/>
    <xf numFmtId="0" fontId="5" fillId="4" borderId="19" xfId="11" applyFont="1" applyFill="1" applyBorder="1"/>
    <xf numFmtId="0" fontId="5" fillId="4" borderId="20" xfId="11" applyFont="1" applyFill="1" applyBorder="1"/>
    <xf numFmtId="0" fontId="5" fillId="0" borderId="13" xfId="11" applyFont="1" applyBorder="1"/>
    <xf numFmtId="0" fontId="5" fillId="0" borderId="0" xfId="8"/>
    <xf numFmtId="0" fontId="0" fillId="0" borderId="17" xfId="0" applyBorder="1"/>
    <xf numFmtId="0" fontId="22" fillId="2" borderId="0" xfId="0" applyFont="1" applyFill="1"/>
    <xf numFmtId="0" fontId="27" fillId="0" borderId="0" xfId="13"/>
    <xf numFmtId="43" fontId="6" fillId="0" borderId="1" xfId="0" applyNumberFormat="1" applyFont="1" applyBorder="1"/>
    <xf numFmtId="43" fontId="6" fillId="0" borderId="0" xfId="0" applyNumberFormat="1" applyFont="1"/>
    <xf numFmtId="167" fontId="0" fillId="0" borderId="0" xfId="10" applyNumberFormat="1" applyFont="1"/>
    <xf numFmtId="0" fontId="28" fillId="0" borderId="0" xfId="0" applyFont="1"/>
    <xf numFmtId="168" fontId="0" fillId="0" borderId="0" xfId="0" applyNumberFormat="1"/>
    <xf numFmtId="171" fontId="6" fillId="0" borderId="0" xfId="0" applyNumberFormat="1" applyFont="1"/>
    <xf numFmtId="43" fontId="6" fillId="2" borderId="1" xfId="0" applyNumberFormat="1" applyFont="1" applyFill="1" applyBorder="1"/>
    <xf numFmtId="43" fontId="25" fillId="2" borderId="1" xfId="0" applyNumberFormat="1" applyFont="1" applyFill="1" applyBorder="1"/>
    <xf numFmtId="0" fontId="29" fillId="2" borderId="1" xfId="0" applyFont="1" applyFill="1" applyBorder="1" applyAlignment="1">
      <alignment horizontal="left" indent="1"/>
    </xf>
    <xf numFmtId="9" fontId="0" fillId="0" borderId="1" xfId="10" applyFont="1" applyFill="1" applyBorder="1"/>
    <xf numFmtId="0" fontId="0" fillId="0" borderId="0" xfId="0"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6" fillId="0" borderId="0" xfId="0" applyFont="1" applyAlignment="1">
      <alignment horizontal="right"/>
    </xf>
    <xf numFmtId="4" fontId="6" fillId="0" borderId="1" xfId="0" applyNumberFormat="1" applyFont="1" applyBorder="1"/>
    <xf numFmtId="0" fontId="13" fillId="0" borderId="0" xfId="0" applyFont="1" applyAlignment="1">
      <alignment wrapText="1"/>
    </xf>
    <xf numFmtId="0" fontId="13" fillId="0" borderId="0" xfId="0" applyFont="1"/>
    <xf numFmtId="170" fontId="6" fillId="0" borderId="1" xfId="10" applyNumberFormat="1" applyFont="1" applyBorder="1" applyAlignment="1">
      <alignment horizontal="right" vertical="center"/>
    </xf>
    <xf numFmtId="170" fontId="0" fillId="0" borderId="1" xfId="10" applyNumberFormat="1" applyFont="1" applyBorder="1"/>
    <xf numFmtId="0" fontId="30" fillId="2" borderId="1" xfId="0" applyFont="1" applyFill="1" applyBorder="1"/>
    <xf numFmtId="0" fontId="0" fillId="0" borderId="0" xfId="0" applyAlignment="1">
      <alignment horizontal="right"/>
    </xf>
    <xf numFmtId="169" fontId="13" fillId="0" borderId="1" xfId="1" applyNumberFormat="1" applyFont="1" applyFill="1" applyBorder="1" applyAlignment="1">
      <alignment wrapText="1"/>
    </xf>
    <xf numFmtId="0" fontId="14" fillId="0" borderId="5" xfId="0" applyFont="1" applyBorder="1" applyAlignment="1">
      <alignment horizontal="left"/>
    </xf>
    <xf numFmtId="43" fontId="14" fillId="0" borderId="1" xfId="0" applyNumberFormat="1" applyFont="1" applyBorder="1"/>
    <xf numFmtId="43" fontId="31" fillId="0" borderId="1" xfId="0" applyNumberFormat="1" applyFont="1" applyBorder="1"/>
    <xf numFmtId="43" fontId="5" fillId="0" borderId="1" xfId="0" applyNumberFormat="1" applyFont="1" applyBorder="1"/>
    <xf numFmtId="43" fontId="19" fillId="0" borderId="1" xfId="0" applyNumberFormat="1" applyFont="1" applyBorder="1"/>
    <xf numFmtId="43" fontId="32" fillId="0" borderId="1" xfId="0" applyNumberFormat="1" applyFont="1" applyBorder="1"/>
    <xf numFmtId="43" fontId="21" fillId="0" borderId="1" xfId="0" applyNumberFormat="1" applyFont="1" applyBorder="1"/>
    <xf numFmtId="0" fontId="2" fillId="0" borderId="0" xfId="0" applyFont="1" applyAlignment="1">
      <alignment vertical="center" wrapText="1"/>
    </xf>
    <xf numFmtId="0" fontId="5" fillId="4" borderId="18" xfId="11" applyFont="1" applyFill="1" applyBorder="1"/>
    <xf numFmtId="10" fontId="0" fillId="0" borderId="1" xfId="10" applyNumberFormat="1" applyFont="1" applyBorder="1"/>
    <xf numFmtId="2" fontId="6" fillId="0" borderId="0" xfId="0" applyNumberFormat="1" applyFont="1"/>
    <xf numFmtId="0" fontId="5" fillId="0" borderId="16" xfId="2" applyBorder="1"/>
    <xf numFmtId="0" fontId="6" fillId="0" borderId="17" xfId="0" applyFont="1" applyBorder="1"/>
    <xf numFmtId="0" fontId="36" fillId="0" borderId="1" xfId="0" applyFont="1" applyBorder="1" applyAlignment="1">
      <alignment horizontal="left" indent="1"/>
    </xf>
    <xf numFmtId="10" fontId="0" fillId="0" borderId="0" xfId="0" applyNumberFormat="1"/>
    <xf numFmtId="0" fontId="0" fillId="0" borderId="1" xfId="0" applyBorder="1" applyAlignment="1">
      <alignment horizontal="left" vertical="center"/>
    </xf>
    <xf numFmtId="43" fontId="0" fillId="0" borderId="1" xfId="0" applyNumberFormat="1" applyBorder="1" applyAlignment="1">
      <alignment horizontal="left"/>
    </xf>
    <xf numFmtId="43" fontId="0" fillId="0" borderId="1" xfId="0" applyNumberFormat="1" applyBorder="1" applyAlignment="1">
      <alignment horizontal="right" vertical="center"/>
    </xf>
    <xf numFmtId="43" fontId="1" fillId="0" borderId="1" xfId="10" applyNumberFormat="1" applyFont="1" applyFill="1" applyBorder="1" applyAlignment="1">
      <alignment horizontal="right"/>
    </xf>
    <xf numFmtId="10" fontId="0" fillId="0" borderId="0" xfId="10" applyNumberFormat="1" applyFont="1" applyFill="1" applyBorder="1" applyAlignment="1">
      <alignment horizontal="right"/>
    </xf>
    <xf numFmtId="9" fontId="0" fillId="0" borderId="0" xfId="10" applyFont="1" applyFill="1" applyBorder="1" applyAlignment="1">
      <alignment horizontal="right"/>
    </xf>
    <xf numFmtId="0" fontId="2" fillId="0" borderId="0" xfId="0" applyFont="1" applyAlignment="1">
      <alignment horizontal="center" vertical="center" wrapText="1"/>
    </xf>
    <xf numFmtId="2" fontId="0" fillId="0" borderId="0" xfId="0" applyNumberFormat="1"/>
    <xf numFmtId="2" fontId="0" fillId="0" borderId="0" xfId="0" applyNumberFormat="1" applyAlignment="1">
      <alignment vertical="center" wrapText="1"/>
    </xf>
    <xf numFmtId="0" fontId="6" fillId="0" borderId="0" xfId="0" applyFont="1" applyAlignment="1">
      <alignment horizontal="center"/>
    </xf>
    <xf numFmtId="0" fontId="33" fillId="0" borderId="0" xfId="0" applyFont="1"/>
    <xf numFmtId="0" fontId="34" fillId="0" borderId="0" xfId="0" applyFont="1" applyAlignment="1">
      <alignment horizontal="center" vertical="center"/>
    </xf>
    <xf numFmtId="0" fontId="35" fillId="3" borderId="1" xfId="0" applyFont="1" applyFill="1" applyBorder="1" applyAlignment="1">
      <alignment horizontal="center"/>
    </xf>
    <xf numFmtId="0" fontId="6" fillId="0" borderId="0" xfId="0" applyFont="1" applyAlignment="1">
      <alignment horizontal="left"/>
    </xf>
    <xf numFmtId="0" fontId="6" fillId="0" borderId="0" xfId="0" applyFont="1" applyAlignment="1">
      <alignment horizontal="center" vertical="center"/>
    </xf>
    <xf numFmtId="0" fontId="17" fillId="0" borderId="0" xfId="0" applyFont="1" applyAlignment="1">
      <alignment vertical="center" wrapText="1"/>
    </xf>
    <xf numFmtId="0" fontId="17" fillId="2" borderId="0" xfId="0" applyFont="1" applyFill="1" applyAlignment="1">
      <alignment vertical="center" wrapText="1"/>
    </xf>
    <xf numFmtId="168" fontId="20" fillId="0" borderId="1" xfId="0" applyNumberFormat="1" applyFont="1" applyBorder="1"/>
    <xf numFmtId="43" fontId="20" fillId="0" borderId="1" xfId="0" applyNumberFormat="1" applyFont="1" applyBorder="1"/>
    <xf numFmtId="169" fontId="21" fillId="0" borderId="1" xfId="0" applyNumberFormat="1" applyFont="1" applyBorder="1" applyAlignment="1">
      <alignment horizontal="left"/>
    </xf>
    <xf numFmtId="0" fontId="2" fillId="0" borderId="0" xfId="0" applyFont="1" applyAlignment="1">
      <alignment wrapText="1"/>
    </xf>
    <xf numFmtId="43" fontId="26" fillId="0" borderId="0" xfId="0" applyNumberFormat="1" applyFont="1"/>
    <xf numFmtId="169" fontId="26" fillId="0" borderId="0" xfId="0" applyNumberFormat="1" applyFont="1" applyAlignment="1">
      <alignment horizontal="right"/>
    </xf>
    <xf numFmtId="169" fontId="26" fillId="0" borderId="0" xfId="0" applyNumberFormat="1" applyFont="1"/>
    <xf numFmtId="169" fontId="26" fillId="0" borderId="0" xfId="1" applyNumberFormat="1" applyFont="1"/>
    <xf numFmtId="43" fontId="13" fillId="2" borderId="11" xfId="1" applyFont="1" applyFill="1" applyBorder="1" applyAlignment="1">
      <alignment horizontal="right" wrapText="1"/>
    </xf>
    <xf numFmtId="0" fontId="30" fillId="0" borderId="0" xfId="0" applyFont="1"/>
    <xf numFmtId="0" fontId="14" fillId="4" borderId="12" xfId="2" applyFont="1" applyFill="1" applyBorder="1" applyAlignment="1">
      <alignment horizontal="center"/>
    </xf>
    <xf numFmtId="0" fontId="14" fillId="4" borderId="0" xfId="2" applyFont="1" applyFill="1" applyAlignment="1">
      <alignment horizontal="center"/>
    </xf>
    <xf numFmtId="0" fontId="19" fillId="4" borderId="0" xfId="2" applyFont="1" applyFill="1" applyAlignment="1">
      <alignment horizontal="center"/>
    </xf>
    <xf numFmtId="0" fontId="5" fillId="4" borderId="19" xfId="2" applyFill="1" applyBorder="1" applyAlignment="1">
      <alignment horizontal="center"/>
    </xf>
    <xf numFmtId="0" fontId="39" fillId="0" borderId="0" xfId="0" applyFont="1"/>
    <xf numFmtId="0" fontId="0" fillId="2" borderId="0" xfId="0" applyFill="1" applyAlignment="1">
      <alignment horizontal="center"/>
    </xf>
    <xf numFmtId="165" fontId="0" fillId="0" borderId="0" xfId="1" applyNumberFormat="1" applyFont="1" applyBorder="1" applyAlignment="1">
      <alignment horizontal="center" vertical="center"/>
    </xf>
    <xf numFmtId="9" fontId="0" fillId="0" borderId="1" xfId="10" applyFont="1" applyBorder="1" applyAlignment="1">
      <alignment horizontal="center" vertical="center"/>
    </xf>
    <xf numFmtId="0" fontId="0" fillId="0" borderId="23" xfId="0" applyBorder="1"/>
    <xf numFmtId="0" fontId="21" fillId="0" borderId="1" xfId="0" applyFont="1" applyBorder="1"/>
    <xf numFmtId="43" fontId="0" fillId="0" borderId="17" xfId="0" applyNumberFormat="1" applyBorder="1"/>
    <xf numFmtId="0" fontId="0" fillId="0" borderId="27" xfId="0" applyBorder="1"/>
    <xf numFmtId="0" fontId="6" fillId="4" borderId="16" xfId="0" applyFont="1" applyFill="1" applyBorder="1"/>
    <xf numFmtId="0" fontId="6" fillId="4" borderId="17" xfId="0" applyFont="1" applyFill="1" applyBorder="1"/>
    <xf numFmtId="0" fontId="6" fillId="4" borderId="20" xfId="0" applyFont="1" applyFill="1" applyBorder="1"/>
    <xf numFmtId="0" fontId="40" fillId="0" borderId="4" xfId="0" applyFont="1" applyBorder="1" applyAlignment="1">
      <alignment horizontal="left"/>
    </xf>
    <xf numFmtId="0" fontId="40" fillId="0" borderId="4" xfId="0" applyFont="1" applyBorder="1" applyAlignment="1">
      <alignment horizontal="left" vertical="center"/>
    </xf>
    <xf numFmtId="0" fontId="17" fillId="0" borderId="0" xfId="0" applyFont="1" applyAlignment="1">
      <alignment vertical="top"/>
    </xf>
    <xf numFmtId="0" fontId="40" fillId="0" borderId="0" xfId="0" applyFont="1" applyAlignment="1">
      <alignment vertical="center"/>
    </xf>
    <xf numFmtId="0" fontId="6" fillId="0" borderId="11" xfId="0" applyFont="1" applyBorder="1"/>
    <xf numFmtId="0" fontId="6" fillId="0" borderId="27" xfId="0" applyFont="1" applyBorder="1" applyAlignment="1">
      <alignment wrapText="1"/>
    </xf>
    <xf numFmtId="43" fontId="6" fillId="0" borderId="3" xfId="1" applyFont="1" applyBorder="1" applyAlignment="1">
      <alignment wrapText="1"/>
    </xf>
    <xf numFmtId="43" fontId="6" fillId="0" borderId="28" xfId="0" applyNumberFormat="1" applyFont="1" applyBorder="1"/>
    <xf numFmtId="0" fontId="6" fillId="0" borderId="23" xfId="0" applyFont="1" applyBorder="1" applyAlignment="1">
      <alignment wrapText="1"/>
    </xf>
    <xf numFmtId="43" fontId="6" fillId="0" borderId="24" xfId="0" applyNumberFormat="1" applyFont="1" applyBorder="1"/>
    <xf numFmtId="0" fontId="15" fillId="0" borderId="25" xfId="0" applyFont="1" applyBorder="1" applyAlignment="1">
      <alignment wrapText="1"/>
    </xf>
    <xf numFmtId="43" fontId="6" fillId="0" borderId="29" xfId="1" applyFont="1" applyBorder="1" applyAlignment="1">
      <alignment wrapText="1"/>
    </xf>
    <xf numFmtId="43" fontId="6" fillId="0" borderId="26" xfId="0" applyNumberFormat="1" applyFont="1" applyBorder="1"/>
    <xf numFmtId="0" fontId="15" fillId="0" borderId="0" xfId="0" applyFont="1" applyAlignment="1">
      <alignment wrapText="1"/>
    </xf>
    <xf numFmtId="0" fontId="15" fillId="0" borderId="0" xfId="0" applyFont="1" applyAlignment="1">
      <alignment vertical="center" wrapText="1"/>
    </xf>
    <xf numFmtId="0" fontId="6" fillId="0" borderId="25" xfId="0" applyFont="1" applyBorder="1"/>
    <xf numFmtId="0" fontId="15" fillId="0" borderId="0" xfId="0" applyFont="1"/>
    <xf numFmtId="11" fontId="6" fillId="0" borderId="0" xfId="0" applyNumberFormat="1" applyFont="1"/>
    <xf numFmtId="0" fontId="6" fillId="0" borderId="27" xfId="0" applyFont="1" applyBorder="1"/>
    <xf numFmtId="169" fontId="6" fillId="0" borderId="28" xfId="1" applyNumberFormat="1" applyFont="1" applyBorder="1"/>
    <xf numFmtId="3" fontId="0" fillId="0" borderId="0" xfId="0" applyNumberFormat="1"/>
    <xf numFmtId="0" fontId="37" fillId="0" borderId="0" xfId="0" applyFont="1"/>
    <xf numFmtId="43" fontId="19" fillId="0" borderId="1" xfId="1" applyFont="1" applyFill="1" applyBorder="1"/>
    <xf numFmtId="43" fontId="19" fillId="0" borderId="1" xfId="1" applyFont="1" applyBorder="1"/>
    <xf numFmtId="43" fontId="21" fillId="0" borderId="1" xfId="1" applyFont="1" applyFill="1" applyBorder="1" applyAlignment="1">
      <alignment horizontal="center"/>
    </xf>
    <xf numFmtId="0" fontId="41" fillId="0" borderId="0" xfId="0" applyFont="1"/>
    <xf numFmtId="43" fontId="43" fillId="0" borderId="1" xfId="1" applyFont="1" applyFill="1" applyBorder="1"/>
    <xf numFmtId="9" fontId="40" fillId="0" borderId="1" xfId="10" applyFont="1" applyBorder="1"/>
    <xf numFmtId="167" fontId="40" fillId="0" borderId="1" xfId="10" applyNumberFormat="1" applyFont="1" applyFill="1" applyBorder="1"/>
    <xf numFmtId="43" fontId="44" fillId="0" borderId="1" xfId="1" applyFont="1" applyFill="1" applyBorder="1" applyAlignment="1">
      <alignment horizontal="left" indent="1"/>
    </xf>
    <xf numFmtId="43" fontId="44" fillId="0" borderId="1" xfId="1" applyFont="1" applyFill="1" applyBorder="1"/>
    <xf numFmtId="43" fontId="43" fillId="0" borderId="1" xfId="1" applyFont="1" applyBorder="1"/>
    <xf numFmtId="0" fontId="40" fillId="0" borderId="1" xfId="0" applyFont="1" applyBorder="1"/>
    <xf numFmtId="43" fontId="45" fillId="0" borderId="1" xfId="1" applyFont="1" applyFill="1" applyBorder="1" applyAlignment="1">
      <alignment horizontal="center"/>
    </xf>
    <xf numFmtId="43" fontId="45" fillId="0" borderId="1" xfId="1" applyFont="1" applyFill="1" applyBorder="1"/>
    <xf numFmtId="9" fontId="40" fillId="0" borderId="1" xfId="0" applyNumberFormat="1" applyFont="1" applyBorder="1"/>
    <xf numFmtId="43" fontId="40" fillId="0" borderId="0" xfId="1" applyFont="1" applyFill="1" applyBorder="1"/>
    <xf numFmtId="0" fontId="40" fillId="0" borderId="0" xfId="0" applyFont="1"/>
    <xf numFmtId="10" fontId="40" fillId="0" borderId="0" xfId="10" applyNumberFormat="1" applyFont="1" applyFill="1" applyBorder="1"/>
    <xf numFmtId="43" fontId="43" fillId="0" borderId="3" xfId="1" applyFont="1" applyFill="1" applyBorder="1"/>
    <xf numFmtId="167" fontId="40" fillId="0" borderId="28" xfId="10" applyNumberFormat="1" applyFont="1" applyFill="1" applyBorder="1"/>
    <xf numFmtId="43" fontId="44" fillId="0" borderId="23" xfId="1" applyFont="1" applyFill="1" applyBorder="1" applyAlignment="1">
      <alignment horizontal="left" indent="1"/>
    </xf>
    <xf numFmtId="167" fontId="40" fillId="0" borderId="24" xfId="10" applyNumberFormat="1" applyFont="1" applyFill="1" applyBorder="1"/>
    <xf numFmtId="43" fontId="43" fillId="0" borderId="23" xfId="1" applyFont="1" applyBorder="1"/>
    <xf numFmtId="43" fontId="44" fillId="0" borderId="1" xfId="1" applyFont="1" applyFill="1" applyBorder="1" applyAlignment="1">
      <alignment horizontal="right" indent="1"/>
    </xf>
    <xf numFmtId="43" fontId="45" fillId="0" borderId="25" xfId="1" applyFont="1" applyFill="1" applyBorder="1" applyAlignment="1">
      <alignment horizontal="center"/>
    </xf>
    <xf numFmtId="43" fontId="45" fillId="0" borderId="29" xfId="1" applyFont="1" applyFill="1" applyBorder="1"/>
    <xf numFmtId="9" fontId="40" fillId="0" borderId="29" xfId="10" applyFont="1" applyBorder="1"/>
    <xf numFmtId="43" fontId="45" fillId="0" borderId="29" xfId="1" applyFont="1" applyFill="1" applyBorder="1" applyAlignment="1">
      <alignment horizontal="center"/>
    </xf>
    <xf numFmtId="10" fontId="40" fillId="0" borderId="26" xfId="10" applyNumberFormat="1" applyFont="1" applyFill="1" applyBorder="1"/>
    <xf numFmtId="43" fontId="43" fillId="0" borderId="28" xfId="1" applyFont="1" applyFill="1" applyBorder="1"/>
    <xf numFmtId="43" fontId="45" fillId="0" borderId="26" xfId="1" applyFont="1" applyFill="1" applyBorder="1"/>
    <xf numFmtId="43" fontId="32" fillId="0" borderId="24" xfId="1" applyFont="1" applyFill="1" applyBorder="1" applyAlignment="1">
      <alignment vertical="center"/>
    </xf>
    <xf numFmtId="43" fontId="44" fillId="0" borderId="24" xfId="1" applyFont="1" applyFill="1" applyBorder="1" applyAlignment="1">
      <alignment vertical="top"/>
    </xf>
    <xf numFmtId="0" fontId="40" fillId="0" borderId="27" xfId="0" applyFont="1" applyBorder="1"/>
    <xf numFmtId="43" fontId="40" fillId="0" borderId="3" xfId="1" applyFont="1" applyBorder="1"/>
    <xf numFmtId="9" fontId="40" fillId="0" borderId="28" xfId="10" applyFont="1" applyBorder="1"/>
    <xf numFmtId="0" fontId="40" fillId="0" borderId="23" xfId="0" applyFont="1" applyBorder="1"/>
    <xf numFmtId="43" fontId="40" fillId="0" borderId="1" xfId="1" applyFont="1" applyBorder="1"/>
    <xf numFmtId="9" fontId="40" fillId="0" borderId="24" xfId="10" applyFont="1" applyBorder="1"/>
    <xf numFmtId="0" fontId="42" fillId="0" borderId="25" xfId="0" applyFont="1" applyBorder="1"/>
    <xf numFmtId="43" fontId="40" fillId="0" borderId="29" xfId="0" applyNumberFormat="1" applyFont="1" applyBorder="1"/>
    <xf numFmtId="9" fontId="40" fillId="0" borderId="26" xfId="10" applyFont="1" applyBorder="1"/>
    <xf numFmtId="9" fontId="40" fillId="0" borderId="0" xfId="10" applyFont="1" applyFill="1" applyBorder="1"/>
    <xf numFmtId="10" fontId="40" fillId="0" borderId="0" xfId="0" applyNumberFormat="1" applyFont="1"/>
    <xf numFmtId="0" fontId="42" fillId="0" borderId="0" xfId="0" applyFont="1"/>
    <xf numFmtId="43" fontId="40" fillId="0" borderId="1" xfId="0" applyNumberFormat="1" applyFont="1" applyBorder="1" applyAlignment="1">
      <alignment horizontal="center"/>
    </xf>
    <xf numFmtId="9" fontId="40" fillId="0" borderId="1" xfId="10" applyFont="1" applyFill="1" applyBorder="1"/>
    <xf numFmtId="43" fontId="40" fillId="0" borderId="1" xfId="0" applyNumberFormat="1" applyFont="1" applyBorder="1"/>
    <xf numFmtId="0" fontId="40" fillId="0" borderId="0" xfId="0" applyFont="1" applyAlignment="1">
      <alignment wrapText="1"/>
    </xf>
    <xf numFmtId="0" fontId="40" fillId="0" borderId="1" xfId="0" applyFont="1" applyBorder="1" applyAlignment="1">
      <alignment wrapText="1"/>
    </xf>
    <xf numFmtId="43" fontId="43" fillId="0" borderId="1" xfId="1" applyFont="1" applyFill="1" applyBorder="1" applyAlignment="1">
      <alignment wrapText="1"/>
    </xf>
    <xf numFmtId="0" fontId="42" fillId="0" borderId="1" xfId="0" applyFont="1" applyBorder="1" applyAlignment="1">
      <alignment wrapText="1"/>
    </xf>
    <xf numFmtId="168" fontId="45" fillId="0" borderId="1" xfId="1" applyNumberFormat="1" applyFont="1" applyFill="1" applyBorder="1" applyAlignment="1">
      <alignment wrapText="1"/>
    </xf>
    <xf numFmtId="169" fontId="21" fillId="0" borderId="0" xfId="0" applyNumberFormat="1" applyFont="1" applyAlignment="1">
      <alignment horizontal="left"/>
    </xf>
    <xf numFmtId="43" fontId="21" fillId="0" borderId="0" xfId="0" applyNumberFormat="1" applyFont="1"/>
    <xf numFmtId="43" fontId="32" fillId="0" borderId="1" xfId="1" applyFont="1" applyFill="1" applyBorder="1" applyAlignment="1">
      <alignment horizontal="left" indent="1"/>
    </xf>
    <xf numFmtId="11" fontId="21" fillId="0" borderId="0" xfId="0" applyNumberFormat="1" applyFont="1"/>
    <xf numFmtId="43" fontId="40" fillId="0" borderId="0" xfId="0" applyNumberFormat="1" applyFont="1" applyAlignment="1">
      <alignment wrapText="1"/>
    </xf>
    <xf numFmtId="0" fontId="17" fillId="0" borderId="0" xfId="0" applyFont="1" applyAlignment="1">
      <alignment horizontal="center" vertical="center" wrapText="1"/>
    </xf>
    <xf numFmtId="43" fontId="19" fillId="0" borderId="3" xfId="1" applyFont="1" applyFill="1" applyBorder="1"/>
    <xf numFmtId="43" fontId="32" fillId="0" borderId="23" xfId="1" applyFont="1" applyFill="1" applyBorder="1" applyAlignment="1">
      <alignment horizontal="left" indent="1"/>
    </xf>
    <xf numFmtId="43" fontId="32" fillId="0" borderId="1" xfId="1" applyFont="1" applyFill="1" applyBorder="1"/>
    <xf numFmtId="43" fontId="19" fillId="0" borderId="23" xfId="1" applyFont="1" applyBorder="1"/>
    <xf numFmtId="43" fontId="21" fillId="0" borderId="25" xfId="1" applyFont="1" applyFill="1" applyBorder="1" applyAlignment="1">
      <alignment horizontal="center"/>
    </xf>
    <xf numFmtId="43" fontId="21" fillId="0" borderId="29" xfId="1" applyFont="1" applyFill="1" applyBorder="1"/>
    <xf numFmtId="43" fontId="21" fillId="0" borderId="29" xfId="1" applyFont="1" applyFill="1" applyBorder="1" applyAlignment="1">
      <alignment horizontal="center"/>
    </xf>
    <xf numFmtId="167" fontId="6" fillId="0" borderId="28" xfId="10" applyNumberFormat="1" applyFont="1" applyFill="1" applyBorder="1"/>
    <xf numFmtId="9" fontId="6" fillId="0" borderId="1" xfId="10" applyFont="1" applyBorder="1"/>
    <xf numFmtId="167" fontId="6" fillId="0" borderId="24" xfId="10" applyNumberFormat="1" applyFont="1" applyFill="1" applyBorder="1"/>
    <xf numFmtId="43" fontId="32" fillId="0" borderId="1" xfId="1" applyFont="1" applyFill="1" applyBorder="1" applyAlignment="1">
      <alignment horizontal="right" indent="1"/>
    </xf>
    <xf numFmtId="9" fontId="6" fillId="0" borderId="29" xfId="10" applyFont="1" applyBorder="1"/>
    <xf numFmtId="10" fontId="6" fillId="0" borderId="26" xfId="10" applyNumberFormat="1" applyFont="1" applyFill="1" applyBorder="1"/>
    <xf numFmtId="0" fontId="46" fillId="0" borderId="0" xfId="0" applyFont="1" applyAlignment="1">
      <alignment horizontal="left" wrapText="1"/>
    </xf>
    <xf numFmtId="11" fontId="0" fillId="0" borderId="1" xfId="1" applyNumberFormat="1" applyFont="1" applyBorder="1" applyAlignment="1">
      <alignment horizontal="center"/>
    </xf>
    <xf numFmtId="0" fontId="6" fillId="2" borderId="0" xfId="0" applyFont="1" applyFill="1" applyAlignment="1">
      <alignment horizontal="right" vertical="center" wrapText="1"/>
    </xf>
    <xf numFmtId="11" fontId="6" fillId="2" borderId="0" xfId="0" applyNumberFormat="1" applyFont="1" applyFill="1" applyAlignment="1">
      <alignment vertical="center" wrapText="1"/>
    </xf>
    <xf numFmtId="43" fontId="0" fillId="0" borderId="0" xfId="1" applyFont="1"/>
    <xf numFmtId="168" fontId="0" fillId="0" borderId="0" xfId="1" applyNumberFormat="1" applyFont="1"/>
    <xf numFmtId="43" fontId="6" fillId="0" borderId="0" xfId="0" applyNumberFormat="1" applyFont="1" applyAlignment="1">
      <alignment vertical="center" wrapText="1"/>
    </xf>
    <xf numFmtId="0" fontId="12" fillId="2" borderId="1" xfId="0" applyFont="1" applyFill="1" applyBorder="1" applyAlignment="1">
      <alignment vertical="center" wrapText="1"/>
    </xf>
    <xf numFmtId="168" fontId="0" fillId="0" borderId="0" xfId="1" applyNumberFormat="1" applyFont="1" applyAlignment="1">
      <alignment horizontal="right" indent="1"/>
    </xf>
    <xf numFmtId="0" fontId="0" fillId="0" borderId="4" xfId="0" applyBorder="1" applyAlignment="1">
      <alignment wrapText="1"/>
    </xf>
    <xf numFmtId="0" fontId="20" fillId="0" borderId="4" xfId="0" applyFont="1" applyBorder="1" applyAlignment="1">
      <alignment horizontal="left" indent="1"/>
    </xf>
    <xf numFmtId="0" fontId="19" fillId="0" borderId="4" xfId="0" applyFont="1" applyBorder="1"/>
    <xf numFmtId="0" fontId="14" fillId="0" borderId="4" xfId="0" applyFont="1" applyBorder="1" applyAlignment="1">
      <alignment horizontal="left"/>
    </xf>
    <xf numFmtId="0" fontId="41" fillId="0" borderId="12" xfId="0" applyFont="1" applyBorder="1"/>
    <xf numFmtId="0" fontId="41" fillId="0" borderId="16" xfId="0" applyFont="1" applyBorder="1"/>
    <xf numFmtId="0" fontId="0" fillId="0" borderId="13" xfId="0" applyBorder="1"/>
    <xf numFmtId="0" fontId="0" fillId="0" borderId="18" xfId="0" applyBorder="1"/>
    <xf numFmtId="0" fontId="0" fillId="0" borderId="19" xfId="0" applyBorder="1"/>
    <xf numFmtId="0" fontId="0" fillId="0" borderId="20" xfId="0" applyBorder="1"/>
    <xf numFmtId="0" fontId="0" fillId="0" borderId="44" xfId="0" applyBorder="1"/>
    <xf numFmtId="0" fontId="33" fillId="0" borderId="0" xfId="0" applyFont="1" applyAlignment="1">
      <alignment wrapText="1"/>
    </xf>
    <xf numFmtId="9" fontId="0" fillId="0" borderId="0" xfId="10" applyFont="1"/>
    <xf numFmtId="0" fontId="6" fillId="0" borderId="0" xfId="0" applyFont="1" applyAlignment="1">
      <alignment vertical="center"/>
    </xf>
    <xf numFmtId="11" fontId="51" fillId="0" borderId="1" xfId="1" applyNumberFormat="1" applyFont="1" applyBorder="1" applyAlignment="1">
      <alignment horizontal="center"/>
    </xf>
    <xf numFmtId="17" fontId="14" fillId="0" borderId="0" xfId="7" applyNumberFormat="1" applyFont="1" applyAlignment="1">
      <alignment horizontal="center" vertical="center"/>
    </xf>
    <xf numFmtId="0" fontId="5" fillId="0" borderId="18" xfId="11" applyFont="1" applyBorder="1"/>
    <xf numFmtId="0" fontId="5" fillId="0" borderId="15" xfId="11" applyFont="1" applyBorder="1"/>
    <xf numFmtId="0" fontId="14" fillId="0" borderId="12" xfId="11" applyFont="1" applyBorder="1"/>
    <xf numFmtId="0" fontId="6" fillId="0" borderId="12" xfId="0" applyFont="1" applyBorder="1"/>
    <xf numFmtId="0" fontId="5" fillId="0" borderId="15" xfId="2" applyBorder="1"/>
    <xf numFmtId="9" fontId="6" fillId="0" borderId="19" xfId="10" applyFont="1" applyFill="1" applyBorder="1" applyAlignment="1"/>
    <xf numFmtId="9" fontId="6" fillId="0" borderId="20" xfId="10" applyFont="1" applyFill="1" applyBorder="1" applyAlignment="1"/>
    <xf numFmtId="9" fontId="6" fillId="0" borderId="18" xfId="10" applyFont="1" applyFill="1" applyBorder="1" applyAlignment="1"/>
    <xf numFmtId="0" fontId="19" fillId="0" borderId="0" xfId="0" applyFont="1"/>
    <xf numFmtId="9" fontId="6" fillId="0" borderId="0" xfId="10" applyFont="1"/>
    <xf numFmtId="43" fontId="19" fillId="0" borderId="3" xfId="1" applyFont="1" applyFill="1" applyBorder="1" applyAlignment="1">
      <alignment wrapText="1"/>
    </xf>
    <xf numFmtId="0" fontId="54" fillId="0" borderId="0" xfId="0" applyFont="1"/>
    <xf numFmtId="0" fontId="6" fillId="0" borderId="0" xfId="0" applyFont="1" applyAlignment="1">
      <alignment horizontal="left" vertical="center"/>
    </xf>
    <xf numFmtId="167" fontId="6" fillId="0" borderId="0" xfId="10" applyNumberFormat="1" applyFont="1" applyAlignment="1">
      <alignment horizontal="center"/>
    </xf>
    <xf numFmtId="167" fontId="0" fillId="0" borderId="0" xfId="0" applyNumberFormat="1" applyAlignment="1">
      <alignment horizontal="center"/>
    </xf>
    <xf numFmtId="0" fontId="6" fillId="0" borderId="47" xfId="0" applyFont="1" applyBorder="1"/>
    <xf numFmtId="0" fontId="0" fillId="0" borderId="0" xfId="0" applyAlignment="1">
      <alignment wrapText="1"/>
    </xf>
    <xf numFmtId="10" fontId="0" fillId="0" borderId="0" xfId="10" applyNumberFormat="1" applyFont="1"/>
    <xf numFmtId="0" fontId="29" fillId="0" borderId="1" xfId="0" applyFont="1" applyBorder="1" applyAlignment="1">
      <alignment horizontal="left" indent="1"/>
    </xf>
    <xf numFmtId="0" fontId="19" fillId="0" borderId="13" xfId="0" applyFont="1" applyBorder="1"/>
    <xf numFmtId="0" fontId="14" fillId="0" borderId="33" xfId="0" applyFont="1" applyBorder="1" applyAlignment="1">
      <alignment horizontal="center" vertical="center"/>
    </xf>
    <xf numFmtId="0" fontId="14" fillId="0" borderId="0" xfId="2" applyFont="1" applyAlignment="1">
      <alignment horizontal="center" vertical="center"/>
    </xf>
    <xf numFmtId="0" fontId="15" fillId="0" borderId="46" xfId="0" applyFont="1" applyBorder="1" applyAlignment="1">
      <alignment horizontal="center" vertical="center"/>
    </xf>
    <xf numFmtId="0" fontId="15" fillId="0" borderId="43" xfId="0" applyFont="1" applyBorder="1" applyAlignment="1">
      <alignment horizontal="center" vertical="center"/>
    </xf>
    <xf numFmtId="2" fontId="40" fillId="0" borderId="5" xfId="0" applyNumberFormat="1" applyFont="1" applyBorder="1" applyAlignment="1">
      <alignment horizontal="right" vertical="center"/>
    </xf>
    <xf numFmtId="0" fontId="5" fillId="0" borderId="1" xfId="0" applyFont="1" applyBorder="1" applyAlignment="1">
      <alignment horizontal="left" vertical="top" wrapText="1"/>
    </xf>
    <xf numFmtId="168" fontId="5" fillId="0" borderId="1" xfId="1" applyNumberFormat="1" applyFont="1" applyFill="1" applyBorder="1" applyAlignment="1">
      <alignment horizontal="right" vertical="center" wrapText="1"/>
    </xf>
    <xf numFmtId="10" fontId="1" fillId="0" borderId="1" xfId="10" applyNumberFormat="1" applyFont="1" applyFill="1" applyBorder="1"/>
    <xf numFmtId="2" fontId="0" fillId="0" borderId="1" xfId="0" applyNumberFormat="1" applyBorder="1" applyAlignment="1">
      <alignment horizontal="right" vertical="center"/>
    </xf>
    <xf numFmtId="9" fontId="6" fillId="0" borderId="1" xfId="10" applyFont="1" applyFill="1" applyBorder="1"/>
    <xf numFmtId="10" fontId="0" fillId="0" borderId="1" xfId="10" applyNumberFormat="1" applyFont="1" applyFill="1" applyBorder="1"/>
    <xf numFmtId="43" fontId="13" fillId="0" borderId="0" xfId="1" applyFont="1" applyFill="1" applyBorder="1"/>
    <xf numFmtId="0" fontId="29" fillId="2" borderId="0" xfId="0" applyFont="1" applyFill="1" applyAlignment="1">
      <alignment horizontal="left" indent="1"/>
    </xf>
    <xf numFmtId="169" fontId="26" fillId="2" borderId="0" xfId="0" applyNumberFormat="1" applyFont="1" applyFill="1"/>
    <xf numFmtId="0" fontId="15" fillId="2" borderId="0" xfId="0" applyFont="1" applyFill="1" applyAlignment="1">
      <alignment horizontal="left"/>
    </xf>
    <xf numFmtId="0" fontId="0" fillId="0" borderId="13" xfId="0" applyBorder="1" applyAlignment="1">
      <alignment wrapText="1"/>
    </xf>
    <xf numFmtId="0" fontId="29" fillId="2" borderId="13" xfId="0" applyFont="1" applyFill="1" applyBorder="1" applyAlignment="1">
      <alignment horizontal="left" indent="1"/>
    </xf>
    <xf numFmtId="0" fontId="6" fillId="2" borderId="13" xfId="0" applyFont="1" applyFill="1" applyBorder="1"/>
    <xf numFmtId="0" fontId="15" fillId="2" borderId="13" xfId="0" applyFont="1" applyFill="1" applyBorder="1" applyAlignment="1">
      <alignment horizontal="left"/>
    </xf>
    <xf numFmtId="11" fontId="0" fillId="0" borderId="0" xfId="0" applyNumberFormat="1"/>
    <xf numFmtId="0" fontId="15" fillId="5" borderId="1" xfId="0" applyFont="1" applyFill="1" applyBorder="1" applyAlignment="1">
      <alignment horizontal="center"/>
    </xf>
    <xf numFmtId="0" fontId="21" fillId="5"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0" fontId="55" fillId="0" borderId="15" xfId="0" applyFont="1" applyBorder="1"/>
    <xf numFmtId="0" fontId="50" fillId="0" borderId="0" xfId="0" applyFont="1"/>
    <xf numFmtId="0" fontId="47" fillId="0" borderId="0" xfId="0" applyFont="1" applyAlignment="1">
      <alignment wrapText="1"/>
    </xf>
    <xf numFmtId="0" fontId="48" fillId="0" borderId="0" xfId="0" applyFont="1" applyAlignment="1">
      <alignment wrapText="1"/>
    </xf>
    <xf numFmtId="168" fontId="6" fillId="2" borderId="0" xfId="0" applyNumberFormat="1" applyFont="1" applyFill="1"/>
    <xf numFmtId="1" fontId="6" fillId="0" borderId="0" xfId="0" applyNumberFormat="1" applyFont="1"/>
    <xf numFmtId="3" fontId="6" fillId="0" borderId="13" xfId="1" applyNumberFormat="1" applyFont="1" applyFill="1" applyBorder="1"/>
    <xf numFmtId="3" fontId="6" fillId="0" borderId="47" xfId="1" applyNumberFormat="1" applyFont="1" applyFill="1" applyBorder="1"/>
    <xf numFmtId="3" fontId="19" fillId="0" borderId="13" xfId="2" applyNumberFormat="1" applyFont="1" applyBorder="1"/>
    <xf numFmtId="0" fontId="15" fillId="0" borderId="0" xfId="0" applyFont="1" applyAlignment="1">
      <alignment horizontal="center" vertical="center" wrapText="1"/>
    </xf>
    <xf numFmtId="169" fontId="6" fillId="0" borderId="1" xfId="0" applyNumberFormat="1" applyFont="1" applyBorder="1"/>
    <xf numFmtId="170" fontId="6" fillId="0" borderId="1" xfId="10" applyNumberFormat="1" applyFont="1" applyFill="1" applyBorder="1"/>
    <xf numFmtId="3" fontId="0" fillId="0" borderId="3" xfId="0" applyNumberFormat="1" applyBorder="1" applyAlignment="1">
      <alignment horizontal="right"/>
    </xf>
    <xf numFmtId="3" fontId="0" fillId="0" borderId="28" xfId="0" applyNumberFormat="1" applyBorder="1" applyAlignment="1">
      <alignment horizontal="right"/>
    </xf>
    <xf numFmtId="0" fontId="56" fillId="0" borderId="0" xfId="0" applyFont="1"/>
    <xf numFmtId="2" fontId="19" fillId="0" borderId="28" xfId="0" applyNumberFormat="1" applyFont="1" applyBorder="1"/>
    <xf numFmtId="2" fontId="19" fillId="0" borderId="26" xfId="0" applyNumberFormat="1" applyFont="1" applyBorder="1"/>
    <xf numFmtId="3" fontId="21" fillId="0" borderId="1" xfId="1" applyNumberFormat="1" applyFont="1" applyFill="1" applyBorder="1" applyAlignment="1">
      <alignment horizontal="right" vertical="center" wrapText="1"/>
    </xf>
    <xf numFmtId="3" fontId="21" fillId="0" borderId="1" xfId="1" applyNumberFormat="1" applyFont="1" applyFill="1" applyBorder="1" applyAlignment="1">
      <alignment horizontal="right" vertical="center"/>
    </xf>
    <xf numFmtId="170" fontId="0" fillId="0" borderId="0" xfId="10" applyNumberFormat="1" applyFont="1" applyFill="1" applyBorder="1"/>
    <xf numFmtId="17" fontId="14" fillId="0" borderId="19" xfId="7" applyNumberFormat="1" applyFont="1" applyBorder="1" applyAlignment="1">
      <alignment horizontal="center" vertical="center"/>
    </xf>
    <xf numFmtId="17" fontId="14" fillId="0" borderId="20" xfId="7" applyNumberFormat="1" applyFont="1" applyBorder="1" applyAlignment="1">
      <alignment horizontal="center" vertical="center"/>
    </xf>
    <xf numFmtId="43" fontId="14" fillId="0" borderId="18" xfId="11" applyNumberFormat="1" applyFont="1" applyBorder="1"/>
    <xf numFmtId="43" fontId="14" fillId="0" borderId="20" xfId="11" applyNumberFormat="1" applyFont="1" applyBorder="1"/>
    <xf numFmtId="3" fontId="19" fillId="0" borderId="29" xfId="0" applyNumberFormat="1" applyFont="1" applyBorder="1"/>
    <xf numFmtId="167" fontId="6" fillId="0" borderId="1" xfId="10" applyNumberFormat="1" applyFont="1" applyBorder="1" applyAlignment="1">
      <alignment horizontal="right" vertical="center"/>
    </xf>
    <xf numFmtId="0" fontId="49" fillId="0" borderId="1" xfId="0" applyFont="1" applyBorder="1" applyAlignment="1">
      <alignment wrapText="1"/>
    </xf>
    <xf numFmtId="43" fontId="0" fillId="0" borderId="45" xfId="1" applyFont="1" applyBorder="1"/>
    <xf numFmtId="0" fontId="2" fillId="0" borderId="39" xfId="0" applyFont="1" applyBorder="1"/>
    <xf numFmtId="167" fontId="2" fillId="0" borderId="40" xfId="10" applyNumberFormat="1" applyFont="1" applyBorder="1"/>
    <xf numFmtId="43" fontId="2" fillId="0" borderId="41" xfId="0" applyNumberFormat="1" applyFont="1" applyBorder="1"/>
    <xf numFmtId="9" fontId="0" fillId="0" borderId="3" xfId="10" applyFont="1" applyBorder="1"/>
    <xf numFmtId="43" fontId="0" fillId="0" borderId="28" xfId="1" applyFont="1" applyBorder="1"/>
    <xf numFmtId="167" fontId="0" fillId="0" borderId="2" xfId="10" applyNumberFormat="1" applyFont="1" applyBorder="1"/>
    <xf numFmtId="0" fontId="15" fillId="5" borderId="0" xfId="0" applyFont="1" applyFill="1" applyAlignment="1">
      <alignment horizontal="center"/>
    </xf>
    <xf numFmtId="43" fontId="42" fillId="2" borderId="0" xfId="0" applyNumberFormat="1" applyFont="1" applyFill="1"/>
    <xf numFmtId="0" fontId="19" fillId="0" borderId="49" xfId="0" applyFont="1" applyBorder="1"/>
    <xf numFmtId="0" fontId="15" fillId="5" borderId="13" xfId="0" applyFont="1" applyFill="1" applyBorder="1" applyAlignment="1">
      <alignment horizontal="center"/>
    </xf>
    <xf numFmtId="0" fontId="2" fillId="5" borderId="13" xfId="0" applyFont="1" applyFill="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43" fontId="35" fillId="0" borderId="0" xfId="1" applyFont="1" applyFill="1" applyBorder="1" applyAlignment="1"/>
    <xf numFmtId="169" fontId="31" fillId="0" borderId="1" xfId="0" applyNumberFormat="1" applyFont="1" applyBorder="1"/>
    <xf numFmtId="0" fontId="2" fillId="5" borderId="1" xfId="0" applyFont="1" applyFill="1" applyBorder="1" applyAlignment="1">
      <alignment horizontal="center"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xf>
    <xf numFmtId="9" fontId="6" fillId="0" borderId="48" xfId="10" applyFont="1" applyFill="1" applyBorder="1" applyAlignment="1"/>
    <xf numFmtId="0" fontId="9" fillId="0" borderId="0" xfId="0" applyFont="1" applyAlignment="1">
      <alignment vertical="center" wrapText="1"/>
    </xf>
    <xf numFmtId="43" fontId="5" fillId="0" borderId="0" xfId="1" applyFont="1" applyFill="1" applyBorder="1" applyAlignment="1">
      <alignment horizontal="left" vertical="center"/>
    </xf>
    <xf numFmtId="43" fontId="5" fillId="0" borderId="0" xfId="1" applyFont="1" applyFill="1" applyBorder="1" applyAlignment="1">
      <alignment horizontal="center" vertical="center"/>
    </xf>
    <xf numFmtId="165" fontId="6" fillId="0" borderId="0" xfId="0" applyNumberFormat="1" applyFont="1"/>
    <xf numFmtId="3" fontId="0" fillId="0" borderId="3" xfId="0" applyNumberFormat="1" applyBorder="1"/>
    <xf numFmtId="43" fontId="57" fillId="0" borderId="1" xfId="0" applyNumberFormat="1" applyFont="1" applyBorder="1" applyAlignment="1">
      <alignment vertical="center"/>
    </xf>
    <xf numFmtId="0" fontId="15" fillId="5" borderId="1" xfId="0" applyFont="1" applyFill="1" applyBorder="1" applyAlignment="1">
      <alignment horizontal="center" vertical="center"/>
    </xf>
    <xf numFmtId="0" fontId="14" fillId="5" borderId="1" xfId="5" applyFont="1" applyFill="1" applyBorder="1" applyAlignment="1">
      <alignment horizontal="center" vertical="center"/>
    </xf>
    <xf numFmtId="0" fontId="14" fillId="5" borderId="1" xfId="0" applyFont="1" applyFill="1" applyBorder="1" applyAlignment="1">
      <alignment horizontal="center" vertical="center"/>
    </xf>
    <xf numFmtId="0" fontId="2" fillId="5" borderId="39" xfId="0" applyFont="1" applyFill="1" applyBorder="1" applyAlignment="1">
      <alignment horizontal="center"/>
    </xf>
    <xf numFmtId="0" fontId="2" fillId="5" borderId="40" xfId="0" applyFont="1" applyFill="1" applyBorder="1" applyAlignment="1">
      <alignment horizontal="center"/>
    </xf>
    <xf numFmtId="0" fontId="2" fillId="5" borderId="41" xfId="0" applyFont="1" applyFill="1" applyBorder="1" applyAlignment="1">
      <alignment horizontal="center"/>
    </xf>
    <xf numFmtId="43" fontId="2" fillId="5" borderId="1" xfId="0" applyNumberFormat="1" applyFont="1" applyFill="1" applyBorder="1" applyAlignment="1">
      <alignment horizontal="center"/>
    </xf>
    <xf numFmtId="0" fontId="2" fillId="5" borderId="4" xfId="0" applyFont="1" applyFill="1" applyBorder="1" applyAlignment="1">
      <alignment horizontal="center" vertical="center" wrapText="1"/>
    </xf>
    <xf numFmtId="0" fontId="14" fillId="5" borderId="4" xfId="0" applyFont="1" applyFill="1" applyBorder="1" applyAlignment="1">
      <alignment horizontal="center"/>
    </xf>
    <xf numFmtId="0" fontId="14" fillId="5" borderId="1" xfId="0" applyFont="1" applyFill="1" applyBorder="1" applyAlignment="1">
      <alignment horizontal="center"/>
    </xf>
    <xf numFmtId="0" fontId="14" fillId="5" borderId="5" xfId="0" applyFont="1" applyFill="1" applyBorder="1" applyAlignment="1">
      <alignment horizontal="center"/>
    </xf>
    <xf numFmtId="0" fontId="14" fillId="5" borderId="42" xfId="0" applyFont="1" applyFill="1" applyBorder="1" applyAlignment="1">
      <alignment horizontal="center"/>
    </xf>
    <xf numFmtId="0" fontId="15" fillId="5" borderId="30" xfId="0" applyFont="1" applyFill="1" applyBorder="1" applyAlignment="1">
      <alignment horizontal="center" vertical="center"/>
    </xf>
    <xf numFmtId="0" fontId="15" fillId="5" borderId="31" xfId="0" applyFont="1" applyFill="1" applyBorder="1" applyAlignment="1">
      <alignment horizontal="center" vertical="center"/>
    </xf>
    <xf numFmtId="0" fontId="15" fillId="5" borderId="32" xfId="0" applyFont="1" applyFill="1" applyBorder="1" applyAlignment="1">
      <alignment horizontal="center" vertical="center"/>
    </xf>
    <xf numFmtId="0" fontId="15" fillId="5" borderId="25" xfId="0" applyFont="1" applyFill="1" applyBorder="1" applyAlignment="1">
      <alignment horizontal="center"/>
    </xf>
    <xf numFmtId="0" fontId="15" fillId="5" borderId="26" xfId="0" applyFont="1" applyFill="1" applyBorder="1" applyAlignment="1">
      <alignment horizontal="center"/>
    </xf>
    <xf numFmtId="0" fontId="15" fillId="5" borderId="29" xfId="0" applyFont="1" applyFill="1" applyBorder="1" applyAlignment="1">
      <alignment horizontal="center"/>
    </xf>
    <xf numFmtId="0" fontId="15" fillId="5" borderId="25"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26" xfId="0" applyFont="1" applyFill="1" applyBorder="1" applyAlignment="1">
      <alignment horizontal="center" vertical="center" wrapText="1"/>
    </xf>
    <xf numFmtId="0" fontId="6" fillId="5" borderId="13" xfId="0" applyFont="1" applyFill="1" applyBorder="1" applyAlignment="1">
      <alignment horizontal="center"/>
    </xf>
    <xf numFmtId="0" fontId="58" fillId="0" borderId="0" xfId="0" applyFont="1"/>
    <xf numFmtId="0" fontId="29" fillId="0" borderId="0" xfId="0" applyFont="1" applyAlignment="1">
      <alignment horizontal="left" indent="1"/>
    </xf>
    <xf numFmtId="0" fontId="42" fillId="5" borderId="1" xfId="0" applyFont="1" applyFill="1" applyBorder="1" applyAlignment="1">
      <alignment horizontal="center" vertical="center"/>
    </xf>
    <xf numFmtId="0" fontId="15" fillId="5" borderId="39" xfId="0" applyFont="1" applyFill="1" applyBorder="1" applyAlignment="1">
      <alignment horizontal="center" wrapText="1"/>
    </xf>
    <xf numFmtId="0" fontId="15" fillId="5" borderId="40" xfId="0" applyFont="1" applyFill="1" applyBorder="1" applyAlignment="1">
      <alignment horizontal="center" wrapText="1"/>
    </xf>
    <xf numFmtId="0" fontId="15" fillId="5" borderId="41" xfId="0" applyFont="1" applyFill="1" applyBorder="1" applyAlignment="1">
      <alignment horizontal="center" wrapText="1"/>
    </xf>
    <xf numFmtId="0" fontId="42" fillId="5" borderId="39" xfId="0" applyFont="1" applyFill="1" applyBorder="1" applyAlignment="1">
      <alignment horizontal="center" vertical="center"/>
    </xf>
    <xf numFmtId="0" fontId="42" fillId="5" borderId="40" xfId="0" applyFont="1" applyFill="1" applyBorder="1" applyAlignment="1">
      <alignment horizontal="center" vertical="center"/>
    </xf>
    <xf numFmtId="0" fontId="42" fillId="5" borderId="40" xfId="0" applyFont="1" applyFill="1" applyBorder="1" applyAlignment="1">
      <alignment horizontal="center"/>
    </xf>
    <xf numFmtId="0" fontId="42" fillId="5" borderId="41" xfId="0" applyFont="1" applyFill="1" applyBorder="1" applyAlignment="1">
      <alignment horizontal="center"/>
    </xf>
    <xf numFmtId="0" fontId="42" fillId="5" borderId="1" xfId="0" applyFont="1" applyFill="1" applyBorder="1" applyAlignment="1">
      <alignment horizontal="center" vertical="center" wrapText="1"/>
    </xf>
    <xf numFmtId="0" fontId="42" fillId="5" borderId="41" xfId="0" applyFont="1" applyFill="1" applyBorder="1" applyAlignment="1">
      <alignment horizontal="center" vertical="center"/>
    </xf>
    <xf numFmtId="43" fontId="42" fillId="0" borderId="0" xfId="0" applyNumberFormat="1" applyFont="1"/>
    <xf numFmtId="167" fontId="40" fillId="0" borderId="0" xfId="10" applyNumberFormat="1" applyFont="1" applyAlignment="1">
      <alignment horizontal="center" wrapText="1"/>
    </xf>
    <xf numFmtId="167" fontId="40" fillId="0" borderId="0" xfId="10" applyNumberFormat="1" applyFont="1" applyAlignment="1">
      <alignment horizontal="center"/>
    </xf>
    <xf numFmtId="0" fontId="59" fillId="0" borderId="0" xfId="0" applyFont="1"/>
    <xf numFmtId="0" fontId="61" fillId="0" borderId="0" xfId="0" applyFont="1"/>
    <xf numFmtId="0" fontId="60" fillId="0" borderId="0" xfId="0" applyFont="1"/>
    <xf numFmtId="0" fontId="62" fillId="0" borderId="1" xfId="0" applyFont="1" applyBorder="1" applyAlignment="1">
      <alignment vertical="center"/>
    </xf>
    <xf numFmtId="43" fontId="62" fillId="0" borderId="1" xfId="0" applyNumberFormat="1" applyFont="1" applyBorder="1"/>
    <xf numFmtId="0" fontId="63" fillId="0" borderId="1" xfId="0" applyFont="1" applyBorder="1" applyAlignment="1">
      <alignment vertical="center"/>
    </xf>
    <xf numFmtId="4" fontId="62" fillId="0" borderId="1" xfId="0" applyNumberFormat="1" applyFont="1" applyBorder="1"/>
    <xf numFmtId="0" fontId="62" fillId="0" borderId="1" xfId="0" applyFont="1" applyBorder="1"/>
    <xf numFmtId="43" fontId="62" fillId="2" borderId="1" xfId="0" applyNumberFormat="1" applyFont="1" applyFill="1" applyBorder="1"/>
    <xf numFmtId="0" fontId="64" fillId="0" borderId="1" xfId="0" applyFont="1" applyBorder="1"/>
    <xf numFmtId="43" fontId="64" fillId="0" borderId="1" xfId="0" applyNumberFormat="1" applyFont="1" applyBorder="1"/>
    <xf numFmtId="167" fontId="62" fillId="0" borderId="1" xfId="10" applyNumberFormat="1" applyFont="1" applyBorder="1" applyAlignment="1">
      <alignment horizontal="right" vertical="center"/>
    </xf>
    <xf numFmtId="0" fontId="64" fillId="2" borderId="1" xfId="0" applyFont="1" applyFill="1" applyBorder="1"/>
    <xf numFmtId="43" fontId="64" fillId="2" borderId="1" xfId="0" applyNumberFormat="1" applyFont="1" applyFill="1" applyBorder="1"/>
    <xf numFmtId="0" fontId="62" fillId="2" borderId="1" xfId="0" applyFont="1" applyFill="1" applyBorder="1"/>
    <xf numFmtId="43" fontId="62" fillId="2" borderId="1" xfId="1" applyFont="1" applyFill="1" applyBorder="1"/>
    <xf numFmtId="0" fontId="60" fillId="2" borderId="1" xfId="0" applyFont="1" applyFill="1" applyBorder="1" applyAlignment="1">
      <alignment horizontal="left"/>
    </xf>
    <xf numFmtId="43" fontId="60" fillId="2" borderId="1" xfId="0" applyNumberFormat="1" applyFont="1" applyFill="1" applyBorder="1"/>
    <xf numFmtId="170" fontId="62" fillId="0" borderId="1" xfId="10" applyNumberFormat="1" applyFont="1" applyBorder="1" applyAlignment="1">
      <alignment horizontal="right" vertical="center"/>
    </xf>
    <xf numFmtId="0" fontId="60" fillId="2" borderId="11" xfId="0" applyFont="1" applyFill="1" applyBorder="1"/>
    <xf numFmtId="172" fontId="65" fillId="0" borderId="0" xfId="0" applyNumberFormat="1" applyFont="1"/>
    <xf numFmtId="170" fontId="66" fillId="0" borderId="1" xfId="10" applyNumberFormat="1" applyFont="1" applyBorder="1"/>
    <xf numFmtId="165" fontId="62" fillId="2" borderId="1" xfId="0" applyNumberFormat="1" applyFont="1" applyFill="1" applyBorder="1" applyAlignment="1">
      <alignment horizontal="left"/>
    </xf>
    <xf numFmtId="0" fontId="59" fillId="0" borderId="13" xfId="0" applyFont="1" applyBorder="1"/>
    <xf numFmtId="0" fontId="67" fillId="2" borderId="13" xfId="0" applyFont="1" applyFill="1" applyBorder="1"/>
    <xf numFmtId="169" fontId="67" fillId="2" borderId="0" xfId="0" applyNumberFormat="1" applyFont="1" applyFill="1"/>
    <xf numFmtId="0" fontId="67" fillId="2" borderId="0" xfId="0" applyFont="1" applyFill="1"/>
    <xf numFmtId="169" fontId="67" fillId="0" borderId="0" xfId="0" applyNumberFormat="1" applyFont="1"/>
    <xf numFmtId="165" fontId="62" fillId="2" borderId="0" xfId="0" applyNumberFormat="1" applyFont="1" applyFill="1" applyAlignment="1">
      <alignment horizontal="left"/>
    </xf>
    <xf numFmtId="169" fontId="63" fillId="2" borderId="0" xfId="0" applyNumberFormat="1" applyFont="1" applyFill="1"/>
    <xf numFmtId="0" fontId="62" fillId="2" borderId="0" xfId="0" applyFont="1" applyFill="1"/>
    <xf numFmtId="0" fontId="62" fillId="0" borderId="0" xfId="0" applyFont="1"/>
    <xf numFmtId="0" fontId="62" fillId="2" borderId="13" xfId="0" applyFont="1" applyFill="1" applyBorder="1"/>
    <xf numFmtId="0" fontId="67" fillId="0" borderId="4" xfId="0" applyFont="1" applyBorder="1"/>
    <xf numFmtId="43" fontId="67" fillId="0" borderId="1" xfId="0" applyNumberFormat="1" applyFont="1" applyBorder="1"/>
    <xf numFmtId="0" fontId="67" fillId="2" borderId="1" xfId="0" applyFont="1" applyFill="1" applyBorder="1"/>
    <xf numFmtId="165" fontId="67" fillId="0" borderId="1" xfId="0" applyNumberFormat="1" applyFont="1" applyBorder="1"/>
    <xf numFmtId="0" fontId="62" fillId="0" borderId="4" xfId="0" applyFont="1" applyBorder="1"/>
    <xf numFmtId="43" fontId="65" fillId="0" borderId="1" xfId="0" applyNumberFormat="1" applyFont="1" applyBorder="1"/>
    <xf numFmtId="43" fontId="63" fillId="0" borderId="1" xfId="0" applyNumberFormat="1" applyFont="1" applyBorder="1"/>
    <xf numFmtId="43" fontId="68" fillId="0" borderId="19" xfId="0" applyNumberFormat="1" applyFont="1" applyBorder="1"/>
    <xf numFmtId="0" fontId="69" fillId="0" borderId="0" xfId="0" applyFont="1"/>
    <xf numFmtId="43" fontId="72" fillId="0" borderId="27" xfId="1" applyFont="1" applyFill="1" applyBorder="1"/>
    <xf numFmtId="43" fontId="72" fillId="0" borderId="3" xfId="1" applyFont="1" applyFill="1" applyBorder="1"/>
    <xf numFmtId="9" fontId="72" fillId="0" borderId="3" xfId="10" applyFont="1" applyBorder="1"/>
    <xf numFmtId="43" fontId="72" fillId="0" borderId="1" xfId="1" applyFont="1" applyFill="1" applyBorder="1"/>
    <xf numFmtId="43" fontId="59" fillId="0" borderId="0" xfId="0" applyNumberFormat="1" applyFont="1"/>
    <xf numFmtId="0" fontId="62" fillId="0" borderId="0" xfId="0" applyFont="1" applyAlignment="1">
      <alignment horizontal="center" vertical="center"/>
    </xf>
    <xf numFmtId="43" fontId="72" fillId="0" borderId="28" xfId="1" applyFont="1" applyFill="1" applyBorder="1"/>
    <xf numFmtId="43" fontId="60" fillId="0" borderId="0" xfId="0" applyNumberFormat="1" applyFont="1"/>
    <xf numFmtId="43" fontId="62" fillId="0" borderId="27" xfId="1" applyFont="1" applyFill="1" applyBorder="1"/>
    <xf numFmtId="43" fontId="62" fillId="0" borderId="3" xfId="1" applyFont="1" applyFill="1" applyBorder="1"/>
    <xf numFmtId="9" fontId="62" fillId="0" borderId="3" xfId="10" applyFont="1" applyBorder="1"/>
    <xf numFmtId="43" fontId="62" fillId="0" borderId="1" xfId="1" applyFont="1" applyFill="1" applyBorder="1"/>
    <xf numFmtId="167" fontId="62" fillId="0" borderId="24" xfId="10" applyNumberFormat="1" applyFont="1" applyFill="1" applyBorder="1"/>
    <xf numFmtId="0" fontId="6" fillId="0" borderId="0" xfId="0" applyFont="1" applyAlignment="1">
      <alignment wrapText="1"/>
    </xf>
    <xf numFmtId="0" fontId="15" fillId="0" borderId="0" xfId="0" applyFont="1" applyAlignment="1">
      <alignment horizontal="center" vertical="center"/>
    </xf>
    <xf numFmtId="9" fontId="6" fillId="0" borderId="0" xfId="10" applyFont="1" applyFill="1" applyBorder="1"/>
    <xf numFmtId="165" fontId="6" fillId="0" borderId="0" xfId="1" applyNumberFormat="1" applyFont="1" applyFill="1" applyBorder="1"/>
    <xf numFmtId="168" fontId="15" fillId="0" borderId="0" xfId="0" applyNumberFormat="1" applyFont="1"/>
    <xf numFmtId="43" fontId="6" fillId="0" borderId="0" xfId="1" applyFont="1" applyFill="1" applyBorder="1" applyAlignment="1">
      <alignment wrapText="1"/>
    </xf>
    <xf numFmtId="167" fontId="6" fillId="0" borderId="0" xfId="10" applyNumberFormat="1" applyFont="1" applyFill="1" applyBorder="1" applyAlignment="1">
      <alignment horizontal="center"/>
    </xf>
    <xf numFmtId="10" fontId="46" fillId="0" borderId="24" xfId="10" applyNumberFormat="1" applyFont="1" applyFill="1" applyBorder="1" applyAlignment="1"/>
    <xf numFmtId="0" fontId="15" fillId="5" borderId="39" xfId="0" applyFont="1" applyFill="1" applyBorder="1" applyAlignment="1">
      <alignment horizontal="center" vertical="center"/>
    </xf>
    <xf numFmtId="0" fontId="15" fillId="5" borderId="40" xfId="0" applyFont="1" applyFill="1" applyBorder="1" applyAlignment="1">
      <alignment horizontal="center" vertical="center"/>
    </xf>
    <xf numFmtId="0" fontId="15" fillId="5" borderId="40" xfId="0" applyFont="1" applyFill="1" applyBorder="1" applyAlignment="1">
      <alignment horizontal="center"/>
    </xf>
    <xf numFmtId="0" fontId="15" fillId="5" borderId="41" xfId="0" applyFont="1" applyFill="1" applyBorder="1" applyAlignment="1">
      <alignment horizontal="center"/>
    </xf>
    <xf numFmtId="0" fontId="21" fillId="5" borderId="1" xfId="0" applyFont="1" applyFill="1" applyBorder="1" applyAlignment="1">
      <alignment horizontal="center"/>
    </xf>
    <xf numFmtId="169" fontId="59" fillId="0" borderId="0" xfId="0" applyNumberFormat="1" applyFont="1" applyAlignment="1">
      <alignment horizontal="left"/>
    </xf>
    <xf numFmtId="0" fontId="21" fillId="5" borderId="1" xfId="0" applyFont="1" applyFill="1" applyBorder="1" applyAlignment="1">
      <alignment horizontal="center" vertical="center" wrapText="1"/>
    </xf>
    <xf numFmtId="4" fontId="6" fillId="0" borderId="0" xfId="9" applyNumberFormat="1" applyFont="1" applyAlignment="1">
      <alignment vertical="center"/>
    </xf>
    <xf numFmtId="4" fontId="6" fillId="0" borderId="0" xfId="0" applyNumberFormat="1" applyFont="1" applyAlignment="1">
      <alignment vertical="center" wrapText="1"/>
    </xf>
    <xf numFmtId="4" fontId="17" fillId="0" borderId="0" xfId="0" applyNumberFormat="1" applyFont="1" applyAlignment="1">
      <alignment vertical="center" wrapText="1"/>
    </xf>
    <xf numFmtId="4" fontId="12" fillId="0" borderId="0" xfId="0" applyNumberFormat="1" applyFont="1" applyAlignment="1">
      <alignment vertical="center" wrapText="1"/>
    </xf>
    <xf numFmtId="0" fontId="60" fillId="0" borderId="1" xfId="0" applyFont="1" applyBorder="1"/>
    <xf numFmtId="0" fontId="67" fillId="0" borderId="1" xfId="0" applyFont="1" applyBorder="1"/>
    <xf numFmtId="0" fontId="73" fillId="2" borderId="0" xfId="0" applyFont="1" applyFill="1" applyAlignment="1">
      <alignment vertical="center" wrapText="1"/>
    </xf>
    <xf numFmtId="0" fontId="12" fillId="2" borderId="0" xfId="0" applyFont="1" applyFill="1" applyAlignment="1">
      <alignment vertical="center"/>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4" fillId="0" borderId="0" xfId="0" applyFont="1"/>
    <xf numFmtId="0" fontId="66" fillId="0" borderId="0" xfId="0" applyFont="1"/>
    <xf numFmtId="0" fontId="75" fillId="0" borderId="0" xfId="0" applyFont="1"/>
    <xf numFmtId="0" fontId="14" fillId="5" borderId="1" xfId="6" applyFont="1" applyFill="1" applyBorder="1" applyAlignment="1">
      <alignment horizontal="center" vertical="center" wrapText="1"/>
    </xf>
    <xf numFmtId="0" fontId="14" fillId="5" borderId="1" xfId="6" applyFont="1" applyFill="1" applyBorder="1" applyAlignment="1">
      <alignment horizontal="center" vertical="center"/>
    </xf>
    <xf numFmtId="0" fontId="13" fillId="0" borderId="1" xfId="0" applyFont="1" applyBorder="1" applyAlignment="1">
      <alignment horizontal="left" vertical="center"/>
    </xf>
    <xf numFmtId="43" fontId="13" fillId="0" borderId="1" xfId="0" applyNumberFormat="1" applyFont="1" applyBorder="1" applyAlignment="1">
      <alignment horizontal="right" vertical="center"/>
    </xf>
    <xf numFmtId="43" fontId="13" fillId="0" borderId="1" xfId="0" applyNumberFormat="1" applyFont="1" applyBorder="1" applyAlignment="1">
      <alignment horizontal="left"/>
    </xf>
    <xf numFmtId="167" fontId="1" fillId="0" borderId="1" xfId="10" applyNumberFormat="1" applyFont="1" applyFill="1" applyBorder="1" applyAlignment="1">
      <alignment horizontal="right" vertical="center"/>
    </xf>
    <xf numFmtId="0" fontId="13" fillId="0" borderId="3" xfId="0" applyFont="1" applyBorder="1" applyAlignment="1">
      <alignment horizontal="left"/>
    </xf>
    <xf numFmtId="0" fontId="13" fillId="0" borderId="1" xfId="0" applyFont="1" applyBorder="1" applyAlignment="1">
      <alignment horizontal="left"/>
    </xf>
    <xf numFmtId="165" fontId="0" fillId="0" borderId="1" xfId="1" applyNumberFormat="1" applyFont="1" applyBorder="1" applyAlignment="1">
      <alignment horizontal="right" vertical="center"/>
    </xf>
    <xf numFmtId="3" fontId="0" fillId="0" borderId="1" xfId="1" applyNumberFormat="1" applyFont="1" applyBorder="1" applyAlignment="1">
      <alignment horizontal="right" vertical="center"/>
    </xf>
    <xf numFmtId="168" fontId="0" fillId="0" borderId="1" xfId="1" applyNumberFormat="1" applyFont="1" applyBorder="1" applyAlignment="1">
      <alignment horizontal="right" vertical="center"/>
    </xf>
    <xf numFmtId="0" fontId="68" fillId="0" borderId="0" xfId="0" applyFont="1" applyAlignment="1">
      <alignment horizontal="center" vertical="center"/>
    </xf>
    <xf numFmtId="168" fontId="2" fillId="0" borderId="0" xfId="0" applyNumberFormat="1" applyFont="1"/>
    <xf numFmtId="173" fontId="5" fillId="0" borderId="0" xfId="6" applyNumberFormat="1"/>
    <xf numFmtId="43" fontId="15" fillId="0" borderId="29" xfId="1" applyFont="1" applyFill="1" applyBorder="1" applyAlignment="1">
      <alignment wrapText="1"/>
    </xf>
    <xf numFmtId="43" fontId="15" fillId="0" borderId="26" xfId="0" applyNumberFormat="1" applyFont="1" applyBorder="1"/>
    <xf numFmtId="169" fontId="6" fillId="0" borderId="32" xfId="1" applyNumberFormat="1" applyFont="1" applyBorder="1"/>
    <xf numFmtId="9" fontId="74" fillId="0" borderId="0" xfId="10" applyFont="1"/>
    <xf numFmtId="11" fontId="6" fillId="0" borderId="3" xfId="0" applyNumberFormat="1" applyFont="1" applyBorder="1" applyAlignment="1">
      <alignment vertical="center"/>
    </xf>
    <xf numFmtId="11" fontId="19" fillId="0" borderId="1" xfId="1" applyNumberFormat="1" applyFont="1" applyFill="1" applyBorder="1" applyAlignment="1">
      <alignment vertical="center"/>
    </xf>
    <xf numFmtId="0" fontId="49" fillId="0" borderId="0" xfId="0" applyFont="1"/>
    <xf numFmtId="0" fontId="14" fillId="0" borderId="13" xfId="11" applyFont="1" applyBorder="1" applyAlignment="1">
      <alignment horizontal="center"/>
    </xf>
    <xf numFmtId="0" fontId="14" fillId="0" borderId="17" xfId="11" applyFont="1" applyBorder="1" applyAlignment="1">
      <alignment horizontal="center"/>
    </xf>
    <xf numFmtId="0" fontId="67" fillId="0" borderId="0" xfId="0" applyFont="1" applyAlignment="1">
      <alignment vertical="top"/>
    </xf>
    <xf numFmtId="0" fontId="60" fillId="0" borderId="0" xfId="0" applyFont="1" applyAlignment="1">
      <alignment wrapText="1"/>
    </xf>
    <xf numFmtId="0" fontId="77" fillId="0" borderId="0" xfId="0" applyFont="1"/>
    <xf numFmtId="0" fontId="69" fillId="0" borderId="0" xfId="0" applyFont="1" applyAlignment="1">
      <alignment wrapText="1"/>
    </xf>
    <xf numFmtId="3" fontId="6" fillId="0" borderId="26" xfId="0" applyNumberFormat="1" applyFont="1" applyBorder="1"/>
    <xf numFmtId="0" fontId="69" fillId="0" borderId="0" xfId="0" applyFont="1" applyAlignment="1">
      <alignment horizontal="left"/>
    </xf>
    <xf numFmtId="9" fontId="0" fillId="0" borderId="1" xfId="10" applyFont="1" applyBorder="1"/>
    <xf numFmtId="43" fontId="0" fillId="0" borderId="24" xfId="1" applyFont="1" applyBorder="1"/>
    <xf numFmtId="4" fontId="19" fillId="0" borderId="1" xfId="0" applyNumberFormat="1" applyFont="1" applyBorder="1"/>
    <xf numFmtId="43" fontId="15" fillId="0" borderId="1" xfId="0" applyNumberFormat="1" applyFont="1" applyBorder="1"/>
    <xf numFmtId="43" fontId="60" fillId="0" borderId="11" xfId="0" applyNumberFormat="1" applyFont="1" applyBorder="1"/>
    <xf numFmtId="0" fontId="64" fillId="2" borderId="11" xfId="0" applyFont="1" applyFill="1" applyBorder="1" applyAlignment="1">
      <alignment horizontal="left" vertical="top" wrapText="1"/>
    </xf>
    <xf numFmtId="0" fontId="59" fillId="0" borderId="0" xfId="5" applyFont="1"/>
    <xf numFmtId="0" fontId="17" fillId="5" borderId="1" xfId="12" applyFont="1" applyFill="1" applyBorder="1" applyAlignment="1">
      <alignment horizontal="center" vertical="center" wrapText="1"/>
    </xf>
    <xf numFmtId="0" fontId="12" fillId="5" borderId="1" xfId="12" applyFont="1" applyFill="1" applyBorder="1" applyAlignment="1">
      <alignment horizontal="center" vertical="center" wrapText="1"/>
    </xf>
    <xf numFmtId="0" fontId="14" fillId="5" borderId="1" xfId="12" applyFont="1" applyFill="1" applyBorder="1" applyAlignment="1">
      <alignment horizontal="center" vertical="center" wrapText="1"/>
    </xf>
    <xf numFmtId="3" fontId="2" fillId="0" borderId="0" xfId="0" applyNumberFormat="1" applyFont="1"/>
    <xf numFmtId="169" fontId="0" fillId="0" borderId="0" xfId="0" applyNumberFormat="1"/>
    <xf numFmtId="0" fontId="2" fillId="0" borderId="4" xfId="0" applyFont="1" applyBorder="1" applyAlignment="1">
      <alignment wrapText="1"/>
    </xf>
    <xf numFmtId="0" fontId="42" fillId="0" borderId="0" xfId="0" applyFont="1" applyAlignment="1">
      <alignment wrapText="1"/>
    </xf>
    <xf numFmtId="4" fontId="42" fillId="0" borderId="0" xfId="0" applyNumberFormat="1" applyFont="1" applyAlignment="1">
      <alignment wrapText="1"/>
    </xf>
    <xf numFmtId="4" fontId="60" fillId="0" borderId="1" xfId="0" applyNumberFormat="1" applyFont="1" applyBorder="1"/>
    <xf numFmtId="4" fontId="67" fillId="0" borderId="1" xfId="0" applyNumberFormat="1" applyFont="1" applyBorder="1"/>
    <xf numFmtId="4" fontId="32" fillId="0" borderId="1" xfId="0" applyNumberFormat="1" applyFont="1" applyBorder="1"/>
    <xf numFmtId="4" fontId="29" fillId="0" borderId="1" xfId="0" applyNumberFormat="1" applyFont="1" applyBorder="1" applyAlignment="1">
      <alignment horizontal="left" indent="1"/>
    </xf>
    <xf numFmtId="4" fontId="20" fillId="0" borderId="1" xfId="0" applyNumberFormat="1" applyFont="1" applyBorder="1"/>
    <xf numFmtId="4" fontId="62" fillId="2" borderId="1" xfId="0" applyNumberFormat="1" applyFont="1" applyFill="1" applyBorder="1"/>
    <xf numFmtId="4" fontId="21" fillId="0" borderId="1" xfId="0" applyNumberFormat="1" applyFont="1" applyBorder="1"/>
    <xf numFmtId="4" fontId="21" fillId="0" borderId="1" xfId="0" applyNumberFormat="1" applyFont="1" applyBorder="1" applyAlignment="1">
      <alignment horizontal="left"/>
    </xf>
    <xf numFmtId="3" fontId="60" fillId="0" borderId="1" xfId="0" applyNumberFormat="1" applyFont="1" applyBorder="1" applyAlignment="1">
      <alignment vertical="center" wrapText="1"/>
    </xf>
    <xf numFmtId="3" fontId="26" fillId="0" borderId="1" xfId="0" applyNumberFormat="1" applyFont="1" applyBorder="1" applyAlignment="1">
      <alignment vertical="center" wrapText="1"/>
    </xf>
    <xf numFmtId="3" fontId="17" fillId="0" borderId="1" xfId="0" applyNumberFormat="1" applyFont="1" applyBorder="1" applyAlignment="1">
      <alignment vertical="center" wrapText="1"/>
    </xf>
    <xf numFmtId="3" fontId="15" fillId="0" borderId="1" xfId="0" applyNumberFormat="1" applyFont="1" applyBorder="1" applyAlignment="1">
      <alignment vertical="center" wrapText="1"/>
    </xf>
    <xf numFmtId="3" fontId="60" fillId="0" borderId="1" xfId="1" applyNumberFormat="1" applyFont="1" applyFill="1" applyBorder="1" applyAlignment="1">
      <alignment vertical="center" wrapText="1"/>
    </xf>
    <xf numFmtId="3" fontId="29" fillId="0" borderId="1" xfId="0" applyNumberFormat="1" applyFont="1" applyBorder="1" applyAlignment="1">
      <alignment vertical="center" wrapText="1"/>
    </xf>
    <xf numFmtId="4" fontId="26" fillId="0" borderId="1" xfId="0" applyNumberFormat="1" applyFont="1" applyBorder="1" applyAlignment="1">
      <alignment vertical="center" wrapText="1"/>
    </xf>
    <xf numFmtId="166" fontId="60" fillId="0" borderId="1" xfId="1" applyNumberFormat="1" applyFont="1" applyFill="1" applyBorder="1" applyAlignment="1">
      <alignment vertical="center" wrapText="1"/>
    </xf>
    <xf numFmtId="0" fontId="74" fillId="0" borderId="3" xfId="0" applyFont="1" applyBorder="1" applyAlignment="1">
      <alignment horizontal="left"/>
    </xf>
    <xf numFmtId="165" fontId="74" fillId="0" borderId="1" xfId="1" applyNumberFormat="1" applyFont="1" applyBorder="1" applyAlignment="1">
      <alignment horizontal="right" vertical="center"/>
    </xf>
    <xf numFmtId="168" fontId="74" fillId="0" borderId="1" xfId="1" applyNumberFormat="1" applyFont="1" applyBorder="1" applyAlignment="1">
      <alignment horizontal="right" vertical="center"/>
    </xf>
    <xf numFmtId="0" fontId="74" fillId="0" borderId="1" xfId="0" applyFont="1" applyBorder="1" applyAlignment="1">
      <alignment horizontal="left"/>
    </xf>
    <xf numFmtId="0" fontId="74" fillId="0" borderId="3" xfId="0" applyFont="1" applyBorder="1" applyAlignment="1">
      <alignment horizontal="center"/>
    </xf>
    <xf numFmtId="0" fontId="74" fillId="0" borderId="1" xfId="0" applyFont="1" applyBorder="1"/>
    <xf numFmtId="0" fontId="78" fillId="5" borderId="4" xfId="0" applyFont="1" applyFill="1" applyBorder="1" applyAlignment="1">
      <alignment horizontal="center" vertical="center" wrapText="1"/>
    </xf>
    <xf numFmtId="0" fontId="78" fillId="5" borderId="1" xfId="0" applyFont="1" applyFill="1" applyBorder="1" applyAlignment="1">
      <alignment horizontal="center" vertical="center" wrapText="1"/>
    </xf>
    <xf numFmtId="0" fontId="80" fillId="5" borderId="4" xfId="0" applyFont="1" applyFill="1" applyBorder="1" applyAlignment="1">
      <alignment horizontal="center" vertical="center" wrapText="1"/>
    </xf>
    <xf numFmtId="0" fontId="80" fillId="5" borderId="1" xfId="0" applyFont="1" applyFill="1" applyBorder="1" applyAlignment="1">
      <alignment horizontal="center" vertical="center" wrapText="1"/>
    </xf>
    <xf numFmtId="173" fontId="0" fillId="0" borderId="0" xfId="0" applyNumberFormat="1"/>
    <xf numFmtId="0" fontId="15" fillId="7" borderId="39" xfId="12" applyFont="1" applyFill="1" applyBorder="1" applyAlignment="1">
      <alignment horizontal="center" vertical="center" wrapText="1"/>
    </xf>
    <xf numFmtId="0" fontId="15" fillId="7" borderId="40" xfId="12" applyFont="1" applyFill="1" applyBorder="1" applyAlignment="1">
      <alignment horizontal="center" vertical="center" wrapText="1"/>
    </xf>
    <xf numFmtId="0" fontId="2" fillId="7" borderId="40" xfId="12" applyFont="1" applyFill="1" applyBorder="1" applyAlignment="1">
      <alignment horizontal="center" vertical="center" wrapText="1"/>
    </xf>
    <xf numFmtId="0" fontId="21" fillId="7" borderId="41" xfId="12" applyFont="1" applyFill="1" applyBorder="1" applyAlignment="1">
      <alignment horizontal="center" vertical="center" wrapText="1"/>
    </xf>
    <xf numFmtId="3" fontId="2" fillId="0" borderId="40" xfId="0" applyNumberFormat="1" applyFont="1" applyBorder="1" applyAlignment="1">
      <alignment horizontal="right"/>
    </xf>
    <xf numFmtId="9" fontId="2" fillId="0" borderId="40" xfId="10" applyFont="1" applyBorder="1" applyAlignment="1">
      <alignment horizontal="right"/>
    </xf>
    <xf numFmtId="3" fontId="0" fillId="0" borderId="24" xfId="0" applyNumberFormat="1" applyBorder="1" applyAlignment="1">
      <alignment horizontal="right"/>
    </xf>
    <xf numFmtId="0" fontId="21" fillId="5" borderId="39" xfId="12" applyFont="1" applyFill="1" applyBorder="1" applyAlignment="1">
      <alignment horizontal="center" vertical="center" wrapText="1"/>
    </xf>
    <xf numFmtId="0" fontId="21" fillId="5" borderId="40" xfId="12" applyFont="1" applyFill="1" applyBorder="1" applyAlignment="1">
      <alignment horizontal="center" vertical="center" wrapText="1"/>
    </xf>
    <xf numFmtId="0" fontId="35" fillId="5" borderId="40" xfId="12" applyFont="1" applyFill="1" applyBorder="1" applyAlignment="1">
      <alignment horizontal="center" vertical="center" wrapText="1"/>
    </xf>
    <xf numFmtId="0" fontId="21" fillId="5" borderId="41" xfId="12" applyFont="1" applyFill="1" applyBorder="1" applyAlignment="1">
      <alignment horizontal="center" vertical="center" wrapText="1"/>
    </xf>
    <xf numFmtId="3" fontId="0" fillId="0" borderId="45" xfId="0" applyNumberFormat="1" applyBorder="1" applyAlignment="1">
      <alignment horizontal="right"/>
    </xf>
    <xf numFmtId="9" fontId="2" fillId="0" borderId="40" xfId="10" applyFont="1" applyFill="1" applyBorder="1" applyAlignment="1">
      <alignment horizontal="right"/>
    </xf>
    <xf numFmtId="3" fontId="2" fillId="0" borderId="41" xfId="0" applyNumberFormat="1" applyFont="1" applyBorder="1" applyAlignment="1">
      <alignment horizontal="right"/>
    </xf>
    <xf numFmtId="0" fontId="0" fillId="0" borderId="1" xfId="0" applyBorder="1" applyAlignment="1">
      <alignment vertical="center"/>
    </xf>
    <xf numFmtId="0" fontId="2" fillId="0" borderId="1" xfId="0" applyFont="1" applyBorder="1" applyAlignment="1">
      <alignment horizontal="left" vertical="center"/>
    </xf>
    <xf numFmtId="43" fontId="2" fillId="0" borderId="1" xfId="0" applyNumberFormat="1" applyFont="1" applyBorder="1" applyAlignment="1">
      <alignment horizontal="right" vertical="center"/>
    </xf>
    <xf numFmtId="43" fontId="2" fillId="0" borderId="1" xfId="0" applyNumberFormat="1" applyFont="1" applyBorder="1"/>
    <xf numFmtId="0" fontId="35" fillId="0" borderId="1" xfId="0" applyFont="1" applyBorder="1" applyAlignment="1">
      <alignment horizontal="left" vertical="center"/>
    </xf>
    <xf numFmtId="43" fontId="35" fillId="0" borderId="1" xfId="0" applyNumberFormat="1" applyFont="1" applyBorder="1" applyAlignment="1">
      <alignment horizontal="right" vertical="center"/>
    </xf>
    <xf numFmtId="43" fontId="35" fillId="0" borderId="1" xfId="0" applyNumberFormat="1" applyFont="1" applyBorder="1" applyAlignment="1">
      <alignment horizontal="left"/>
    </xf>
    <xf numFmtId="43" fontId="0" fillId="0" borderId="1" xfId="1" applyFont="1" applyBorder="1" applyAlignment="1">
      <alignment horizontal="right" vertical="center"/>
    </xf>
    <xf numFmtId="0" fontId="46" fillId="0" borderId="0" xfId="0" applyFont="1"/>
    <xf numFmtId="0" fontId="16" fillId="0" borderId="0" xfId="0" applyFont="1" applyAlignment="1">
      <alignment horizontal="right"/>
    </xf>
    <xf numFmtId="0" fontId="6" fillId="0" borderId="0" xfId="0" applyFont="1" applyAlignment="1">
      <alignment horizontal="right" vertical="center" wrapText="1"/>
    </xf>
    <xf numFmtId="0" fontId="17" fillId="0" borderId="0" xfId="0" applyFont="1" applyAlignment="1">
      <alignment horizontal="right" vertical="center" wrapText="1"/>
    </xf>
    <xf numFmtId="4" fontId="6" fillId="0" borderId="0" xfId="0" applyNumberFormat="1" applyFont="1" applyAlignment="1">
      <alignment horizontal="right" vertical="center" wrapText="1"/>
    </xf>
    <xf numFmtId="0" fontId="48" fillId="0" borderId="9" xfId="0" applyFont="1" applyBorder="1"/>
    <xf numFmtId="43" fontId="62" fillId="0" borderId="1" xfId="0" applyNumberFormat="1" applyFont="1" applyBorder="1" applyAlignment="1">
      <alignment horizontal="right"/>
    </xf>
    <xf numFmtId="43" fontId="32" fillId="0" borderId="1" xfId="0" applyNumberFormat="1" applyFont="1" applyBorder="1" applyAlignment="1">
      <alignment horizontal="right"/>
    </xf>
    <xf numFmtId="43" fontId="19" fillId="0" borderId="1" xfId="0" applyNumberFormat="1" applyFont="1" applyBorder="1" applyAlignment="1">
      <alignment horizontal="right"/>
    </xf>
    <xf numFmtId="43" fontId="21" fillId="0" borderId="1" xfId="0" applyNumberFormat="1" applyFont="1" applyBorder="1" applyAlignment="1">
      <alignment horizontal="right"/>
    </xf>
    <xf numFmtId="0" fontId="13" fillId="0" borderId="0" xfId="0" applyFont="1" applyAlignment="1">
      <alignment horizontal="left" wrapText="1"/>
    </xf>
    <xf numFmtId="0" fontId="17" fillId="5" borderId="4"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74" fillId="9" borderId="17" xfId="0" applyFont="1" applyFill="1" applyBorder="1" applyAlignment="1">
      <alignment horizontal="center"/>
    </xf>
    <xf numFmtId="43" fontId="74" fillId="9" borderId="17" xfId="0" applyNumberFormat="1" applyFont="1" applyFill="1" applyBorder="1" applyAlignment="1">
      <alignment horizontal="center"/>
    </xf>
    <xf numFmtId="0" fontId="74" fillId="9" borderId="0" xfId="0" applyFont="1" applyFill="1"/>
    <xf numFmtId="3" fontId="73" fillId="9" borderId="0" xfId="0" applyNumberFormat="1" applyFont="1" applyFill="1" applyAlignment="1">
      <alignment vertical="center" wrapText="1"/>
    </xf>
    <xf numFmtId="3" fontId="60" fillId="0" borderId="0" xfId="0" applyNumberFormat="1" applyFont="1" applyAlignment="1">
      <alignment vertical="center"/>
    </xf>
    <xf numFmtId="3" fontId="60" fillId="0" borderId="17" xfId="0" applyNumberFormat="1" applyFont="1" applyBorder="1" applyAlignment="1">
      <alignment vertical="center"/>
    </xf>
    <xf numFmtId="17" fontId="5" fillId="0" borderId="0" xfId="0" applyNumberFormat="1" applyFont="1" applyAlignment="1">
      <alignment horizontal="center" vertical="center"/>
    </xf>
    <xf numFmtId="168" fontId="6" fillId="0" borderId="0" xfId="1" applyNumberFormat="1" applyFont="1" applyAlignment="1">
      <alignment wrapText="1"/>
    </xf>
    <xf numFmtId="0" fontId="15" fillId="0" borderId="1" xfId="12" applyFont="1" applyBorder="1"/>
    <xf numFmtId="168" fontId="15" fillId="0" borderId="1" xfId="1" applyNumberFormat="1" applyFont="1" applyFill="1" applyBorder="1" applyAlignment="1">
      <alignment horizontal="right" vertical="center"/>
    </xf>
    <xf numFmtId="167" fontId="2" fillId="0" borderId="1" xfId="10" applyNumberFormat="1" applyFont="1" applyFill="1" applyBorder="1"/>
    <xf numFmtId="3" fontId="2" fillId="0" borderId="40" xfId="0" applyNumberFormat="1" applyFont="1" applyBorder="1"/>
    <xf numFmtId="10" fontId="0" fillId="0" borderId="3" xfId="10" applyNumberFormat="1" applyFont="1" applyFill="1" applyBorder="1" applyAlignment="1">
      <alignment horizontal="right"/>
    </xf>
    <xf numFmtId="4" fontId="0" fillId="0" borderId="1" xfId="0" applyNumberFormat="1" applyBorder="1" applyAlignment="1">
      <alignment horizontal="right" vertical="center"/>
    </xf>
    <xf numFmtId="4" fontId="1" fillId="0" borderId="1" xfId="10" applyNumberFormat="1" applyFont="1" applyFill="1" applyBorder="1" applyAlignment="1">
      <alignment horizontal="right"/>
    </xf>
    <xf numFmtId="3" fontId="40" fillId="0" borderId="5" xfId="0" applyNumberFormat="1" applyFont="1" applyBorder="1" applyAlignment="1">
      <alignment horizontal="right" vertical="center"/>
    </xf>
    <xf numFmtId="170" fontId="0" fillId="0" borderId="50" xfId="10" applyNumberFormat="1" applyFont="1" applyFill="1" applyBorder="1"/>
    <xf numFmtId="0" fontId="86" fillId="0" borderId="0" xfId="0" applyFont="1"/>
    <xf numFmtId="168" fontId="5" fillId="10" borderId="13" xfId="1" applyNumberFormat="1" applyFont="1" applyFill="1" applyBorder="1" applyAlignment="1"/>
    <xf numFmtId="168" fontId="5" fillId="0" borderId="17" xfId="1" applyNumberFormat="1" applyFont="1" applyFill="1" applyBorder="1" applyAlignment="1"/>
    <xf numFmtId="167" fontId="72" fillId="0" borderId="28" xfId="10" applyNumberFormat="1" applyFont="1" applyFill="1" applyBorder="1"/>
    <xf numFmtId="43" fontId="12" fillId="0" borderId="0" xfId="0" applyNumberFormat="1" applyFont="1" applyAlignment="1">
      <alignment vertical="center" wrapText="1"/>
    </xf>
    <xf numFmtId="10" fontId="0" fillId="0" borderId="3" xfId="10" applyNumberFormat="1" applyFont="1" applyBorder="1" applyAlignment="1">
      <alignment horizontal="right"/>
    </xf>
    <xf numFmtId="10" fontId="0" fillId="0" borderId="1" xfId="10" applyNumberFormat="1" applyFont="1" applyBorder="1" applyAlignment="1">
      <alignment horizontal="right"/>
    </xf>
    <xf numFmtId="10" fontId="0" fillId="0" borderId="2" xfId="10" applyNumberFormat="1" applyFont="1" applyBorder="1" applyAlignment="1">
      <alignment horizontal="right"/>
    </xf>
    <xf numFmtId="3" fontId="43" fillId="0" borderId="5" xfId="0" applyNumberFormat="1" applyFont="1" applyBorder="1" applyAlignment="1">
      <alignment horizontal="right"/>
    </xf>
    <xf numFmtId="2" fontId="43" fillId="0" borderId="5" xfId="0" applyNumberFormat="1" applyFont="1" applyBorder="1" applyAlignment="1">
      <alignment horizontal="right" vertical="center"/>
    </xf>
    <xf numFmtId="0" fontId="6" fillId="0" borderId="51" xfId="0" applyFont="1" applyBorder="1"/>
    <xf numFmtId="43" fontId="6" fillId="0" borderId="3" xfId="1" applyFont="1" applyFill="1" applyBorder="1"/>
    <xf numFmtId="43" fontId="6" fillId="0" borderId="50" xfId="1" applyFont="1" applyFill="1" applyBorder="1"/>
    <xf numFmtId="43" fontId="6" fillId="0" borderId="29" xfId="1" applyFont="1" applyFill="1" applyBorder="1"/>
    <xf numFmtId="0" fontId="67" fillId="0" borderId="0" xfId="0" applyFont="1" applyAlignment="1">
      <alignment horizontal="right" vertical="top"/>
    </xf>
    <xf numFmtId="168" fontId="61" fillId="5" borderId="0" xfId="0" applyNumberFormat="1" applyFont="1" applyFill="1"/>
    <xf numFmtId="43" fontId="35" fillId="0" borderId="1" xfId="1" applyFont="1" applyFill="1" applyBorder="1" applyAlignment="1">
      <alignment wrapText="1"/>
    </xf>
    <xf numFmtId="0" fontId="87" fillId="0" borderId="0" xfId="0" applyFont="1"/>
    <xf numFmtId="0" fontId="88" fillId="0" borderId="0" xfId="0" applyFont="1"/>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43" fontId="87" fillId="0" borderId="1" xfId="1" applyFont="1" applyFill="1" applyBorder="1"/>
    <xf numFmtId="9" fontId="87" fillId="0" borderId="1" xfId="10" applyFont="1" applyBorder="1"/>
    <xf numFmtId="43" fontId="89" fillId="0" borderId="1" xfId="1" applyFont="1" applyFill="1" applyBorder="1" applyAlignment="1">
      <alignment horizontal="left" indent="1"/>
    </xf>
    <xf numFmtId="43" fontId="89" fillId="0" borderId="1" xfId="1" applyFont="1" applyFill="1" applyBorder="1"/>
    <xf numFmtId="43" fontId="87" fillId="0" borderId="1" xfId="1" applyFont="1" applyBorder="1"/>
    <xf numFmtId="0" fontId="87" fillId="0" borderId="1" xfId="0" applyFont="1" applyBorder="1"/>
    <xf numFmtId="43" fontId="88" fillId="0" borderId="1" xfId="1" applyFont="1" applyFill="1" applyBorder="1" applyAlignment="1">
      <alignment horizontal="center"/>
    </xf>
    <xf numFmtId="43" fontId="88" fillId="0" borderId="1" xfId="1" applyFont="1" applyFill="1" applyBorder="1"/>
    <xf numFmtId="9" fontId="87" fillId="0" borderId="1" xfId="0" applyNumberFormat="1" applyFont="1" applyBorder="1"/>
    <xf numFmtId="43" fontId="87" fillId="0" borderId="0" xfId="1" applyFont="1" applyFill="1" applyBorder="1"/>
    <xf numFmtId="168" fontId="87" fillId="0" borderId="0" xfId="1" applyNumberFormat="1" applyFont="1" applyFill="1" applyBorder="1"/>
    <xf numFmtId="10" fontId="87" fillId="0" borderId="0" xfId="10" applyNumberFormat="1" applyFont="1" applyFill="1" applyBorder="1"/>
    <xf numFmtId="0" fontId="45" fillId="5" borderId="1" xfId="0" applyFont="1" applyFill="1" applyBorder="1" applyAlignment="1">
      <alignment horizontal="center" vertical="center"/>
    </xf>
    <xf numFmtId="0" fontId="45" fillId="5" borderId="1" xfId="0" applyFont="1" applyFill="1" applyBorder="1" applyAlignment="1">
      <alignment horizontal="center"/>
    </xf>
    <xf numFmtId="167" fontId="43" fillId="0" borderId="1" xfId="10" applyNumberFormat="1" applyFont="1" applyFill="1" applyBorder="1"/>
    <xf numFmtId="10" fontId="32" fillId="0" borderId="1" xfId="10" applyNumberFormat="1" applyFont="1" applyFill="1" applyBorder="1" applyAlignment="1"/>
    <xf numFmtId="0" fontId="43" fillId="0" borderId="0" xfId="0" applyFont="1"/>
    <xf numFmtId="0" fontId="57" fillId="0" borderId="13" xfId="0" applyFont="1" applyBorder="1" applyAlignment="1">
      <alignment horizontal="center"/>
    </xf>
    <xf numFmtId="10" fontId="6" fillId="0" borderId="0" xfId="0" applyNumberFormat="1" applyFont="1"/>
    <xf numFmtId="10" fontId="0" fillId="0" borderId="1" xfId="0" applyNumberFormat="1" applyBorder="1"/>
    <xf numFmtId="0" fontId="35" fillId="5" borderId="1" xfId="0" applyFont="1" applyFill="1" applyBorder="1"/>
    <xf numFmtId="43" fontId="2" fillId="11" borderId="1" xfId="0" applyNumberFormat="1" applyFont="1" applyFill="1" applyBorder="1"/>
    <xf numFmtId="43" fontId="0" fillId="11" borderId="1" xfId="0" applyNumberFormat="1" applyFill="1" applyBorder="1"/>
    <xf numFmtId="165" fontId="57" fillId="0" borderId="1" xfId="1" applyNumberFormat="1" applyFont="1" applyFill="1" applyBorder="1" applyAlignment="1">
      <alignment vertical="center"/>
    </xf>
    <xf numFmtId="169" fontId="6" fillId="0" borderId="24" xfId="1" applyNumberFormat="1" applyFont="1" applyBorder="1"/>
    <xf numFmtId="0" fontId="15" fillId="5" borderId="33" xfId="0" applyFont="1" applyFill="1" applyBorder="1" applyAlignment="1">
      <alignment vertical="center" wrapText="1"/>
    </xf>
    <xf numFmtId="0" fontId="15" fillId="5" borderId="34" xfId="0" applyFont="1" applyFill="1" applyBorder="1" applyAlignment="1">
      <alignment vertical="center" wrapText="1"/>
    </xf>
    <xf numFmtId="0" fontId="15" fillId="5" borderId="35" xfId="0" applyFont="1" applyFill="1" applyBorder="1" applyAlignment="1">
      <alignment vertical="center" wrapText="1"/>
    </xf>
    <xf numFmtId="0" fontId="15" fillId="5" borderId="52" xfId="0" applyFont="1" applyFill="1" applyBorder="1" applyAlignment="1">
      <alignment horizontal="center" vertical="center"/>
    </xf>
    <xf numFmtId="3" fontId="19" fillId="0" borderId="53" xfId="0" applyNumberFormat="1" applyFont="1" applyBorder="1"/>
    <xf numFmtId="0" fontId="67" fillId="0" borderId="0" xfId="11" applyFont="1"/>
    <xf numFmtId="0" fontId="67" fillId="0" borderId="18" xfId="2" applyFont="1" applyBorder="1"/>
    <xf numFmtId="0" fontId="67" fillId="0" borderId="0" xfId="0" applyFont="1" applyAlignment="1">
      <alignment horizontal="left" indent="1"/>
    </xf>
    <xf numFmtId="0" fontId="13" fillId="0" borderId="0" xfId="0" applyFont="1" applyAlignment="1">
      <alignment vertical="center" wrapText="1"/>
    </xf>
    <xf numFmtId="0" fontId="13" fillId="0" borderId="0" xfId="0" applyFont="1" applyAlignment="1">
      <alignment vertical="center"/>
    </xf>
    <xf numFmtId="0" fontId="2" fillId="0" borderId="3" xfId="0" applyFont="1" applyBorder="1" applyAlignment="1">
      <alignment horizontal="center"/>
    </xf>
    <xf numFmtId="165" fontId="2" fillId="0" borderId="1" xfId="1" applyNumberFormat="1" applyFont="1" applyBorder="1" applyAlignment="1">
      <alignment horizontal="center" vertical="center"/>
    </xf>
    <xf numFmtId="0" fontId="2" fillId="0" borderId="1" xfId="0" applyFont="1" applyBorder="1"/>
    <xf numFmtId="168" fontId="2" fillId="0" borderId="1" xfId="1" applyNumberFormat="1" applyFont="1" applyBorder="1" applyAlignment="1">
      <alignment horizontal="center" vertical="center"/>
    </xf>
    <xf numFmtId="169" fontId="32" fillId="0" borderId="1" xfId="0" applyNumberFormat="1" applyFont="1" applyBorder="1"/>
    <xf numFmtId="172" fontId="32" fillId="0" borderId="1" xfId="0" applyNumberFormat="1" applyFont="1" applyBorder="1"/>
    <xf numFmtId="174" fontId="32" fillId="0" borderId="1" xfId="0" applyNumberFormat="1" applyFont="1" applyBorder="1"/>
    <xf numFmtId="175" fontId="32" fillId="0" borderId="1" xfId="0" applyNumberFormat="1" applyFont="1" applyBorder="1"/>
    <xf numFmtId="169" fontId="62" fillId="0" borderId="1" xfId="0" applyNumberFormat="1" applyFont="1" applyBorder="1"/>
    <xf numFmtId="172" fontId="62" fillId="0" borderId="1" xfId="0" applyNumberFormat="1" applyFont="1" applyBorder="1"/>
    <xf numFmtId="177" fontId="32" fillId="0" borderId="1" xfId="0" applyNumberFormat="1" applyFont="1" applyBorder="1"/>
    <xf numFmtId="178" fontId="32" fillId="0" borderId="1" xfId="0" applyNumberFormat="1" applyFont="1" applyBorder="1"/>
    <xf numFmtId="176" fontId="62" fillId="0" borderId="1" xfId="0" applyNumberFormat="1" applyFont="1" applyBorder="1"/>
    <xf numFmtId="9" fontId="45" fillId="0" borderId="1" xfId="10" applyFont="1" applyFill="1" applyBorder="1"/>
    <xf numFmtId="3" fontId="19" fillId="0" borderId="1" xfId="1" applyNumberFormat="1" applyFont="1" applyFill="1" applyBorder="1" applyAlignment="1">
      <alignment horizontal="right" vertical="center" wrapText="1"/>
    </xf>
    <xf numFmtId="9" fontId="60" fillId="0" borderId="1" xfId="10" applyFont="1" applyFill="1" applyBorder="1"/>
    <xf numFmtId="43" fontId="2" fillId="10" borderId="1" xfId="0" applyNumberFormat="1" applyFont="1" applyFill="1" applyBorder="1" applyAlignment="1">
      <alignment horizontal="left"/>
    </xf>
    <xf numFmtId="43" fontId="2" fillId="10" borderId="1" xfId="0" applyNumberFormat="1" applyFont="1" applyFill="1" applyBorder="1" applyAlignment="1">
      <alignment horizontal="right" vertical="center"/>
    </xf>
    <xf numFmtId="43" fontId="2" fillId="10" borderId="1" xfId="0" applyNumberFormat="1" applyFont="1" applyFill="1" applyBorder="1"/>
    <xf numFmtId="0" fontId="40" fillId="0" borderId="7" xfId="0" applyFont="1" applyBorder="1" applyAlignment="1">
      <alignment vertical="center" wrapText="1"/>
    </xf>
    <xf numFmtId="0" fontId="40" fillId="0" borderId="9" xfId="0" applyFont="1" applyBorder="1" applyAlignment="1">
      <alignment vertical="center" wrapText="1"/>
    </xf>
    <xf numFmtId="0" fontId="40" fillId="0" borderId="10" xfId="0" applyFont="1" applyBorder="1" applyAlignment="1">
      <alignment vertical="center" wrapText="1"/>
    </xf>
    <xf numFmtId="0" fontId="40" fillId="0" borderId="5" xfId="0" applyFont="1" applyBorder="1" applyAlignment="1">
      <alignment vertical="center" wrapText="1"/>
    </xf>
    <xf numFmtId="0" fontId="40" fillId="0" borderId="6" xfId="0" applyFont="1" applyBorder="1" applyAlignment="1">
      <alignment vertical="center" wrapText="1"/>
    </xf>
    <xf numFmtId="0" fontId="40" fillId="0" borderId="4" xfId="0" applyFont="1" applyBorder="1" applyAlignment="1">
      <alignment vertical="center" wrapText="1"/>
    </xf>
    <xf numFmtId="4" fontId="40" fillId="0" borderId="1" xfId="0" applyNumberFormat="1" applyFont="1" applyBorder="1" applyAlignment="1">
      <alignment horizontal="right" vertical="center"/>
    </xf>
    <xf numFmtId="2" fontId="40" fillId="0" borderId="3" xfId="0" applyNumberFormat="1" applyFont="1" applyBorder="1" applyAlignment="1">
      <alignment horizontal="right" vertical="center"/>
    </xf>
    <xf numFmtId="167" fontId="40" fillId="0" borderId="1" xfId="10" applyNumberFormat="1" applyFont="1" applyBorder="1"/>
    <xf numFmtId="43" fontId="40" fillId="0" borderId="0" xfId="0" applyNumberFormat="1" applyFont="1"/>
    <xf numFmtId="165" fontId="0" fillId="0" borderId="0" xfId="1" applyNumberFormat="1" applyFont="1" applyAlignment="1">
      <alignment horizontal="right" indent="1"/>
    </xf>
    <xf numFmtId="43" fontId="62" fillId="0" borderId="1" xfId="1" applyFont="1" applyBorder="1"/>
    <xf numFmtId="0" fontId="9" fillId="0" borderId="0" xfId="0" applyFont="1" applyAlignment="1">
      <alignment horizontal="center" wrapText="1"/>
    </xf>
    <xf numFmtId="0" fontId="13" fillId="8" borderId="0" xfId="0" applyFont="1" applyFill="1" applyAlignment="1">
      <alignment horizontal="left" wrapText="1"/>
    </xf>
    <xf numFmtId="0" fontId="0" fillId="0" borderId="0" xfId="0" applyAlignment="1">
      <alignment horizontal="left" vertical="center" wrapText="1"/>
    </xf>
    <xf numFmtId="0" fontId="13" fillId="0" borderId="0" xfId="0" applyFont="1" applyAlignment="1">
      <alignment horizontal="left" vertical="center" wrapText="1"/>
    </xf>
    <xf numFmtId="0" fontId="0" fillId="8" borderId="0" xfId="0" applyFill="1" applyAlignment="1">
      <alignment horizontal="left" wrapText="1"/>
    </xf>
    <xf numFmtId="0" fontId="13" fillId="8" borderId="0" xfId="0" applyFont="1" applyFill="1" applyAlignment="1">
      <alignment horizontal="left" vertical="center" wrapText="1"/>
    </xf>
    <xf numFmtId="0" fontId="33" fillId="10" borderId="0" xfId="0" applyFont="1" applyFill="1" applyAlignment="1">
      <alignment horizontal="left" wrapText="1"/>
    </xf>
    <xf numFmtId="0" fontId="6" fillId="0" borderId="0" xfId="0" applyFont="1" applyAlignment="1">
      <alignment horizontal="left" wrapText="1"/>
    </xf>
    <xf numFmtId="0" fontId="14" fillId="3" borderId="1" xfId="11" applyFont="1" applyFill="1" applyBorder="1" applyAlignment="1">
      <alignment horizontal="center" vertical="center" wrapText="1"/>
    </xf>
    <xf numFmtId="0" fontId="2" fillId="0" borderId="0" xfId="0" applyFont="1" applyAlignment="1">
      <alignment horizontal="left" vertical="center" wrapText="1"/>
    </xf>
    <xf numFmtId="0" fontId="6" fillId="2" borderId="0" xfId="0" applyFont="1" applyFill="1" applyAlignment="1">
      <alignment horizontal="left" vertical="center" wrapText="1"/>
    </xf>
    <xf numFmtId="0" fontId="6" fillId="0" borderId="0" xfId="0" applyFont="1" applyAlignment="1">
      <alignment horizontal="left" vertical="center"/>
    </xf>
    <xf numFmtId="0" fontId="40" fillId="0" borderId="8" xfId="0" applyFont="1" applyBorder="1" applyAlignment="1">
      <alignment horizontal="center" vertical="center"/>
    </xf>
    <xf numFmtId="0" fontId="40" fillId="0" borderId="11" xfId="0" applyFont="1" applyBorder="1" applyAlignment="1">
      <alignment horizontal="center" vertical="center"/>
    </xf>
    <xf numFmtId="0" fontId="40" fillId="0" borderId="14" xfId="0" applyFont="1" applyBorder="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40" fillId="0" borderId="10" xfId="0" applyFont="1" applyBorder="1" applyAlignment="1">
      <alignment horizontal="center" vertical="center"/>
    </xf>
    <xf numFmtId="0" fontId="15" fillId="5" borderId="5"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4" xfId="0" applyFont="1" applyFill="1" applyBorder="1" applyAlignment="1">
      <alignment horizontal="center" vertical="center"/>
    </xf>
    <xf numFmtId="0" fontId="26" fillId="0" borderId="0" xfId="0" applyFont="1" applyAlignment="1">
      <alignment horizontal="left" wrapText="1"/>
    </xf>
    <xf numFmtId="0" fontId="15" fillId="0" borderId="0" xfId="0" applyFont="1" applyAlignment="1">
      <alignment horizontal="center" vertical="center" wrapText="1"/>
    </xf>
    <xf numFmtId="0" fontId="6" fillId="0" borderId="0" xfId="0" applyFont="1" applyAlignment="1">
      <alignment horizontal="center" vertical="center" wrapText="1"/>
    </xf>
    <xf numFmtId="0" fontId="15" fillId="5" borderId="36"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14" fillId="4" borderId="15" xfId="2" applyFont="1" applyFill="1" applyBorder="1" applyAlignment="1">
      <alignment horizontal="center"/>
    </xf>
    <xf numFmtId="0" fontId="14" fillId="4" borderId="12" xfId="2" applyFont="1" applyFill="1" applyBorder="1" applyAlignment="1">
      <alignment horizontal="center"/>
    </xf>
    <xf numFmtId="0" fontId="14" fillId="4" borderId="16" xfId="2" applyFont="1" applyFill="1" applyBorder="1" applyAlignment="1">
      <alignment horizontal="center"/>
    </xf>
    <xf numFmtId="0" fontId="14" fillId="4" borderId="13" xfId="2" applyFont="1" applyFill="1" applyBorder="1" applyAlignment="1">
      <alignment horizontal="center"/>
    </xf>
    <xf numFmtId="0" fontId="14" fillId="4" borderId="0" xfId="2" applyFont="1" applyFill="1" applyAlignment="1">
      <alignment horizontal="center"/>
    </xf>
    <xf numFmtId="0" fontId="14" fillId="4" borderId="17" xfId="2" applyFont="1" applyFill="1" applyBorder="1" applyAlignment="1">
      <alignment horizontal="center"/>
    </xf>
    <xf numFmtId="0" fontId="19" fillId="4" borderId="13" xfId="2" applyFont="1" applyFill="1" applyBorder="1" applyAlignment="1">
      <alignment horizontal="center"/>
    </xf>
    <xf numFmtId="0" fontId="19" fillId="4" borderId="0" xfId="2" applyFont="1" applyFill="1" applyAlignment="1">
      <alignment horizontal="center"/>
    </xf>
    <xf numFmtId="0" fontId="19" fillId="4" borderId="17" xfId="2" applyFont="1" applyFill="1" applyBorder="1" applyAlignment="1">
      <alignment horizontal="center"/>
    </xf>
    <xf numFmtId="0" fontId="15" fillId="5" borderId="36" xfId="0" applyFont="1" applyFill="1" applyBorder="1" applyAlignment="1">
      <alignment horizontal="center" wrapText="1"/>
    </xf>
    <xf numFmtId="0" fontId="15" fillId="5" borderId="38" xfId="0" applyFont="1" applyFill="1" applyBorder="1" applyAlignment="1">
      <alignment horizontal="center" wrapText="1"/>
    </xf>
    <xf numFmtId="0" fontId="15" fillId="5" borderId="37" xfId="0" applyFont="1" applyFill="1" applyBorder="1" applyAlignment="1">
      <alignment horizontal="center" wrapText="1"/>
    </xf>
    <xf numFmtId="0" fontId="15" fillId="5" borderId="21" xfId="0" applyFont="1" applyFill="1" applyBorder="1" applyAlignment="1">
      <alignment horizontal="center"/>
    </xf>
    <xf numFmtId="0" fontId="15" fillId="5" borderId="22" xfId="0" applyFont="1" applyFill="1" applyBorder="1" applyAlignment="1">
      <alignment horizontal="center"/>
    </xf>
    <xf numFmtId="0" fontId="26" fillId="0" borderId="0" xfId="0" applyFont="1" applyAlignment="1">
      <alignment horizontal="center" wrapText="1"/>
    </xf>
    <xf numFmtId="3" fontId="6" fillId="0" borderId="0" xfId="0" applyNumberFormat="1" applyFont="1" applyAlignment="1">
      <alignment horizontal="center" vertical="center"/>
    </xf>
    <xf numFmtId="0" fontId="6" fillId="0" borderId="0" xfId="0" applyFont="1" applyAlignment="1">
      <alignment horizontal="center" wrapText="1"/>
    </xf>
    <xf numFmtId="0" fontId="19" fillId="0" borderId="0" xfId="0" applyFont="1" applyAlignment="1">
      <alignment horizontal="center" wrapText="1"/>
    </xf>
    <xf numFmtId="0" fontId="0" fillId="0" borderId="0" xfId="0" applyAlignment="1">
      <alignment horizontal="center" wrapText="1"/>
    </xf>
    <xf numFmtId="0" fontId="5" fillId="4" borderId="18" xfId="2" applyFill="1" applyBorder="1" applyAlignment="1">
      <alignment horizontal="center"/>
    </xf>
    <xf numFmtId="0" fontId="5" fillId="4" borderId="19" xfId="2" applyFill="1" applyBorder="1" applyAlignment="1">
      <alignment horizontal="center"/>
    </xf>
    <xf numFmtId="0" fontId="5" fillId="4" borderId="20" xfId="2" applyFill="1" applyBorder="1" applyAlignment="1">
      <alignment horizontal="center"/>
    </xf>
    <xf numFmtId="0" fontId="14" fillId="0" borderId="15" xfId="11" applyFont="1" applyBorder="1" applyAlignment="1">
      <alignment horizontal="center"/>
    </xf>
    <xf numFmtId="0" fontId="14" fillId="0" borderId="16" xfId="11" applyFont="1" applyBorder="1" applyAlignment="1">
      <alignment horizontal="center"/>
    </xf>
    <xf numFmtId="0" fontId="5" fillId="4" borderId="13" xfId="11" applyFont="1" applyFill="1" applyBorder="1" applyAlignment="1">
      <alignment horizontal="center"/>
    </xf>
    <xf numFmtId="0" fontId="5" fillId="4" borderId="0" xfId="11" applyFont="1" applyFill="1" applyAlignment="1">
      <alignment horizontal="center"/>
    </xf>
    <xf numFmtId="0" fontId="5" fillId="4" borderId="17" xfId="11" applyFont="1" applyFill="1" applyBorder="1" applyAlignment="1">
      <alignment horizontal="center"/>
    </xf>
    <xf numFmtId="0" fontId="14" fillId="4" borderId="15" xfId="11" applyFont="1" applyFill="1" applyBorder="1" applyAlignment="1">
      <alignment horizontal="center"/>
    </xf>
    <xf numFmtId="0" fontId="14" fillId="4" borderId="12" xfId="11" applyFont="1" applyFill="1" applyBorder="1" applyAlignment="1">
      <alignment horizontal="center"/>
    </xf>
    <xf numFmtId="0" fontId="14" fillId="4" borderId="16" xfId="11" applyFont="1" applyFill="1" applyBorder="1" applyAlignment="1">
      <alignment horizontal="center"/>
    </xf>
    <xf numFmtId="0" fontId="14" fillId="4" borderId="13" xfId="11" applyFont="1" applyFill="1" applyBorder="1" applyAlignment="1">
      <alignment horizontal="center"/>
    </xf>
    <xf numFmtId="0" fontId="14" fillId="4" borderId="0" xfId="11" applyFont="1" applyFill="1" applyAlignment="1">
      <alignment horizontal="center"/>
    </xf>
    <xf numFmtId="0" fontId="14" fillId="4" borderId="17" xfId="11" applyFont="1" applyFill="1" applyBorder="1" applyAlignment="1">
      <alignment horizontal="center"/>
    </xf>
    <xf numFmtId="0" fontId="60" fillId="0" borderId="0" xfId="0" applyFont="1" applyAlignment="1">
      <alignment horizontal="center" vertical="center"/>
    </xf>
    <xf numFmtId="0" fontId="60" fillId="0" borderId="17" xfId="0" applyFont="1" applyBorder="1" applyAlignment="1">
      <alignment horizontal="center" vertical="center"/>
    </xf>
    <xf numFmtId="167" fontId="6" fillId="0" borderId="0" xfId="10" applyNumberFormat="1" applyFont="1" applyFill="1" applyBorder="1" applyAlignment="1">
      <alignment horizontal="center" vertical="center" wrapText="1"/>
    </xf>
    <xf numFmtId="167" fontId="90" fillId="0" borderId="13" xfId="10" applyNumberFormat="1" applyFont="1" applyBorder="1" applyAlignment="1">
      <alignment horizontal="center" wrapText="1"/>
    </xf>
    <xf numFmtId="167" fontId="90" fillId="0" borderId="0" xfId="10" applyNumberFormat="1" applyFont="1" applyAlignment="1">
      <alignment horizontal="center" wrapText="1"/>
    </xf>
    <xf numFmtId="0" fontId="2" fillId="5" borderId="1"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46" fillId="0" borderId="0" xfId="0" applyFont="1" applyAlignment="1">
      <alignment horizontal="left" wrapText="1"/>
    </xf>
    <xf numFmtId="0" fontId="48" fillId="0" borderId="0" xfId="0" applyFont="1" applyAlignment="1">
      <alignment horizontal="left" wrapText="1"/>
    </xf>
    <xf numFmtId="0" fontId="2" fillId="0" borderId="0" xfId="0" applyFont="1" applyAlignment="1">
      <alignment horizontal="center"/>
    </xf>
    <xf numFmtId="0" fontId="15" fillId="0" borderId="0" xfId="0" applyFont="1" applyAlignment="1">
      <alignment horizontal="center"/>
    </xf>
    <xf numFmtId="0" fontId="9" fillId="0" borderId="0" xfId="0" applyFont="1" applyAlignment="1">
      <alignment horizontal="center" vertical="center"/>
    </xf>
    <xf numFmtId="0" fontId="6" fillId="0" borderId="0" xfId="0" applyFont="1" applyAlignment="1">
      <alignment horizontal="center"/>
    </xf>
    <xf numFmtId="3" fontId="6" fillId="0" borderId="0" xfId="0" applyNumberFormat="1" applyFont="1" applyAlignment="1">
      <alignment horizontal="center"/>
    </xf>
    <xf numFmtId="0" fontId="7" fillId="0" borderId="0" xfId="0" applyFont="1" applyAlignment="1">
      <alignment horizontal="center" vertical="center"/>
    </xf>
    <xf numFmtId="0" fontId="12" fillId="2" borderId="1" xfId="0" applyFont="1" applyFill="1" applyBorder="1" applyAlignment="1">
      <alignment horizontal="center" vertical="center" wrapText="1"/>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5" borderId="1" xfId="0" applyFont="1"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164" fontId="1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13" fillId="2" borderId="2" xfId="0" applyFont="1" applyFill="1" applyBorder="1" applyAlignment="1">
      <alignment horizontal="center" wrapText="1"/>
    </xf>
    <xf numFmtId="0" fontId="13" fillId="2" borderId="3" xfId="0" applyFont="1" applyFill="1" applyBorder="1" applyAlignment="1">
      <alignment horizontal="center" wrapText="1"/>
    </xf>
    <xf numFmtId="0" fontId="74" fillId="2" borderId="1" xfId="0" applyFont="1" applyFill="1" applyBorder="1" applyAlignment="1">
      <alignment horizontal="center"/>
    </xf>
    <xf numFmtId="164" fontId="7" fillId="5" borderId="1" xfId="0" applyNumberFormat="1"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81" fillId="5" borderId="4" xfId="0" applyFont="1" applyFill="1" applyBorder="1" applyAlignment="1">
      <alignment horizontal="center" vertical="center"/>
    </xf>
    <xf numFmtId="0" fontId="81" fillId="5" borderId="1"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83" fillId="5" borderId="2" xfId="0" applyFont="1" applyFill="1" applyBorder="1" applyAlignment="1">
      <alignment horizontal="center" vertical="center"/>
    </xf>
    <xf numFmtId="0" fontId="83" fillId="5" borderId="3" xfId="0" applyFont="1" applyFill="1" applyBorder="1" applyAlignment="1">
      <alignment horizontal="center" vertical="center"/>
    </xf>
    <xf numFmtId="0" fontId="2" fillId="2" borderId="1" xfId="0" applyFont="1" applyFill="1" applyBorder="1" applyAlignment="1">
      <alignment horizontal="center"/>
    </xf>
    <xf numFmtId="164" fontId="78" fillId="5" borderId="1" xfId="0" applyNumberFormat="1" applyFont="1" applyFill="1" applyBorder="1" applyAlignment="1">
      <alignment horizontal="center" vertical="center" wrapText="1"/>
    </xf>
    <xf numFmtId="0" fontId="76" fillId="5" borderId="2" xfId="0" applyFont="1" applyFill="1" applyBorder="1" applyAlignment="1">
      <alignment horizontal="center" vertical="center"/>
    </xf>
    <xf numFmtId="0" fontId="76" fillId="5" borderId="3" xfId="0" applyFont="1" applyFill="1" applyBorder="1" applyAlignment="1">
      <alignment horizontal="center" vertical="center"/>
    </xf>
    <xf numFmtId="164" fontId="80" fillId="5" borderId="1" xfId="0" applyNumberFormat="1" applyFont="1" applyFill="1" applyBorder="1" applyAlignment="1">
      <alignment horizontal="center" vertical="center" wrapText="1"/>
    </xf>
    <xf numFmtId="0" fontId="2" fillId="5" borderId="1" xfId="0" applyFont="1" applyFill="1" applyBorder="1" applyAlignment="1">
      <alignment horizontal="center"/>
    </xf>
    <xf numFmtId="0" fontId="35" fillId="0" borderId="1" xfId="0" applyFont="1" applyBorder="1" applyAlignment="1">
      <alignment horizontal="left" vertical="center"/>
    </xf>
    <xf numFmtId="0" fontId="13" fillId="0" borderId="1" xfId="0" applyFont="1" applyBorder="1" applyAlignment="1">
      <alignment horizontal="left" vertical="center"/>
    </xf>
    <xf numFmtId="0" fontId="81" fillId="5" borderId="5" xfId="0" applyFont="1" applyFill="1" applyBorder="1" applyAlignment="1">
      <alignment horizontal="center" vertical="center"/>
    </xf>
    <xf numFmtId="0" fontId="81" fillId="5" borderId="6" xfId="0" applyFont="1" applyFill="1" applyBorder="1" applyAlignment="1">
      <alignment horizontal="center" vertical="center"/>
    </xf>
    <xf numFmtId="0" fontId="80" fillId="5" borderId="5" xfId="0" applyFont="1" applyFill="1" applyBorder="1" applyAlignment="1">
      <alignment horizontal="center" vertical="center"/>
    </xf>
    <xf numFmtId="0" fontId="80" fillId="5" borderId="6" xfId="0" applyFont="1" applyFill="1" applyBorder="1" applyAlignment="1">
      <alignment horizontal="center" vertical="center"/>
    </xf>
    <xf numFmtId="0" fontId="80" fillId="5" borderId="4" xfId="0" applyFont="1" applyFill="1" applyBorder="1" applyAlignment="1">
      <alignment horizontal="center" vertical="center"/>
    </xf>
    <xf numFmtId="0" fontId="82" fillId="5" borderId="5" xfId="0" applyFont="1" applyFill="1" applyBorder="1" applyAlignment="1">
      <alignment horizontal="center" vertical="center"/>
    </xf>
    <xf numFmtId="0" fontId="82" fillId="5" borderId="6" xfId="0" applyFont="1" applyFill="1" applyBorder="1" applyAlignment="1">
      <alignment horizontal="center" vertical="center"/>
    </xf>
    <xf numFmtId="0" fontId="82" fillId="5" borderId="4" xfId="0" applyFont="1" applyFill="1" applyBorder="1" applyAlignment="1">
      <alignment horizontal="center" vertical="center"/>
    </xf>
    <xf numFmtId="0" fontId="14" fillId="5" borderId="1" xfId="6" applyFont="1" applyFill="1" applyBorder="1" applyAlignment="1">
      <alignment horizontal="center" vertical="center"/>
    </xf>
    <xf numFmtId="0" fontId="2" fillId="0" borderId="1" xfId="0" applyFont="1" applyBorder="1" applyAlignment="1">
      <alignment horizontal="left" vertical="center"/>
    </xf>
    <xf numFmtId="0" fontId="13" fillId="0" borderId="0" xfId="0" applyFont="1" applyAlignment="1">
      <alignment horizontal="left" wrapText="1"/>
    </xf>
  </cellXfs>
  <cellStyles count="17">
    <cellStyle name="Hipervínculo" xfId="13" builtinId="8"/>
    <cellStyle name="Millares" xfId="1" builtinId="3"/>
    <cellStyle name="Millares 2" xfId="16" xr:uid="{00000000-0005-0000-0000-000002000000}"/>
    <cellStyle name="Normal" xfId="0" builtinId="0"/>
    <cellStyle name="Normal 10" xfId="9" xr:uid="{00000000-0005-0000-0000-000004000000}"/>
    <cellStyle name="Normal 11" xfId="14" xr:uid="{00000000-0005-0000-0000-000005000000}"/>
    <cellStyle name="Normal 2" xfId="2" xr:uid="{00000000-0005-0000-0000-000006000000}"/>
    <cellStyle name="Normal 2 2" xfId="12" xr:uid="{00000000-0005-0000-0000-000007000000}"/>
    <cellStyle name="Normal 3" xfId="11" xr:uid="{00000000-0005-0000-0000-000008000000}"/>
    <cellStyle name="Normal 4" xfId="3" xr:uid="{00000000-0005-0000-0000-000009000000}"/>
    <cellStyle name="Normal 5" xfId="4" xr:uid="{00000000-0005-0000-0000-00000A000000}"/>
    <cellStyle name="Normal 6" xfId="5" xr:uid="{00000000-0005-0000-0000-00000B000000}"/>
    <cellStyle name="Normal 7" xfId="6" xr:uid="{00000000-0005-0000-0000-00000C000000}"/>
    <cellStyle name="Normal 8" xfId="7" xr:uid="{00000000-0005-0000-0000-00000D000000}"/>
    <cellStyle name="Normal 9" xfId="8" xr:uid="{00000000-0005-0000-0000-00000E000000}"/>
    <cellStyle name="Porcentaje" xfId="10" builtinId="5"/>
    <cellStyle name="Porcentaje 2" xfId="15"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FF149B"/>
      <color rgb="FFFF33CC"/>
      <color rgb="FFDB6F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0</xdr:row>
      <xdr:rowOff>85725</xdr:rowOff>
    </xdr:from>
    <xdr:to>
      <xdr:col>4</xdr:col>
      <xdr:colOff>228600</xdr:colOff>
      <xdr:row>2</xdr:row>
      <xdr:rowOff>152400</xdr:rowOff>
    </xdr:to>
    <xdr:pic>
      <xdr:nvPicPr>
        <xdr:cNvPr id="2" name="1 Imagen" descr="Descripción: Descripción: Imágenes integradas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bwMode="auto">
        <a:xfrm>
          <a:off x="2219325" y="85725"/>
          <a:ext cx="1657350" cy="447675"/>
        </a:xfrm>
        <a:prstGeom prst="rect">
          <a:avLst/>
        </a:prstGeom>
        <a:noFill/>
        <a:ln w="9525">
          <a:noFill/>
          <a:miter lim="800000"/>
          <a:headEnd/>
          <a:tailEnd/>
        </a:ln>
      </xdr:spPr>
    </xdr:pic>
    <xdr:clientData/>
  </xdr:twoCellAnchor>
  <xdr:twoCellAnchor>
    <xdr:from>
      <xdr:col>10</xdr:col>
      <xdr:colOff>0</xdr:colOff>
      <xdr:row>81</xdr:row>
      <xdr:rowOff>0</xdr:rowOff>
    </xdr:from>
    <xdr:to>
      <xdr:col>16</xdr:col>
      <xdr:colOff>342900</xdr:colOff>
      <xdr:row>98</xdr:row>
      <xdr:rowOff>180975</xdr:rowOff>
    </xdr:to>
    <xdr:grpSp>
      <xdr:nvGrpSpPr>
        <xdr:cNvPr id="22" name="Grupo 21">
          <a:extLst>
            <a:ext uri="{FF2B5EF4-FFF2-40B4-BE49-F238E27FC236}">
              <a16:creationId xmlns:a16="http://schemas.microsoft.com/office/drawing/2014/main" id="{00000000-0008-0000-0000-000016000000}"/>
            </a:ext>
          </a:extLst>
        </xdr:cNvPr>
        <xdr:cNvGrpSpPr/>
      </xdr:nvGrpSpPr>
      <xdr:grpSpPr>
        <a:xfrm>
          <a:off x="7924800" y="18449925"/>
          <a:ext cx="6238875" cy="3419475"/>
          <a:chOff x="9048749" y="5877433"/>
          <a:chExt cx="7062108" cy="5015486"/>
        </a:xfrm>
      </xdr:grpSpPr>
      <xdr:pic>
        <xdr:nvPicPr>
          <xdr:cNvPr id="23" name="Imagen 22">
            <a:extLst>
              <a:ext uri="{FF2B5EF4-FFF2-40B4-BE49-F238E27FC236}">
                <a16:creationId xmlns:a16="http://schemas.microsoft.com/office/drawing/2014/main" id="{00000000-0008-0000-0000-000017000000}"/>
              </a:ext>
            </a:extLst>
          </xdr:cNvPr>
          <xdr:cNvPicPr>
            <a:picLocks noChangeAspect="1"/>
          </xdr:cNvPicPr>
        </xdr:nvPicPr>
        <xdr:blipFill rotWithShape="1">
          <a:blip xmlns:r="http://schemas.openxmlformats.org/officeDocument/2006/relationships" r:embed="rId2"/>
          <a:srcRect l="7426" t="5209" r="34106" b="20935"/>
          <a:stretch/>
        </xdr:blipFill>
        <xdr:spPr>
          <a:xfrm>
            <a:off x="9048749" y="5877433"/>
            <a:ext cx="7062108" cy="5015486"/>
          </a:xfrm>
          <a:prstGeom prst="rect">
            <a:avLst/>
          </a:prstGeom>
        </xdr:spPr>
      </xdr:pic>
      <xdr:sp macro="" textlink="">
        <xdr:nvSpPr>
          <xdr:cNvPr id="24" name="Rectángulo 23">
            <a:extLst>
              <a:ext uri="{FF2B5EF4-FFF2-40B4-BE49-F238E27FC236}">
                <a16:creationId xmlns:a16="http://schemas.microsoft.com/office/drawing/2014/main" id="{00000000-0008-0000-0000-000018000000}"/>
              </a:ext>
            </a:extLst>
          </xdr:cNvPr>
          <xdr:cNvSpPr/>
        </xdr:nvSpPr>
        <xdr:spPr>
          <a:xfrm>
            <a:off x="9307286" y="9280072"/>
            <a:ext cx="5701393" cy="24492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grpSp>
    <xdr:clientData/>
  </xdr:twoCellAnchor>
  <xdr:twoCellAnchor>
    <xdr:from>
      <xdr:col>0</xdr:col>
      <xdr:colOff>38100</xdr:colOff>
      <xdr:row>81</xdr:row>
      <xdr:rowOff>123826</xdr:rowOff>
    </xdr:from>
    <xdr:to>
      <xdr:col>8</xdr:col>
      <xdr:colOff>457200</xdr:colOff>
      <xdr:row>113</xdr:row>
      <xdr:rowOff>142875</xdr:rowOff>
    </xdr:to>
    <xdr:grpSp>
      <xdr:nvGrpSpPr>
        <xdr:cNvPr id="28" name="Grupo 27">
          <a:extLst>
            <a:ext uri="{FF2B5EF4-FFF2-40B4-BE49-F238E27FC236}">
              <a16:creationId xmlns:a16="http://schemas.microsoft.com/office/drawing/2014/main" id="{00000000-0008-0000-0000-00001C000000}"/>
            </a:ext>
          </a:extLst>
        </xdr:cNvPr>
        <xdr:cNvGrpSpPr/>
      </xdr:nvGrpSpPr>
      <xdr:grpSpPr>
        <a:xfrm>
          <a:off x="38100" y="18573751"/>
          <a:ext cx="6819900" cy="6115049"/>
          <a:chOff x="38100" y="20745451"/>
          <a:chExt cx="6819900" cy="6115049"/>
        </a:xfrm>
      </xdr:grpSpPr>
      <xdr:grpSp>
        <xdr:nvGrpSpPr>
          <xdr:cNvPr id="21" name="Grupo 20">
            <a:extLst>
              <a:ext uri="{FF2B5EF4-FFF2-40B4-BE49-F238E27FC236}">
                <a16:creationId xmlns:a16="http://schemas.microsoft.com/office/drawing/2014/main" id="{00000000-0008-0000-0000-000015000000}"/>
              </a:ext>
            </a:extLst>
          </xdr:cNvPr>
          <xdr:cNvGrpSpPr/>
        </xdr:nvGrpSpPr>
        <xdr:grpSpPr>
          <a:xfrm>
            <a:off x="38100" y="20745451"/>
            <a:ext cx="6819900" cy="6105524"/>
            <a:chOff x="3429000" y="20164426"/>
            <a:chExt cx="6819900" cy="6105524"/>
          </a:xfrm>
        </xdr:grpSpPr>
        <xdr:pic>
          <xdr:nvPicPr>
            <xdr:cNvPr id="19" name="Imagen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3"/>
            <a:srcRect l="57036" t="11720" r="1525" b="75518"/>
            <a:stretch/>
          </xdr:blipFill>
          <xdr:spPr>
            <a:xfrm>
              <a:off x="3467100" y="20164426"/>
              <a:ext cx="5391150" cy="933449"/>
            </a:xfrm>
            <a:prstGeom prst="rect">
              <a:avLst/>
            </a:prstGeom>
          </xdr:spPr>
        </xdr:pic>
        <xdr:pic>
          <xdr:nvPicPr>
            <xdr:cNvPr id="20" name="Imagen 19">
              <a:extLst>
                <a:ext uri="{FF2B5EF4-FFF2-40B4-BE49-F238E27FC236}">
                  <a16:creationId xmlns:a16="http://schemas.microsoft.com/office/drawing/2014/main" id="{00000000-0008-0000-0000-000014000000}"/>
                </a:ext>
              </a:extLst>
            </xdr:cNvPr>
            <xdr:cNvPicPr>
              <a:picLocks noChangeAspect="1"/>
            </xdr:cNvPicPr>
          </xdr:nvPicPr>
          <xdr:blipFill rotWithShape="1">
            <a:blip xmlns:r="http://schemas.openxmlformats.org/officeDocument/2006/relationships" r:embed="rId4"/>
            <a:srcRect l="19622" t="19273" r="27956" b="11057"/>
            <a:stretch/>
          </xdr:blipFill>
          <xdr:spPr>
            <a:xfrm>
              <a:off x="3429000" y="21174075"/>
              <a:ext cx="6819900" cy="5095875"/>
            </a:xfrm>
            <a:prstGeom prst="rect">
              <a:avLst/>
            </a:prstGeom>
          </xdr:spPr>
        </xdr:pic>
      </xdr:grpSp>
      <xdr:sp macro="" textlink="">
        <xdr:nvSpPr>
          <xdr:cNvPr id="25" name="Rectángulo 24">
            <a:extLst>
              <a:ext uri="{FF2B5EF4-FFF2-40B4-BE49-F238E27FC236}">
                <a16:creationId xmlns:a16="http://schemas.microsoft.com/office/drawing/2014/main" id="{00000000-0008-0000-0000-000019000000}"/>
              </a:ext>
            </a:extLst>
          </xdr:cNvPr>
          <xdr:cNvSpPr/>
        </xdr:nvSpPr>
        <xdr:spPr>
          <a:xfrm>
            <a:off x="219075" y="26336625"/>
            <a:ext cx="3219450" cy="523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26" name="Rectángulo 25">
            <a:extLst>
              <a:ext uri="{FF2B5EF4-FFF2-40B4-BE49-F238E27FC236}">
                <a16:creationId xmlns:a16="http://schemas.microsoft.com/office/drawing/2014/main" id="{00000000-0008-0000-0000-00001A000000}"/>
              </a:ext>
            </a:extLst>
          </xdr:cNvPr>
          <xdr:cNvSpPr/>
        </xdr:nvSpPr>
        <xdr:spPr>
          <a:xfrm>
            <a:off x="209550" y="24765001"/>
            <a:ext cx="3209925" cy="7143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
        <xdr:nvSpPr>
          <xdr:cNvPr id="27" name="Rectángulo 26">
            <a:extLst>
              <a:ext uri="{FF2B5EF4-FFF2-40B4-BE49-F238E27FC236}">
                <a16:creationId xmlns:a16="http://schemas.microsoft.com/office/drawing/2014/main" id="{00000000-0008-0000-0000-00001B000000}"/>
              </a:ext>
            </a:extLst>
          </xdr:cNvPr>
          <xdr:cNvSpPr/>
        </xdr:nvSpPr>
        <xdr:spPr>
          <a:xfrm>
            <a:off x="3638550" y="22202775"/>
            <a:ext cx="3200400" cy="666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619125</xdr:colOff>
      <xdr:row>77</xdr:row>
      <xdr:rowOff>171450</xdr:rowOff>
    </xdr:from>
    <xdr:to>
      <xdr:col>9</xdr:col>
      <xdr:colOff>282309</xdr:colOff>
      <xdr:row>89</xdr:row>
      <xdr:rowOff>142875</xdr:rowOff>
    </xdr:to>
    <xdr:pic>
      <xdr:nvPicPr>
        <xdr:cNvPr id="8" name="7 Imagen">
          <a:extLst>
            <a:ext uri="{FF2B5EF4-FFF2-40B4-BE49-F238E27FC236}">
              <a16:creationId xmlns:a16="http://schemas.microsoft.com/office/drawing/2014/main" id="{00000000-0008-0000-0100-000008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781675" y="9010650"/>
          <a:ext cx="5857875" cy="2257425"/>
        </a:xfrm>
        <a:prstGeom prst="rect">
          <a:avLst/>
        </a:prstGeom>
      </xdr:spPr>
    </xdr:pic>
    <xdr:clientData/>
  </xdr:twoCellAnchor>
  <xdr:oneCellAnchor>
    <xdr:from>
      <xdr:col>1</xdr:col>
      <xdr:colOff>435767</xdr:colOff>
      <xdr:row>2</xdr:row>
      <xdr:rowOff>60722</xdr:rowOff>
    </xdr:from>
    <xdr:ext cx="4457701" cy="264560"/>
    <mc:AlternateContent xmlns:mc="http://schemas.openxmlformats.org/markup-compatibility/2006" xmlns:a14="http://schemas.microsoft.com/office/drawing/2010/main">
      <mc:Choice Requires="a14">
        <xdr:sp macro="" textlink="">
          <xdr:nvSpPr>
            <xdr:cNvPr id="4" name="3 CuadroTexto">
              <a:extLst>
                <a:ext uri="{FF2B5EF4-FFF2-40B4-BE49-F238E27FC236}">
                  <a16:creationId xmlns:a16="http://schemas.microsoft.com/office/drawing/2014/main" id="{00000000-0008-0000-0100-000004000000}"/>
                </a:ext>
              </a:extLst>
            </xdr:cNvPr>
            <xdr:cNvSpPr txBox="1"/>
          </xdr:nvSpPr>
          <xdr:spPr>
            <a:xfrm>
              <a:off x="1197767" y="441722"/>
              <a:ext cx="4457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a:rPr>
                      <m:t>𝐸𝑚𝑖𝑠𝑖𝑜𝑛𝑒𝑠</m:t>
                    </m:r>
                    <m:r>
                      <a:rPr lang="es-MX" sz="1100" b="0" i="1">
                        <a:latin typeface="Cambria Math"/>
                      </a:rPr>
                      <m:t> </m:t>
                    </m:r>
                    <m:r>
                      <a:rPr lang="es-MX" sz="1100" b="0" i="1">
                        <a:latin typeface="Cambria Math"/>
                      </a:rPr>
                      <m:t>𝑝𝑜𝑟</m:t>
                    </m:r>
                    <m:r>
                      <a:rPr lang="es-MX" sz="1100" b="0" i="1">
                        <a:latin typeface="Cambria Math"/>
                      </a:rPr>
                      <m:t> </m:t>
                    </m:r>
                    <m:r>
                      <a:rPr lang="es-MX" sz="1100" b="0" i="1">
                        <a:latin typeface="Cambria Math"/>
                      </a:rPr>
                      <m:t>𝑔𝑒𝑛𝑒𝑟𝑎𝑐𝑖</m:t>
                    </m:r>
                    <m:r>
                      <a:rPr lang="es-MX" sz="1100" b="0" i="1">
                        <a:latin typeface="Cambria Math"/>
                      </a:rPr>
                      <m:t>ó</m:t>
                    </m:r>
                    <m:r>
                      <a:rPr lang="es-MX" sz="1100" b="0" i="1">
                        <a:latin typeface="Cambria Math"/>
                      </a:rPr>
                      <m:t>𝑛</m:t>
                    </m:r>
                    <m:r>
                      <a:rPr lang="es-MX" sz="1100" b="0" i="1">
                        <a:latin typeface="Cambria Math"/>
                      </a:rPr>
                      <m:t> </m:t>
                    </m:r>
                    <m:r>
                      <a:rPr lang="es-MX" sz="1100" b="0" i="1">
                        <a:latin typeface="Cambria Math"/>
                      </a:rPr>
                      <m:t>𝑑𝑒</m:t>
                    </m:r>
                    <m:r>
                      <a:rPr lang="es-MX" sz="1100" b="0" i="1">
                        <a:latin typeface="Cambria Math"/>
                      </a:rPr>
                      <m:t> </m:t>
                    </m:r>
                    <m:r>
                      <a:rPr lang="es-MX" sz="1100" b="0" i="1">
                        <a:latin typeface="Cambria Math"/>
                      </a:rPr>
                      <m:t>𝑒𝑛𝑒𝑟𝑔</m:t>
                    </m:r>
                    <m:r>
                      <a:rPr lang="es-MX" sz="1100" b="0" i="1">
                        <a:latin typeface="Cambria Math"/>
                      </a:rPr>
                      <m:t>í</m:t>
                    </m:r>
                    <m:r>
                      <a:rPr lang="es-MX" sz="1100" b="0" i="1">
                        <a:latin typeface="Cambria Math"/>
                      </a:rPr>
                      <m:t>𝑎</m:t>
                    </m:r>
                    <m:r>
                      <a:rPr lang="es-MX" sz="1100" b="0" i="1">
                        <a:latin typeface="Cambria Math"/>
                      </a:rPr>
                      <m:t>=</m:t>
                    </m:r>
                    <m:r>
                      <a:rPr lang="es-MX" sz="1100" b="0" i="1">
                        <a:latin typeface="Cambria Math"/>
                      </a:rPr>
                      <m:t>𝐹𝐴</m:t>
                    </m:r>
                    <m:r>
                      <a:rPr lang="es-MX" sz="1100" b="0" i="1">
                        <a:latin typeface="Cambria Math"/>
                      </a:rPr>
                      <m:t>∗</m:t>
                    </m:r>
                    <m:r>
                      <a:rPr lang="es-MX" sz="1100" b="0" i="1">
                        <a:latin typeface="Cambria Math"/>
                      </a:rPr>
                      <m:t>𝐷𝐴</m:t>
                    </m:r>
                  </m:oMath>
                </m:oMathPara>
              </a14:m>
              <a:endParaRPr lang="es-MX" sz="1100">
                <a:latin typeface="Arial" pitchFamily="34" charset="0"/>
                <a:cs typeface="Arial" pitchFamily="34" charset="0"/>
              </a:endParaRPr>
            </a:p>
          </xdr:txBody>
        </xdr:sp>
      </mc:Choice>
      <mc:Fallback xmlns="">
        <xdr:sp macro="" textlink="">
          <xdr:nvSpPr>
            <xdr:cNvPr id="4" name="3 CuadroTexto"/>
            <xdr:cNvSpPr txBox="1"/>
          </xdr:nvSpPr>
          <xdr:spPr>
            <a:xfrm>
              <a:off x="1197767" y="441722"/>
              <a:ext cx="4457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a:latin typeface="Cambria Math"/>
                </a:rPr>
                <a:t>𝐸𝑚𝑖𝑠𝑖𝑜𝑛𝑒𝑠 𝑝𝑜𝑟 𝑔𝑒𝑛𝑒𝑟𝑎𝑐𝑖ó𝑛 𝑑𝑒 𝑒𝑛𝑒𝑟𝑔í𝑎=𝐹𝐴∗𝐷𝐴</a:t>
              </a:r>
              <a:endParaRPr lang="es-MX" sz="1100">
                <a:latin typeface="Arial" pitchFamily="34" charset="0"/>
                <a:cs typeface="Arial" pitchFamily="34" charset="0"/>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53</xdr:row>
      <xdr:rowOff>0</xdr:rowOff>
    </xdr:from>
    <xdr:to>
      <xdr:col>11</xdr:col>
      <xdr:colOff>231321</xdr:colOff>
      <xdr:row>62</xdr:row>
      <xdr:rowOff>1089</xdr:rowOff>
    </xdr:to>
    <xdr:pic>
      <xdr:nvPicPr>
        <xdr:cNvPr id="2" name="Imagen 8">
          <a:extLst>
            <a:ext uri="{FF2B5EF4-FFF2-40B4-BE49-F238E27FC236}">
              <a16:creationId xmlns:a16="http://schemas.microsoft.com/office/drawing/2014/main" id="{AAA67DF4-DF0C-4CDB-A8CA-64E1C3003E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89821" y="11811000"/>
          <a:ext cx="4000500" cy="1851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EDEMA\INVENTARIOS\IE%202022\Electricidad\FE_ee_22.xlsx" TargetMode="External"/><Relationship Id="rId1" Type="http://schemas.openxmlformats.org/officeDocument/2006/relationships/externalLinkPath" Target="FE_ee_22.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D:\SEDEMA\INVENTARIOS\IE%202022\FA\estad&#237;sticos\Poblaci&#243;n_vivienda_2022.xlsx" TargetMode="External"/><Relationship Id="rId1" Type="http://schemas.openxmlformats.org/officeDocument/2006/relationships/externalLinkPath" Target="/SEDEMA/INVENTARIOS/IE%202022/FA/estad&#237;sticos/Poblaci&#243;n_vivienda_202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SEDEMA\INVENTARIOS\IE%202022\Electricidad\Ventas%20electricidad%202022.xls" TargetMode="External"/><Relationship Id="rId1" Type="http://schemas.openxmlformats.org/officeDocument/2006/relationships/externalLinkPath" Target="Ventas%20electricidad%202022.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SEDEMA\INVENTARIOS\IE%202022\Electricidad\Consumo%20por%20entidad%20federativa.xlsx" TargetMode="External"/><Relationship Id="rId1" Type="http://schemas.openxmlformats.org/officeDocument/2006/relationships/externalLinkPath" Target="Consumo%20por%20entidad%20federativ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SEDEMA\INVENTARIOS\IE%202022\Electricidad\Generaci&#243;n%20entidad%202022.xls" TargetMode="External"/><Relationship Id="rId1" Type="http://schemas.openxmlformats.org/officeDocument/2006/relationships/externalLinkPath" Target="Generaci&#243;n%20entidad%20202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DEMA/INVENTARIOS/IE%202018/Fuentes%20&#225;rea/Ajuste%20Fuentes%20de%20&#193;rea%20fin.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E:\SEDEMA\INVENTARIOS\IE%202022\Electricidad\Indicadores%20transp.%20el&#233;ctrico.xlsx" TargetMode="External"/><Relationship Id="rId1" Type="http://schemas.openxmlformats.org/officeDocument/2006/relationships/externalLinkPath" Target="Indicadores%20transp.%20el&#233;ctrico.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D:\SEDEMA\INVENTARIOS\IE%202022\Electricidad\Consumo%20tren%20suburbano.xlsx" TargetMode="External"/><Relationship Id="rId1" Type="http://schemas.openxmlformats.org/officeDocument/2006/relationships/externalLinkPath" Target="Consumo%20tren%20suburbano.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D:\SEDEMA\INVENTARIOS\IE%202020\Electricidad\Electricidad_2020.xlsx" TargetMode="External"/><Relationship Id="rId1" Type="http://schemas.openxmlformats.org/officeDocument/2006/relationships/externalLinkPath" Target="/SEDEMA/INVENTARIOS/IE%202020/Electricidad/Electricidad_2020.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D:\SEDEMA\INVENTARIOS\IE%202022\FA\estad&#237;sticos\enigh2022_ns_hogviv_tabulados.xlsx" TargetMode="External"/><Relationship Id="rId1" Type="http://schemas.openxmlformats.org/officeDocument/2006/relationships/externalLinkPath" Target="/SEDEMA/INVENTARIOS/IE%202022/FA/estad&#237;sticos/enigh2022_ns_hogviv_tab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es"/>
      <sheetName val="generación bruta"/>
      <sheetName val="consumo combustible"/>
      <sheetName val="GEI_eléctrico"/>
      <sheetName val="FactoresEE"/>
      <sheetName val="Generación"/>
      <sheetName val="tabla Memoria"/>
    </sheetNames>
    <sheetDataSet>
      <sheetData sheetId="0" refreshError="1"/>
      <sheetData sheetId="1" refreshError="1"/>
      <sheetData sheetId="2" refreshError="1"/>
      <sheetData sheetId="3">
        <row r="18">
          <cell r="F18">
            <v>8.2083807626636314E-3</v>
          </cell>
        </row>
        <row r="27">
          <cell r="G27">
            <v>0.47171582953898683</v>
          </cell>
          <cell r="H27">
            <v>9.4556772908366521E-6</v>
          </cell>
          <cell r="I27">
            <v>1.1326622083096186E-6</v>
          </cell>
        </row>
      </sheetData>
      <sheetData sheetId="4" refreshError="1">
        <row r="16">
          <cell r="W16">
            <v>7.2264613850171141E-9</v>
          </cell>
        </row>
      </sheetData>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adro 1"/>
      <sheetName val="cuadro 2"/>
      <sheetName val="PROY POBLACIÓN"/>
      <sheetName val="Proporción"/>
      <sheetName val="PROY VIVIENDAS"/>
      <sheetName val="CONAPO 2030"/>
      <sheetName val="CONAPO 2050"/>
      <sheetName val="CONAPO 2070"/>
      <sheetName val="Censo 2020 CDMX y Tizayuca"/>
    </sheetNames>
    <sheetDataSet>
      <sheetData sheetId="0" refreshError="1"/>
      <sheetData sheetId="1" refreshError="1"/>
      <sheetData sheetId="2" refreshError="1"/>
      <sheetData sheetId="3" refreshError="1"/>
      <sheetData sheetId="4">
        <row r="101">
          <cell r="C101">
            <v>9237645</v>
          </cell>
        </row>
      </sheetData>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sumo"/>
      <sheetName val="CDMX"/>
      <sheetName val="EDOMEX"/>
      <sheetName val="Tizayuca"/>
    </sheetNames>
    <sheetDataSet>
      <sheetData sheetId="0" refreshError="1"/>
      <sheetData sheetId="1">
        <row r="26">
          <cell r="E26">
            <v>3441000</v>
          </cell>
          <cell r="F26">
            <v>463757.31199999998</v>
          </cell>
          <cell r="G26">
            <v>413814.69570999994</v>
          </cell>
          <cell r="H26">
            <v>603.95279400265736</v>
          </cell>
          <cell r="I26">
            <v>7557824.0394959981</v>
          </cell>
          <cell r="J26">
            <v>11877000</v>
          </cell>
        </row>
      </sheetData>
      <sheetData sheetId="2">
        <row r="42">
          <cell r="C42">
            <v>12795604.628852725</v>
          </cell>
          <cell r="D42">
            <v>3675659.6221388057</v>
          </cell>
          <cell r="E42">
            <v>344859.84183041996</v>
          </cell>
          <cell r="F42">
            <v>611999.62550021801</v>
          </cell>
          <cell r="G42">
            <v>68980.510456471893</v>
          </cell>
          <cell r="H42">
            <v>8094105.0289268093</v>
          </cell>
        </row>
        <row r="68">
          <cell r="H68">
            <v>0.83230724447202931</v>
          </cell>
        </row>
        <row r="69">
          <cell r="D69">
            <v>0.28461557894413109</v>
          </cell>
          <cell r="H69">
            <v>0.12675778647595251</v>
          </cell>
        </row>
        <row r="70">
          <cell r="D70">
            <v>0.71538442105586886</v>
          </cell>
          <cell r="H70">
            <v>4.0934969052018225E-2</v>
          </cell>
        </row>
      </sheetData>
      <sheetData sheetId="3">
        <row r="28">
          <cell r="E28">
            <v>52523.664232073395</v>
          </cell>
          <cell r="F28">
            <v>6020.7257034581953</v>
          </cell>
          <cell r="G28">
            <v>7117.5893328848406</v>
          </cell>
          <cell r="H28">
            <v>5906.045213868515</v>
          </cell>
          <cell r="I28">
            <v>134398.13482078019</v>
          </cell>
          <cell r="J28">
            <v>205966.15930306516</v>
          </cell>
        </row>
        <row r="33">
          <cell r="E33">
            <v>0.35048622366288495</v>
          </cell>
        </row>
        <row r="34">
          <cell r="E34">
            <v>0.53930307941653155</v>
          </cell>
        </row>
        <row r="35">
          <cell r="E35">
            <v>0.11021069692058347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d-418"/>
    </sheetNames>
    <sheetDataSet>
      <sheetData sheetId="0">
        <row r="21">
          <cell r="C21">
            <v>11882400</v>
          </cell>
        </row>
        <row r="25">
          <cell r="C25">
            <v>3592100</v>
          </cell>
        </row>
        <row r="27">
          <cell r="C27">
            <v>16914600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IIA1C01"/>
    </sheetNames>
    <sheetDataSet>
      <sheetData sheetId="0">
        <row r="16">
          <cell r="B16">
            <v>29643.65825</v>
          </cell>
          <cell r="C16">
            <v>10231.44318</v>
          </cell>
          <cell r="D16">
            <v>18528.825089999998</v>
          </cell>
          <cell r="E16">
            <v>26777.000636000001</v>
          </cell>
          <cell r="F16">
            <v>22811</v>
          </cell>
          <cell r="G16">
            <v>9314</v>
          </cell>
          <cell r="H16">
            <v>17519</v>
          </cell>
          <cell r="I16">
            <v>17216</v>
          </cell>
          <cell r="J16">
            <v>10141</v>
          </cell>
          <cell r="K16">
            <v>17884</v>
          </cell>
          <cell r="L16">
            <v>32356</v>
          </cell>
          <cell r="M16">
            <v>7793</v>
          </cell>
        </row>
        <row r="18">
          <cell r="B18">
            <v>649868.34123000002</v>
          </cell>
          <cell r="C18">
            <v>588197.62922999996</v>
          </cell>
          <cell r="D18">
            <v>684130.78295799997</v>
          </cell>
          <cell r="E18">
            <v>620658.78600099997</v>
          </cell>
          <cell r="F18">
            <v>351424</v>
          </cell>
          <cell r="G18">
            <v>275475</v>
          </cell>
          <cell r="H18">
            <v>284692</v>
          </cell>
          <cell r="I18">
            <v>634984</v>
          </cell>
          <cell r="J18">
            <v>628464</v>
          </cell>
          <cell r="K18">
            <v>568189</v>
          </cell>
          <cell r="L18">
            <v>629284</v>
          </cell>
          <cell r="M18">
            <v>564314</v>
          </cell>
        </row>
        <row r="21">
          <cell r="B21">
            <v>26767.099214999998</v>
          </cell>
          <cell r="C21">
            <v>36171.519219000002</v>
          </cell>
          <cell r="D21">
            <v>12583.051737</v>
          </cell>
          <cell r="E21">
            <v>13222.773243</v>
          </cell>
          <cell r="F21">
            <v>941087</v>
          </cell>
          <cell r="G21">
            <v>906928</v>
          </cell>
          <cell r="H21">
            <v>855033</v>
          </cell>
          <cell r="I21">
            <v>753014</v>
          </cell>
          <cell r="J21">
            <v>693483</v>
          </cell>
          <cell r="K21">
            <v>561580</v>
          </cell>
          <cell r="L21">
            <v>508090</v>
          </cell>
          <cell r="M21">
            <v>561539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um_empleados"/>
      <sheetName val="COV chim"/>
      <sheetName val="Emis_mantto"/>
      <sheetName val="HFC"/>
      <sheetName val="Turbosina"/>
      <sheetName val="Electricidad"/>
      <sheetName val="COV_AR"/>
      <sheetName val="Hoja1"/>
    </sheetNames>
    <sheetDataSet>
      <sheetData sheetId="0"/>
      <sheetData sheetId="1"/>
      <sheetData sheetId="2"/>
      <sheetData sheetId="3"/>
      <sheetData sheetId="4"/>
      <sheetData sheetId="5">
        <row r="12">
          <cell r="M12">
            <v>1036168.63</v>
          </cell>
        </row>
        <row r="34">
          <cell r="M34">
            <v>6134997.6148799993</v>
          </cell>
        </row>
      </sheetData>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yección consumo"/>
      <sheetName val="tren ligero"/>
      <sheetName val="Trolebús"/>
      <sheetName val="Metro"/>
      <sheetName val="Suburbano"/>
      <sheetName val="Página 1"/>
      <sheetName val="Mexicable"/>
      <sheetName val="Cablebús"/>
      <sheetName val="Hoja1"/>
    </sheetNames>
    <sheetDataSet>
      <sheetData sheetId="0">
        <row r="54">
          <cell r="C54">
            <v>1160597.0087109155</v>
          </cell>
        </row>
        <row r="65">
          <cell r="B65">
            <v>11005785.6</v>
          </cell>
        </row>
        <row r="66">
          <cell r="B66">
            <v>5693497.9100000001</v>
          </cell>
        </row>
        <row r="67">
          <cell r="B67">
            <v>17038344.379999999</v>
          </cell>
        </row>
      </sheetData>
      <sheetData sheetId="1">
        <row r="26">
          <cell r="E26">
            <v>1047.681</v>
          </cell>
        </row>
      </sheetData>
      <sheetData sheetId="2">
        <row r="26">
          <cell r="F26">
            <v>2431.6480000000001</v>
          </cell>
        </row>
      </sheetData>
      <sheetData sheetId="3">
        <row r="26">
          <cell r="G26">
            <v>754563603.99999988</v>
          </cell>
        </row>
      </sheetData>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 val="Hoja3"/>
    </sheetNames>
    <sheetDataSet>
      <sheetData sheetId="0">
        <row r="38">
          <cell r="C38">
            <v>7529762.2400000002</v>
          </cell>
        </row>
        <row r="39">
          <cell r="C39">
            <v>22723746.760000002</v>
          </cell>
        </row>
      </sheetData>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es"/>
      <sheetName val="Metodología y FE"/>
      <sheetName val="Dato de Actividad"/>
      <sheetName val="Consumo_CDMX"/>
      <sheetName val="Consumo_EDOMEX"/>
      <sheetName val="Consumo_Tizayuca"/>
      <sheetName val="Emisiones GEI_Electricidad"/>
      <sheetName val="Emisiones por entidad"/>
      <sheetName val="TJ"/>
      <sheetName val="Propuesta Población"/>
    </sheetNames>
    <sheetDataSet>
      <sheetData sheetId="0" refreshError="1"/>
      <sheetData sheetId="1">
        <row r="23">
          <cell r="C23">
            <v>486.88405457673053</v>
          </cell>
          <cell r="D23">
            <v>1.3542630621931919E-2</v>
          </cell>
          <cell r="E23">
            <v>2.2583965665866849E-3</v>
          </cell>
          <cell r="F23">
            <v>1.2847238393198304E-2</v>
          </cell>
        </row>
      </sheetData>
      <sheetData sheetId="2" refreshError="1"/>
      <sheetData sheetId="3">
        <row r="36">
          <cell r="H36">
            <v>1361.5794056666002</v>
          </cell>
        </row>
        <row r="37">
          <cell r="H37">
            <v>3651.2481812365686</v>
          </cell>
        </row>
        <row r="38">
          <cell r="H38">
            <v>166.36376777373403</v>
          </cell>
        </row>
        <row r="39">
          <cell r="H39">
            <v>4.8408431839712147</v>
          </cell>
        </row>
        <row r="49">
          <cell r="C49">
            <v>435.80740943230927</v>
          </cell>
          <cell r="F49">
            <v>2426.7789742188852</v>
          </cell>
        </row>
        <row r="50">
          <cell r="C50">
            <v>1.1244127690756478E-2</v>
          </cell>
          <cell r="F50">
            <v>1091.1291142452192</v>
          </cell>
        </row>
        <row r="51">
          <cell r="F51">
            <v>77.037853971234</v>
          </cell>
        </row>
        <row r="52">
          <cell r="C52">
            <v>166.36376777373403</v>
          </cell>
          <cell r="F52">
            <v>4.8953732508197723</v>
          </cell>
        </row>
        <row r="53">
          <cell r="C53">
            <v>4.8408431839712147</v>
          </cell>
          <cell r="F53">
            <v>0</v>
          </cell>
        </row>
        <row r="54">
          <cell r="C54">
            <v>343.65384399999999</v>
          </cell>
          <cell r="F54">
            <v>10.259033814217965</v>
          </cell>
        </row>
        <row r="55">
          <cell r="C55">
            <v>958.74411299999986</v>
          </cell>
          <cell r="F55">
            <v>1361.5794056666002</v>
          </cell>
        </row>
        <row r="56">
          <cell r="C56">
            <v>17.745923809999997</v>
          </cell>
          <cell r="F56">
            <v>5.968947727211015</v>
          </cell>
        </row>
        <row r="57">
          <cell r="F57">
            <v>0.57713366391444099</v>
          </cell>
        </row>
        <row r="58">
          <cell r="F58">
            <v>3651.2481812365686</v>
          </cell>
        </row>
        <row r="59">
          <cell r="F59">
            <v>798.10893687762382</v>
          </cell>
        </row>
        <row r="60">
          <cell r="F60">
            <v>9427.5829546722962</v>
          </cell>
        </row>
        <row r="61">
          <cell r="C61">
            <v>11354.750100000001</v>
          </cell>
        </row>
      </sheetData>
      <sheetData sheetId="4" refreshError="1"/>
      <sheetData sheetId="5" refreshError="1"/>
      <sheetData sheetId="6" refreshError="1"/>
      <sheetData sheetId="7">
        <row r="6">
          <cell r="D6" t="str">
            <v>N/A</v>
          </cell>
          <cell r="E6" t="str">
            <v>N/A</v>
          </cell>
          <cell r="F6" t="str">
            <v>N/A</v>
          </cell>
          <cell r="G6" t="str">
            <v>N/A</v>
          </cell>
          <cell r="H6" t="str">
            <v>N/A</v>
          </cell>
          <cell r="I6" t="str">
            <v>N/A</v>
          </cell>
          <cell r="J6" t="str">
            <v>N/A</v>
          </cell>
          <cell r="K6" t="str">
            <v>N/A</v>
          </cell>
          <cell r="L6">
            <v>2.259342258755809</v>
          </cell>
          <cell r="M6" t="str">
            <v>N/A</v>
          </cell>
          <cell r="N6">
            <v>85624.449858575696</v>
          </cell>
          <cell r="O6">
            <v>2.3816353929456473</v>
          </cell>
          <cell r="P6">
            <v>0.39716635153432889</v>
          </cell>
          <cell r="Q6">
            <v>85796.384732734776</v>
          </cell>
          <cell r="R6" t="str">
            <v>N/A</v>
          </cell>
        </row>
        <row r="7">
          <cell r="D7" t="str">
            <v>N/A</v>
          </cell>
          <cell r="E7" t="str">
            <v>N/A</v>
          </cell>
          <cell r="F7" t="str">
            <v>N/A</v>
          </cell>
          <cell r="G7" t="str">
            <v>N/A</v>
          </cell>
          <cell r="H7" t="str">
            <v>N/A</v>
          </cell>
          <cell r="I7" t="str">
            <v>N/A</v>
          </cell>
          <cell r="J7" t="str">
            <v>N/A</v>
          </cell>
          <cell r="K7" t="str">
            <v>N/A</v>
          </cell>
          <cell r="L7">
            <v>11.052563146407874</v>
          </cell>
          <cell r="M7" t="str">
            <v>N/A</v>
          </cell>
          <cell r="N7">
            <v>418869.53394104022</v>
          </cell>
          <cell r="O7">
            <v>11.650813625177591</v>
          </cell>
          <cell r="P7">
            <v>1.9429133248624995</v>
          </cell>
          <cell r="Q7">
            <v>419710.62875363376</v>
          </cell>
          <cell r="R7" t="str">
            <v>N/A</v>
          </cell>
        </row>
        <row r="8">
          <cell r="D8" t="str">
            <v>N/A</v>
          </cell>
          <cell r="E8" t="str">
            <v>N/A</v>
          </cell>
          <cell r="F8" t="str">
            <v>N/A</v>
          </cell>
          <cell r="G8" t="str">
            <v>N/A</v>
          </cell>
          <cell r="H8" t="str">
            <v>N/A</v>
          </cell>
          <cell r="I8" t="str">
            <v>N/A</v>
          </cell>
          <cell r="J8" t="str">
            <v>N/A</v>
          </cell>
          <cell r="K8" t="str">
            <v>N/A</v>
          </cell>
          <cell r="L8">
            <v>6.9089927054654421</v>
          </cell>
          <cell r="M8" t="str">
            <v>N/A</v>
          </cell>
          <cell r="N8">
            <v>261836.69038623921</v>
          </cell>
          <cell r="O8">
            <v>7.2829610003405119</v>
          </cell>
          <cell r="P8">
            <v>1.2145213568120921</v>
          </cell>
          <cell r="Q8">
            <v>262362.46145380393</v>
          </cell>
          <cell r="R8" t="str">
            <v>N/A</v>
          </cell>
        </row>
        <row r="9">
          <cell r="D9" t="str">
            <v>N/A</v>
          </cell>
          <cell r="E9" t="str">
            <v>N/A</v>
          </cell>
          <cell r="F9" t="str">
            <v>N/A</v>
          </cell>
          <cell r="G9" t="str">
            <v>N/A</v>
          </cell>
          <cell r="H9" t="str">
            <v>N/A</v>
          </cell>
          <cell r="I9" t="str">
            <v>N/A</v>
          </cell>
          <cell r="J9" t="str">
            <v>N/A</v>
          </cell>
          <cell r="K9" t="str">
            <v>N/A</v>
          </cell>
          <cell r="L9">
            <v>77.131666348842884</v>
          </cell>
          <cell r="M9" t="str">
            <v>N/A</v>
          </cell>
          <cell r="N9">
            <v>2923132.3727958882</v>
          </cell>
          <cell r="O9">
            <v>81.306630627287063</v>
          </cell>
          <cell r="P9">
            <v>13.558858731037461</v>
          </cell>
          <cell r="Q9">
            <v>2929002.0560171772</v>
          </cell>
          <cell r="R9" t="str">
            <v>N/A</v>
          </cell>
        </row>
        <row r="10">
          <cell r="D10" t="str">
            <v>N/A</v>
          </cell>
          <cell r="E10" t="str">
            <v>N/A</v>
          </cell>
          <cell r="F10" t="str">
            <v>N/A</v>
          </cell>
          <cell r="G10" t="str">
            <v>N/A</v>
          </cell>
          <cell r="H10" t="str">
            <v>N/A</v>
          </cell>
          <cell r="I10" t="str">
            <v>N/A</v>
          </cell>
          <cell r="J10" t="str">
            <v>N/A</v>
          </cell>
          <cell r="K10" t="str">
            <v>N/A</v>
          </cell>
          <cell r="L10">
            <v>0.39810642985884498</v>
          </cell>
          <cell r="M10" t="str">
            <v>N/A</v>
          </cell>
          <cell r="N10">
            <v>15087.419318486474</v>
          </cell>
          <cell r="O10">
            <v>0.41965503891083322</v>
          </cell>
          <cell r="P10">
            <v>6.9982525957119179E-2</v>
          </cell>
          <cell r="Q10">
            <v>15117.715028954615</v>
          </cell>
          <cell r="R10" t="str">
            <v>N/A</v>
          </cell>
        </row>
        <row r="11">
          <cell r="D11" t="str">
            <v>N/A</v>
          </cell>
          <cell r="E11" t="str">
            <v>N/A</v>
          </cell>
          <cell r="F11" t="str">
            <v>N/A</v>
          </cell>
          <cell r="G11" t="str">
            <v>N/A</v>
          </cell>
          <cell r="H11" t="str">
            <v>N/A</v>
          </cell>
          <cell r="I11" t="str">
            <v>N/A</v>
          </cell>
          <cell r="J11" t="str">
            <v>N/A</v>
          </cell>
          <cell r="K11" t="str">
            <v>N/A</v>
          </cell>
          <cell r="L11">
            <v>2.1455034731867588</v>
          </cell>
          <cell r="M11" t="str">
            <v>N/A</v>
          </cell>
          <cell r="N11">
            <v>81310.192756030272</v>
          </cell>
          <cell r="O11">
            <v>2.2616347689806426</v>
          </cell>
          <cell r="P11">
            <v>0.37715480394682144</v>
          </cell>
          <cell r="Q11">
            <v>81473.464552607635</v>
          </cell>
          <cell r="R11" t="str">
            <v>N/A</v>
          </cell>
        </row>
        <row r="12">
          <cell r="D12" t="str">
            <v>N/A</v>
          </cell>
          <cell r="E12" t="str">
            <v>N/A</v>
          </cell>
          <cell r="F12" t="str">
            <v>N/A</v>
          </cell>
          <cell r="G12" t="str">
            <v>N/A</v>
          </cell>
          <cell r="H12" t="str">
            <v>N/A</v>
          </cell>
          <cell r="I12" t="str">
            <v>N/A</v>
          </cell>
          <cell r="J12" t="str">
            <v>N/A</v>
          </cell>
          <cell r="K12" t="str">
            <v>N/A</v>
          </cell>
          <cell r="L12">
            <v>9.5664413940800976</v>
          </cell>
          <cell r="M12" t="str">
            <v>N/A</v>
          </cell>
          <cell r="N12">
            <v>362548.55956330139</v>
          </cell>
          <cell r="O12">
            <v>10.084251432196991</v>
          </cell>
          <cell r="P12">
            <v>1.6816702343035401</v>
          </cell>
          <cell r="Q12">
            <v>363276.5612154933</v>
          </cell>
          <cell r="R12" t="str">
            <v>N/A</v>
          </cell>
        </row>
        <row r="13">
          <cell r="D13" t="str">
            <v>N/A</v>
          </cell>
          <cell r="E13" t="str">
            <v>N/A</v>
          </cell>
          <cell r="F13" t="str">
            <v>N/A</v>
          </cell>
          <cell r="G13" t="str">
            <v>N/A</v>
          </cell>
          <cell r="H13" t="str">
            <v>N/A</v>
          </cell>
          <cell r="I13" t="str">
            <v>N/A</v>
          </cell>
          <cell r="J13" t="str">
            <v>N/A</v>
          </cell>
          <cell r="K13" t="str">
            <v>N/A</v>
          </cell>
          <cell r="L13">
            <v>90.329732968437526</v>
          </cell>
          <cell r="M13" t="str">
            <v>N/A</v>
          </cell>
          <cell r="N13">
            <v>3423312.0994929587</v>
          </cell>
          <cell r="O13">
            <v>95.219079021445296</v>
          </cell>
          <cell r="P13">
            <v>15.87892685984678</v>
          </cell>
          <cell r="Q13">
            <v>3430186.1493234187</v>
          </cell>
          <cell r="R13" t="str">
            <v>N/A</v>
          </cell>
        </row>
        <row r="29">
          <cell r="D29" t="str">
            <v>N/A</v>
          </cell>
          <cell r="E29" t="str">
            <v>N/A</v>
          </cell>
          <cell r="F29" t="str">
            <v>N/A</v>
          </cell>
          <cell r="G29" t="str">
            <v>N/A</v>
          </cell>
          <cell r="H29" t="str">
            <v>N/A</v>
          </cell>
          <cell r="I29" t="str">
            <v>N/A</v>
          </cell>
          <cell r="J29" t="str">
            <v>N/A</v>
          </cell>
          <cell r="K29" t="str">
            <v>N/A</v>
          </cell>
          <cell r="L29">
            <v>22.499433480808655</v>
          </cell>
          <cell r="M29" t="str">
            <v>N/A</v>
          </cell>
          <cell r="N29">
            <v>852682.50370564044</v>
          </cell>
          <cell r="O29">
            <v>23.717277402950451</v>
          </cell>
          <cell r="P29">
            <v>3.955141312712422</v>
          </cell>
          <cell r="Q29">
            <v>854394.6999207919</v>
          </cell>
          <cell r="R29" t="str">
            <v>N/A</v>
          </cell>
        </row>
        <row r="30">
          <cell r="D30" t="str">
            <v>N/A</v>
          </cell>
          <cell r="E30" t="str">
            <v>N/A</v>
          </cell>
          <cell r="F30" t="str">
            <v>N/A</v>
          </cell>
          <cell r="G30" t="str">
            <v>N/A</v>
          </cell>
          <cell r="H30" t="str">
            <v>N/A</v>
          </cell>
          <cell r="I30" t="str">
            <v>N/A</v>
          </cell>
          <cell r="J30" t="str">
            <v>N/A</v>
          </cell>
          <cell r="K30" t="str">
            <v>N/A</v>
          </cell>
          <cell r="L30">
            <v>110.0658425439199</v>
          </cell>
          <cell r="M30" t="str">
            <v>N/A</v>
          </cell>
          <cell r="N30">
            <v>4171270.2798882788</v>
          </cell>
          <cell r="O30">
            <v>116.02345998757079</v>
          </cell>
          <cell r="P30">
            <v>19.348307651180559</v>
          </cell>
          <cell r="Q30">
            <v>4179646.2382954936</v>
          </cell>
          <cell r="R30" t="str">
            <v>N/A</v>
          </cell>
        </row>
        <row r="31">
          <cell r="D31" t="str">
            <v>N/A</v>
          </cell>
          <cell r="E31" t="str">
            <v>N/A</v>
          </cell>
          <cell r="F31" t="str">
            <v>N/A</v>
          </cell>
          <cell r="G31" t="str">
            <v>N/A</v>
          </cell>
          <cell r="H31" t="str">
            <v>N/A</v>
          </cell>
          <cell r="I31" t="str">
            <v>N/A</v>
          </cell>
          <cell r="J31" t="str">
            <v>N/A</v>
          </cell>
          <cell r="K31" t="str">
            <v>N/A</v>
          </cell>
          <cell r="L31">
            <v>4.7493519820052441</v>
          </cell>
          <cell r="M31" t="str">
            <v>N/A</v>
          </cell>
          <cell r="N31">
            <v>179990.72476424088</v>
          </cell>
          <cell r="O31">
            <v>5.0064237634050155</v>
          </cell>
          <cell r="P31">
            <v>0.83488138706532589</v>
          </cell>
          <cell r="Q31">
            <v>180352.14819718854</v>
          </cell>
          <cell r="R31" t="str">
            <v>N/A</v>
          </cell>
        </row>
        <row r="32">
          <cell r="D32" t="str">
            <v>N/A</v>
          </cell>
          <cell r="E32" t="str">
            <v>N/A</v>
          </cell>
          <cell r="F32" t="str">
            <v>N/A</v>
          </cell>
          <cell r="G32" t="str">
            <v>N/A</v>
          </cell>
          <cell r="H32" t="str">
            <v>N/A</v>
          </cell>
          <cell r="I32" t="str">
            <v>N/A</v>
          </cell>
          <cell r="J32" t="str">
            <v>N/A</v>
          </cell>
          <cell r="K32" t="str">
            <v>N/A</v>
          </cell>
          <cell r="L32">
            <v>49.431247259539248</v>
          </cell>
          <cell r="M32" t="str">
            <v>N/A</v>
          </cell>
          <cell r="N32">
            <v>1873343.1537513367</v>
          </cell>
          <cell r="O32">
            <v>52.106849918169132</v>
          </cell>
          <cell r="P32">
            <v>8.6894440405296631</v>
          </cell>
          <cell r="Q32">
            <v>1877104.8482197858</v>
          </cell>
          <cell r="R32" t="str">
            <v>N/A</v>
          </cell>
        </row>
        <row r="33">
          <cell r="D33" t="str">
            <v>N/A</v>
          </cell>
          <cell r="E33" t="str">
            <v>N/A</v>
          </cell>
          <cell r="F33" t="str">
            <v>N/A</v>
          </cell>
          <cell r="G33" t="str">
            <v>N/A</v>
          </cell>
          <cell r="H33" t="str">
            <v>N/A</v>
          </cell>
          <cell r="I33" t="str">
            <v>N/A</v>
          </cell>
          <cell r="J33" t="str">
            <v>N/A</v>
          </cell>
          <cell r="K33" t="str">
            <v>N/A</v>
          </cell>
          <cell r="L33">
            <v>0</v>
          </cell>
          <cell r="M33" t="str">
            <v>N/A</v>
          </cell>
          <cell r="N33">
            <v>0</v>
          </cell>
          <cell r="O33">
            <v>0</v>
          </cell>
          <cell r="P33">
            <v>0</v>
          </cell>
          <cell r="Q33">
            <v>0</v>
          </cell>
          <cell r="R33" t="str">
            <v>N/A</v>
          </cell>
        </row>
        <row r="34">
          <cell r="D34" t="str">
            <v>N/A</v>
          </cell>
          <cell r="E34" t="str">
            <v>N/A</v>
          </cell>
          <cell r="F34" t="str">
            <v>N/A</v>
          </cell>
          <cell r="G34" t="str">
            <v>N/A</v>
          </cell>
          <cell r="H34" t="str">
            <v>N/A</v>
          </cell>
          <cell r="I34" t="str">
            <v>N/A</v>
          </cell>
          <cell r="J34" t="str">
            <v>N/A</v>
          </cell>
          <cell r="K34" t="str">
            <v>N/A</v>
          </cell>
          <cell r="L34">
            <v>0</v>
          </cell>
          <cell r="M34" t="str">
            <v>N/A</v>
          </cell>
          <cell r="N34">
            <v>0</v>
          </cell>
          <cell r="O34">
            <v>0</v>
          </cell>
          <cell r="P34">
            <v>0</v>
          </cell>
          <cell r="Q34">
            <v>0</v>
          </cell>
          <cell r="R34" t="str">
            <v>N/A</v>
          </cell>
        </row>
        <row r="35">
          <cell r="D35" t="str">
            <v>N/A</v>
          </cell>
          <cell r="E35" t="str">
            <v>N/A</v>
          </cell>
          <cell r="F35" t="str">
            <v>N/A</v>
          </cell>
          <cell r="G35" t="str">
            <v>N/A</v>
          </cell>
          <cell r="H35" t="str">
            <v>N/A</v>
          </cell>
          <cell r="I35" t="str">
            <v>N/A</v>
          </cell>
          <cell r="J35" t="str">
            <v>N/A</v>
          </cell>
          <cell r="K35" t="str">
            <v>N/A</v>
          </cell>
          <cell r="L35">
            <v>27.248785462813899</v>
          </cell>
          <cell r="M35" t="str">
            <v>N/A</v>
          </cell>
          <cell r="N35">
            <v>1032673.2284698813</v>
          </cell>
          <cell r="O35">
            <v>28.723701166355468</v>
          </cell>
          <cell r="P35">
            <v>4.7900226997777482</v>
          </cell>
          <cell r="Q35">
            <v>1034746.8481179804</v>
          </cell>
          <cell r="R35" t="str">
            <v>N/A</v>
          </cell>
        </row>
        <row r="36">
          <cell r="D36" t="str">
            <v>N/A</v>
          </cell>
          <cell r="E36" t="str">
            <v>N/A</v>
          </cell>
          <cell r="F36" t="str">
            <v>N/A</v>
          </cell>
          <cell r="G36" t="str">
            <v>N/A</v>
          </cell>
          <cell r="H36" t="str">
            <v>N/A</v>
          </cell>
          <cell r="I36" t="str">
            <v>N/A</v>
          </cell>
          <cell r="J36" t="str">
            <v>N/A</v>
          </cell>
          <cell r="K36" t="str">
            <v>N/A</v>
          </cell>
          <cell r="L36">
            <v>159.49708980345915</v>
          </cell>
          <cell r="M36" t="str">
            <v>N/A</v>
          </cell>
          <cell r="N36">
            <v>6044613.4336396158</v>
          </cell>
          <cell r="O36">
            <v>168.13030990573992</v>
          </cell>
          <cell r="P36">
            <v>28.03775169171022</v>
          </cell>
          <cell r="Q36">
            <v>6056751.0865152795</v>
          </cell>
          <cell r="R36" t="str">
            <v>N/A</v>
          </cell>
        </row>
        <row r="118">
          <cell r="D118">
            <v>10318.581469999997</v>
          </cell>
          <cell r="E118">
            <v>4217.2953893522554</v>
          </cell>
          <cell r="F118">
            <v>0</v>
          </cell>
        </row>
        <row r="119">
          <cell r="D119">
            <v>1036.1686299999994</v>
          </cell>
          <cell r="E119">
            <v>6134.9976148799997</v>
          </cell>
          <cell r="F119">
            <v>211.76739804054799</v>
          </cell>
        </row>
        <row r="120">
          <cell r="D120">
            <v>1751.3050503305442</v>
          </cell>
          <cell r="E120">
            <v>369.67882409029528</v>
          </cell>
          <cell r="F120">
            <v>0</v>
          </cell>
        </row>
        <row r="121">
          <cell r="D121">
            <v>175.86209499716057</v>
          </cell>
          <cell r="E121">
            <v>537.7803769192343</v>
          </cell>
          <cell r="F121">
            <v>30.987704724901338</v>
          </cell>
        </row>
        <row r="122">
          <cell r="D122">
            <v>8567.2764196694534</v>
          </cell>
          <cell r="E122">
            <v>3847.6165652619602</v>
          </cell>
          <cell r="F122">
            <v>0</v>
          </cell>
        </row>
        <row r="123">
          <cell r="D123">
            <v>860.30653500283893</v>
          </cell>
          <cell r="E123">
            <v>5597.2172379607655</v>
          </cell>
          <cell r="F123">
            <v>180.77969331564665</v>
          </cell>
        </row>
      </sheetData>
      <sheetData sheetId="8">
        <row r="4">
          <cell r="F4">
            <v>7.5150739259753005E-3</v>
          </cell>
        </row>
      </sheetData>
      <sheetData sheetId="9">
        <row r="5">
          <cell r="K5">
            <v>1850061</v>
          </cell>
          <cell r="L5">
            <v>6177046.9514030563</v>
          </cell>
          <cell r="N5">
            <v>2426.7789742188852</v>
          </cell>
        </row>
        <row r="6">
          <cell r="K6">
            <v>831825</v>
          </cell>
          <cell r="L6">
            <v>2777325.7640428334</v>
          </cell>
          <cell r="N6">
            <v>1091.1291142452192</v>
          </cell>
        </row>
        <row r="7">
          <cell r="K7">
            <v>58730</v>
          </cell>
          <cell r="L7">
            <v>196089.73296334638</v>
          </cell>
          <cell r="N7">
            <v>77.037853971234</v>
          </cell>
        </row>
        <row r="8">
          <cell r="K8">
            <v>3732</v>
          </cell>
          <cell r="L8">
            <v>12460.529259649389</v>
          </cell>
          <cell r="N8">
            <v>4.8953732508197723</v>
          </cell>
        </row>
        <row r="10">
          <cell r="K10">
            <v>7821</v>
          </cell>
          <cell r="L10">
            <v>26113.022331114113</v>
          </cell>
          <cell r="N10">
            <v>10.259033814217965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ICE "/>
      <sheetName val="1.1"/>
      <sheetName val="1.2"/>
      <sheetName val="1.3"/>
      <sheetName val="1.4"/>
      <sheetName val="1.5"/>
      <sheetName val="1.6"/>
      <sheetName val="1.7"/>
      <sheetName val="1.8"/>
      <sheetName val="1.9"/>
      <sheetName val="1.10"/>
      <sheetName val="1.11"/>
      <sheetName val="1.12"/>
      <sheetName val="1.13"/>
      <sheetName val="1.14"/>
      <sheetName val="1.15"/>
      <sheetName val="1.16"/>
      <sheetName val="1.17"/>
      <sheetName val="1.18"/>
      <sheetName val="1.19"/>
      <sheetName val="1.20"/>
      <sheetName val="1.21"/>
      <sheetName val="1.22"/>
      <sheetName val="1.23"/>
      <sheetName val="1.24"/>
      <sheetName val="1.25"/>
      <sheetName val="1.26"/>
      <sheetName val="1.27"/>
      <sheetName val="1.28"/>
      <sheetName val="2.1"/>
      <sheetName val="2.2"/>
      <sheetName val="2.3"/>
      <sheetName val="2.4"/>
      <sheetName val="2.5"/>
      <sheetName val="3.1"/>
      <sheetName val="3.2"/>
      <sheetName val="3.3"/>
      <sheetName val="3.4"/>
      <sheetName val="3.5"/>
      <sheetName val="4.1"/>
    </sheetNames>
    <sheetDataSet>
      <sheetData sheetId="0"/>
      <sheetData sheetId="1">
        <row r="9">
          <cell r="C9">
            <v>36968871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8">
          <cell r="E18">
            <v>2934753</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b.mx/cms/uploads/attachment/file/528054/Balance_Nacional_de_Energ_a_20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O80"/>
  <sheetViews>
    <sheetView showGridLines="0" topLeftCell="A12" zoomScaleNormal="100" workbookViewId="0">
      <selection activeCell="O23" sqref="O23"/>
    </sheetView>
  </sheetViews>
  <sheetFormatPr baseColWidth="10" defaultRowHeight="15"/>
  <cols>
    <col min="1" max="1" width="8.7109375" customWidth="1"/>
    <col min="2" max="2" width="18.7109375" customWidth="1"/>
    <col min="11" max="11" width="16.85546875" customWidth="1"/>
    <col min="12" max="12" width="14" customWidth="1"/>
    <col min="13" max="13" width="17.140625" customWidth="1"/>
    <col min="14" max="14" width="17.5703125" customWidth="1"/>
  </cols>
  <sheetData>
    <row r="4" spans="2:11">
      <c r="B4" s="497" t="s">
        <v>216</v>
      </c>
      <c r="H4">
        <v>2018</v>
      </c>
    </row>
    <row r="5" spans="2:11">
      <c r="B5" s="1" t="s">
        <v>0</v>
      </c>
    </row>
    <row r="6" spans="2:11">
      <c r="B6" s="1" t="s">
        <v>1</v>
      </c>
      <c r="I6" s="2"/>
    </row>
    <row r="7" spans="2:11">
      <c r="B7" t="s">
        <v>2</v>
      </c>
    </row>
    <row r="8" spans="2:11">
      <c r="B8" t="s">
        <v>217</v>
      </c>
    </row>
    <row r="10" spans="2:11" ht="15.75">
      <c r="B10" s="3" t="s">
        <v>3</v>
      </c>
    </row>
    <row r="11" spans="2:11">
      <c r="B11" t="s">
        <v>29</v>
      </c>
    </row>
    <row r="12" spans="2:11">
      <c r="B12" t="s">
        <v>32</v>
      </c>
      <c r="C12" s="689" t="s">
        <v>33</v>
      </c>
      <c r="D12" s="689"/>
      <c r="E12" s="689"/>
      <c r="F12" s="689"/>
      <c r="G12" s="689"/>
      <c r="H12" s="689"/>
      <c r="I12" s="689"/>
      <c r="J12" s="689"/>
      <c r="K12" s="689"/>
    </row>
    <row r="13" spans="2:11">
      <c r="B13" t="s">
        <v>30</v>
      </c>
      <c r="C13" s="497" t="s">
        <v>31</v>
      </c>
      <c r="D13" s="4"/>
    </row>
    <row r="14" spans="2:11">
      <c r="B14" t="s">
        <v>4</v>
      </c>
      <c r="C14" t="s">
        <v>172</v>
      </c>
    </row>
    <row r="17" spans="1:15">
      <c r="B17" s="1" t="s">
        <v>5</v>
      </c>
    </row>
    <row r="18" spans="1:15" ht="40.5" customHeight="1">
      <c r="A18" s="10">
        <v>1</v>
      </c>
      <c r="B18" s="688" t="s">
        <v>312</v>
      </c>
      <c r="C18" s="688"/>
      <c r="D18" s="688"/>
      <c r="E18" s="688"/>
      <c r="F18" s="688"/>
      <c r="G18" s="688"/>
      <c r="H18" s="688"/>
      <c r="I18" s="688"/>
      <c r="J18" s="688"/>
      <c r="K18" s="688"/>
      <c r="L18" s="109"/>
    </row>
    <row r="19" spans="1:15" ht="39" customHeight="1">
      <c r="A19" s="10">
        <v>2</v>
      </c>
      <c r="B19" s="691" t="s">
        <v>314</v>
      </c>
      <c r="C19" s="691"/>
      <c r="D19" s="691"/>
      <c r="E19" s="691"/>
      <c r="F19" s="691"/>
      <c r="G19" s="691"/>
      <c r="H19" s="691"/>
      <c r="I19" s="691"/>
      <c r="J19" s="691"/>
      <c r="K19" s="691"/>
    </row>
    <row r="20" spans="1:15" ht="36" customHeight="1">
      <c r="A20" s="10">
        <v>3</v>
      </c>
      <c r="B20" s="691" t="s">
        <v>311</v>
      </c>
      <c r="C20" s="691"/>
      <c r="D20" s="691"/>
      <c r="E20" s="691"/>
      <c r="F20" s="691"/>
      <c r="G20" s="691"/>
      <c r="H20" s="691"/>
      <c r="I20" s="691"/>
      <c r="J20" s="691"/>
      <c r="K20" s="691"/>
      <c r="L20" s="109"/>
    </row>
    <row r="21" spans="1:15" ht="34.5" customHeight="1">
      <c r="A21" s="10">
        <v>4</v>
      </c>
      <c r="B21" s="688" t="s">
        <v>308</v>
      </c>
      <c r="C21" s="688"/>
      <c r="D21" s="688"/>
      <c r="E21" s="688"/>
      <c r="F21" s="688"/>
      <c r="G21" s="688"/>
      <c r="H21" s="688"/>
      <c r="I21" s="688"/>
      <c r="J21" s="688"/>
      <c r="K21" s="688"/>
      <c r="L21" s="687"/>
      <c r="M21" s="687"/>
      <c r="N21" s="687"/>
      <c r="O21" s="109"/>
    </row>
    <row r="22" spans="1:15" ht="41.25" customHeight="1">
      <c r="A22" s="10">
        <v>5</v>
      </c>
      <c r="B22" s="692" t="s">
        <v>286</v>
      </c>
      <c r="C22" s="692"/>
      <c r="D22" s="692"/>
      <c r="E22" s="692"/>
      <c r="F22" s="692"/>
      <c r="G22" s="692"/>
      <c r="H22" s="692"/>
      <c r="I22" s="692"/>
      <c r="J22" s="692"/>
      <c r="K22" s="692"/>
    </row>
    <row r="23" spans="1:15" ht="31.5" customHeight="1">
      <c r="A23" s="10">
        <v>6</v>
      </c>
      <c r="B23" s="693" t="s">
        <v>310</v>
      </c>
      <c r="C23" s="693"/>
      <c r="D23" s="693"/>
      <c r="E23" s="693"/>
      <c r="F23" s="693"/>
      <c r="G23" s="693"/>
      <c r="H23" s="693"/>
      <c r="I23" s="693"/>
      <c r="J23" s="693"/>
      <c r="K23" s="693"/>
    </row>
    <row r="24" spans="1:15" ht="45.75" customHeight="1">
      <c r="A24" s="10">
        <v>7</v>
      </c>
      <c r="B24" s="688" t="s">
        <v>309</v>
      </c>
      <c r="C24" s="688"/>
      <c r="D24" s="688"/>
      <c r="E24" s="688"/>
      <c r="F24" s="688"/>
      <c r="G24" s="688"/>
      <c r="H24" s="688"/>
      <c r="I24" s="688"/>
      <c r="J24" s="688"/>
      <c r="K24" s="688"/>
    </row>
    <row r="25" spans="1:15" ht="42" customHeight="1">
      <c r="A25" s="10">
        <v>8</v>
      </c>
      <c r="B25" s="692" t="s">
        <v>316</v>
      </c>
      <c r="C25" s="692"/>
      <c r="D25" s="692"/>
      <c r="E25" s="692"/>
      <c r="F25" s="692"/>
      <c r="G25" s="692"/>
      <c r="H25" s="692"/>
      <c r="I25" s="692"/>
      <c r="J25" s="692"/>
      <c r="K25" s="692"/>
    </row>
    <row r="26" spans="1:15" ht="45" customHeight="1">
      <c r="A26" s="10">
        <v>9</v>
      </c>
      <c r="B26" s="688" t="s">
        <v>318</v>
      </c>
      <c r="C26" s="688"/>
      <c r="D26" s="688"/>
      <c r="E26" s="688"/>
      <c r="F26" s="688"/>
      <c r="G26" s="688"/>
      <c r="H26" s="688"/>
      <c r="I26" s="688"/>
      <c r="J26" s="688"/>
      <c r="K26" s="688"/>
    </row>
    <row r="27" spans="1:15" ht="31.5" customHeight="1">
      <c r="A27" s="10">
        <v>10</v>
      </c>
      <c r="B27" s="688" t="s">
        <v>315</v>
      </c>
      <c r="C27" s="688"/>
      <c r="D27" s="688"/>
      <c r="E27" s="688"/>
      <c r="F27" s="688"/>
      <c r="G27" s="688"/>
      <c r="H27" s="688"/>
      <c r="I27" s="688"/>
      <c r="J27" s="688"/>
      <c r="K27" s="688"/>
    </row>
    <row r="28" spans="1:15">
      <c r="B28" s="688"/>
      <c r="C28" s="688"/>
      <c r="D28" s="688"/>
      <c r="E28" s="688"/>
      <c r="F28" s="688"/>
      <c r="G28" s="688"/>
      <c r="H28" s="688"/>
      <c r="I28" s="688"/>
      <c r="J28" s="688"/>
      <c r="K28" s="688"/>
    </row>
    <row r="29" spans="1:15">
      <c r="B29" s="690"/>
      <c r="C29" s="690"/>
      <c r="D29" s="690"/>
      <c r="E29" s="690"/>
      <c r="F29" s="690"/>
      <c r="G29" s="690"/>
      <c r="H29" s="690"/>
      <c r="I29" s="690"/>
      <c r="J29" s="690"/>
      <c r="K29" s="690"/>
    </row>
    <row r="30" spans="1:15">
      <c r="A30" s="1"/>
    </row>
    <row r="31" spans="1:15">
      <c r="A31" s="1"/>
    </row>
    <row r="56" spans="1:1">
      <c r="A56" s="1"/>
    </row>
    <row r="80" spans="1:12">
      <c r="A80" s="61" t="s">
        <v>192</v>
      </c>
      <c r="K80" t="s">
        <v>38</v>
      </c>
      <c r="L80" t="s">
        <v>194</v>
      </c>
    </row>
  </sheetData>
  <mergeCells count="14">
    <mergeCell ref="L21:N21"/>
    <mergeCell ref="B26:K26"/>
    <mergeCell ref="C12:K12"/>
    <mergeCell ref="B27:K27"/>
    <mergeCell ref="B29:K29"/>
    <mergeCell ref="B24:K24"/>
    <mergeCell ref="B18:K18"/>
    <mergeCell ref="B20:K20"/>
    <mergeCell ref="B22:K22"/>
    <mergeCell ref="B19:K19"/>
    <mergeCell ref="B21:K21"/>
    <mergeCell ref="B25:K25"/>
    <mergeCell ref="B23:K23"/>
    <mergeCell ref="B28:K28"/>
  </mergeCells>
  <hyperlinks>
    <hyperlink ref="A80" r:id="rId1" xr:uid="{00000000-0004-0000-0000-00000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N15"/>
  <sheetViews>
    <sheetView showGridLines="0" topLeftCell="C1" workbookViewId="0">
      <selection activeCell="H13" sqref="H13"/>
    </sheetView>
  </sheetViews>
  <sheetFormatPr baseColWidth="10" defaultRowHeight="15"/>
  <cols>
    <col min="2" max="2" width="31.85546875" customWidth="1"/>
    <col min="3" max="3" width="16.140625" customWidth="1"/>
    <col min="4" max="4" width="13.42578125" customWidth="1"/>
    <col min="5" max="5" width="14.140625" customWidth="1"/>
    <col min="6" max="6" width="16.42578125" customWidth="1"/>
    <col min="10" max="10" width="32.42578125" customWidth="1"/>
    <col min="11" max="11" width="14.85546875" customWidth="1"/>
    <col min="12" max="12" width="14.7109375" customWidth="1"/>
    <col min="14" max="14" width="13.7109375" customWidth="1"/>
  </cols>
  <sheetData>
    <row r="3" spans="2:14" ht="15.75" thickBot="1">
      <c r="B3" s="1">
        <v>2020</v>
      </c>
      <c r="J3" s="1">
        <v>2022</v>
      </c>
    </row>
    <row r="4" spans="2:14" ht="60" customHeight="1" thickBot="1">
      <c r="B4" s="548" t="s">
        <v>69</v>
      </c>
      <c r="C4" s="549" t="s">
        <v>255</v>
      </c>
      <c r="D4" s="549" t="s">
        <v>254</v>
      </c>
      <c r="E4" s="550" t="s">
        <v>70</v>
      </c>
      <c r="F4" s="551" t="s">
        <v>113</v>
      </c>
      <c r="J4" s="555" t="s">
        <v>69</v>
      </c>
      <c r="K4" s="556" t="s">
        <v>278</v>
      </c>
      <c r="L4" s="556" t="s">
        <v>279</v>
      </c>
      <c r="M4" s="557" t="s">
        <v>70</v>
      </c>
      <c r="N4" s="558" t="s">
        <v>113</v>
      </c>
    </row>
    <row r="5" spans="2:14">
      <c r="B5" s="137" t="s">
        <v>47</v>
      </c>
      <c r="C5" s="316">
        <f>'[8]Propuesta Población'!K5</f>
        <v>1850061</v>
      </c>
      <c r="D5" s="316">
        <f>'[8]Propuesta Población'!L5</f>
        <v>6177046.9514030563</v>
      </c>
      <c r="E5" s="605">
        <f>+C5/$C$11</f>
        <v>0.6722192568842974</v>
      </c>
      <c r="F5" s="317">
        <f>'[8]Propuesta Población'!$N5</f>
        <v>2426.7789742188852</v>
      </c>
      <c r="G5" s="64"/>
      <c r="J5" s="137" t="s">
        <v>261</v>
      </c>
      <c r="K5" s="316">
        <f>ROUND(E5*$K$12,0)</f>
        <v>1972797</v>
      </c>
      <c r="L5" s="316">
        <f>ROUND(M5*$L$12,0)</f>
        <v>6209721</v>
      </c>
      <c r="M5" s="595">
        <f>K5/$K$11</f>
        <v>0.67221909305484995</v>
      </c>
      <c r="N5" s="317">
        <f>M5*$N$12</f>
        <v>2313.1058992017388</v>
      </c>
    </row>
    <row r="6" spans="2:14">
      <c r="B6" s="134" t="s">
        <v>49</v>
      </c>
      <c r="C6" s="316">
        <f>'[8]Propuesta Población'!K6</f>
        <v>831825</v>
      </c>
      <c r="D6" s="316">
        <f>'[8]Propuesta Población'!L6</f>
        <v>2777325.7640428334</v>
      </c>
      <c r="E6" s="606">
        <f t="shared" ref="E6:E10" si="0">+C6/$C$11</f>
        <v>0.30224343054514458</v>
      </c>
      <c r="F6" s="317">
        <f>'[8]Propuesta Población'!$N6</f>
        <v>1091.1291142452192</v>
      </c>
      <c r="G6" s="64"/>
      <c r="J6" s="134" t="s">
        <v>49</v>
      </c>
      <c r="K6" s="316">
        <f t="shared" ref="K6:K10" si="1">ROUND(E6*$K$12,0)</f>
        <v>887010</v>
      </c>
      <c r="L6" s="316">
        <f t="shared" ref="L6:L8" si="2">ROUND(M6*$L$12,0)</f>
        <v>2792018</v>
      </c>
      <c r="M6" s="595">
        <f>K6/$K$11</f>
        <v>0.30224349374547022</v>
      </c>
      <c r="N6" s="554">
        <f t="shared" ref="N6:N10" si="3">M6*$N$12</f>
        <v>1040.0198619781629</v>
      </c>
    </row>
    <row r="7" spans="2:14">
      <c r="B7" s="134" t="s">
        <v>51</v>
      </c>
      <c r="C7" s="316">
        <f>'[8]Propuesta Población'!K7</f>
        <v>58730</v>
      </c>
      <c r="D7" s="316">
        <f>'[8]Propuesta Población'!L7</f>
        <v>196089.73296334638</v>
      </c>
      <c r="E7" s="606">
        <f t="shared" si="0"/>
        <v>2.1339532565042337E-2</v>
      </c>
      <c r="F7" s="317">
        <f>'[8]Propuesta Población'!$N7</f>
        <v>77.037853971234</v>
      </c>
      <c r="G7" s="64"/>
      <c r="J7" s="134" t="s">
        <v>51</v>
      </c>
      <c r="K7" s="316">
        <f t="shared" si="1"/>
        <v>62626</v>
      </c>
      <c r="L7" s="316">
        <f t="shared" si="2"/>
        <v>197126</v>
      </c>
      <c r="M7" s="595">
        <f>K7/$K$11</f>
        <v>2.1339444920918386E-2</v>
      </c>
      <c r="N7" s="554">
        <f t="shared" si="3"/>
        <v>73.429029972880159</v>
      </c>
    </row>
    <row r="8" spans="2:14">
      <c r="B8" s="134" t="s">
        <v>56</v>
      </c>
      <c r="C8" s="316">
        <f>'[8]Propuesta Población'!K8</f>
        <v>3732</v>
      </c>
      <c r="D8" s="316">
        <f>'[8]Propuesta Población'!L8</f>
        <v>12460.529259649389</v>
      </c>
      <c r="E8" s="606">
        <f t="shared" si="0"/>
        <v>1.3560213780476416E-3</v>
      </c>
      <c r="F8" s="317">
        <f>'[8]Propuesta Población'!$N8</f>
        <v>4.8953732508197723</v>
      </c>
      <c r="G8" s="64"/>
      <c r="J8" s="134" t="s">
        <v>56</v>
      </c>
      <c r="K8" s="316">
        <f t="shared" si="1"/>
        <v>3980</v>
      </c>
      <c r="L8" s="316">
        <f t="shared" si="2"/>
        <v>12528</v>
      </c>
      <c r="M8" s="595">
        <f>K8/$K$11</f>
        <v>1.3561618303141695E-3</v>
      </c>
      <c r="N8" s="554">
        <f t="shared" si="3"/>
        <v>4.6665528581110571</v>
      </c>
    </row>
    <row r="9" spans="2:14">
      <c r="B9" s="134" t="s">
        <v>58</v>
      </c>
      <c r="C9" s="316"/>
      <c r="D9" s="316"/>
      <c r="E9" s="606"/>
      <c r="F9" s="317"/>
      <c r="G9" s="64"/>
      <c r="J9" s="134" t="s">
        <v>58</v>
      </c>
      <c r="K9" s="316"/>
      <c r="L9" s="316"/>
      <c r="M9" s="595"/>
      <c r="N9" s="554">
        <f t="shared" si="3"/>
        <v>0</v>
      </c>
    </row>
    <row r="10" spans="2:14" ht="15.75" thickBot="1">
      <c r="B10" s="253" t="s">
        <v>76</v>
      </c>
      <c r="C10" s="316">
        <f>'[8]Propuesta Población'!K10</f>
        <v>7821</v>
      </c>
      <c r="D10" s="316">
        <f>'[8]Propuesta Población'!L10</f>
        <v>26113.022331114113</v>
      </c>
      <c r="E10" s="607">
        <f t="shared" si="0"/>
        <v>2.8417586274680079E-3</v>
      </c>
      <c r="F10" s="317">
        <f>'[8]Propuesta Población'!$N10</f>
        <v>10.259033814217965</v>
      </c>
      <c r="G10" s="64"/>
      <c r="J10" s="253" t="s">
        <v>76</v>
      </c>
      <c r="K10" s="316">
        <f t="shared" si="1"/>
        <v>8340</v>
      </c>
      <c r="L10" s="316">
        <f>ROUND(M10*$L$12,0)</f>
        <v>26252</v>
      </c>
      <c r="M10" s="595">
        <f>K10/$K$11</f>
        <v>2.8418064484472799E-3</v>
      </c>
      <c r="N10" s="559">
        <f t="shared" si="3"/>
        <v>9.7786559891070901</v>
      </c>
    </row>
    <row r="11" spans="2:14" ht="15.75" thickBot="1">
      <c r="B11" s="332" t="s">
        <v>63</v>
      </c>
      <c r="C11" s="552">
        <f>SUM(C5:C10)</f>
        <v>2752169</v>
      </c>
      <c r="D11" s="552">
        <f>SUM(D5:D10)</f>
        <v>9189036</v>
      </c>
      <c r="E11" s="553">
        <f>SUM(E5:E10)</f>
        <v>1</v>
      </c>
      <c r="F11" s="561">
        <v>3261.0283244596903</v>
      </c>
      <c r="J11" s="332" t="s">
        <v>63</v>
      </c>
      <c r="K11" s="552">
        <f>SUM(K5:K10)</f>
        <v>2934753</v>
      </c>
      <c r="L11" s="552">
        <f t="shared" ref="L11:N11" si="4">SUM(L5:L10)</f>
        <v>9237645</v>
      </c>
      <c r="M11" s="560">
        <f t="shared" si="4"/>
        <v>1</v>
      </c>
      <c r="N11" s="561">
        <f t="shared" si="4"/>
        <v>3441</v>
      </c>
    </row>
    <row r="12" spans="2:14">
      <c r="C12" s="2"/>
      <c r="K12" s="161">
        <f>'[9]1.18'!$E$18</f>
        <v>2934753</v>
      </c>
      <c r="L12" s="161">
        <f>'[10]PROY VIVIENDAS'!$C$101</f>
        <v>9237645</v>
      </c>
      <c r="N12" s="106">
        <f>+'Dato de Actividad'!D44</f>
        <v>3441</v>
      </c>
    </row>
    <row r="13" spans="2:14">
      <c r="B13" s="1" t="s">
        <v>190</v>
      </c>
    </row>
    <row r="14" spans="2:14" ht="15" customHeight="1">
      <c r="B14" s="808"/>
      <c r="C14" s="808"/>
      <c r="D14" s="808"/>
      <c r="E14" s="808"/>
      <c r="F14" s="808"/>
      <c r="G14" s="808"/>
      <c r="H14" s="808"/>
      <c r="I14" s="254"/>
      <c r="J14" s="254"/>
      <c r="K14" s="254"/>
    </row>
    <row r="15" spans="2:14">
      <c r="B15" s="808"/>
      <c r="C15" s="808"/>
      <c r="D15" s="808"/>
      <c r="E15" s="808"/>
      <c r="F15" s="808"/>
      <c r="G15" s="808"/>
      <c r="H15" s="808"/>
    </row>
  </sheetData>
  <mergeCells count="1">
    <mergeCell ref="B14:H1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F88"/>
  <sheetViews>
    <sheetView showGridLines="0" zoomScale="85" zoomScaleNormal="85" workbookViewId="0">
      <selection activeCell="H26" sqref="H26"/>
    </sheetView>
  </sheetViews>
  <sheetFormatPr baseColWidth="10" defaultRowHeight="15"/>
  <cols>
    <col min="1" max="1" width="11.42578125" customWidth="1"/>
    <col min="2" max="2" width="13.7109375" customWidth="1"/>
    <col min="5" max="5" width="13.28515625" customWidth="1"/>
    <col min="6" max="6" width="13" bestFit="1" customWidth="1"/>
    <col min="7" max="7" width="14.42578125" customWidth="1"/>
    <col min="8" max="8" width="32.85546875" customWidth="1"/>
    <col min="9" max="9" width="19.42578125" customWidth="1"/>
    <col min="10" max="10" width="17.85546875" customWidth="1"/>
    <col min="11" max="11" width="30.7109375" customWidth="1"/>
    <col min="12" max="12" width="19.7109375" customWidth="1"/>
    <col min="13" max="13" width="15.5703125" customWidth="1"/>
    <col min="14" max="15" width="12.140625" customWidth="1"/>
    <col min="18" max="18" width="9.140625" customWidth="1"/>
    <col min="19" max="19" width="8.140625" customWidth="1"/>
  </cols>
  <sheetData>
    <row r="2" spans="2:32">
      <c r="B2" s="48" t="s">
        <v>129</v>
      </c>
      <c r="C2" s="48"/>
      <c r="D2" s="48"/>
      <c r="E2" s="48"/>
      <c r="F2" s="48"/>
      <c r="G2" s="48"/>
      <c r="H2" s="48"/>
    </row>
    <row r="3" spans="2:32">
      <c r="B3" s="48"/>
      <c r="C3" s="48"/>
      <c r="D3" s="48"/>
      <c r="E3" s="48"/>
      <c r="F3" s="48"/>
      <c r="G3" s="48"/>
      <c r="H3" s="48"/>
    </row>
    <row r="4" spans="2:32">
      <c r="B4" s="48"/>
      <c r="C4" s="48"/>
      <c r="D4" s="48"/>
      <c r="E4" s="48"/>
      <c r="F4" s="48"/>
      <c r="G4" s="48"/>
      <c r="H4" s="48"/>
    </row>
    <row r="5" spans="2:32">
      <c r="B5" s="48" t="s">
        <v>130</v>
      </c>
      <c r="C5" s="48"/>
      <c r="D5" s="48"/>
      <c r="E5" s="48"/>
      <c r="F5" s="48"/>
      <c r="G5" s="48"/>
      <c r="H5" s="48"/>
    </row>
    <row r="6" spans="2:32">
      <c r="B6" s="48"/>
      <c r="C6" s="48"/>
      <c r="D6" s="48"/>
      <c r="E6" s="48"/>
      <c r="F6" s="48"/>
      <c r="G6" s="48"/>
      <c r="H6" s="48"/>
    </row>
    <row r="7" spans="2:32" ht="19.5">
      <c r="B7" s="48" t="s">
        <v>131</v>
      </c>
      <c r="C7" s="48"/>
      <c r="D7" s="48"/>
      <c r="E7" s="48"/>
      <c r="F7" s="48"/>
      <c r="G7" s="48"/>
      <c r="H7" s="48"/>
    </row>
    <row r="8" spans="2:32">
      <c r="B8" s="48" t="s">
        <v>195</v>
      </c>
      <c r="C8" s="48"/>
      <c r="D8" s="48"/>
      <c r="E8" s="48"/>
      <c r="F8" s="48"/>
      <c r="G8" s="48"/>
      <c r="H8" s="48"/>
    </row>
    <row r="10" spans="2:32" ht="15" customHeight="1">
      <c r="B10" s="694" t="s">
        <v>218</v>
      </c>
      <c r="C10" s="694"/>
      <c r="D10" s="694"/>
      <c r="E10" s="694"/>
      <c r="F10" s="694"/>
      <c r="G10" s="694"/>
      <c r="H10" s="694"/>
      <c r="I10" s="694"/>
      <c r="J10" s="694"/>
      <c r="K10" s="694"/>
      <c r="M10" s="20"/>
      <c r="N10" s="20"/>
      <c r="O10" s="20"/>
      <c r="P10" s="20"/>
      <c r="Q10" s="20"/>
      <c r="R10" s="20"/>
      <c r="S10" s="20"/>
      <c r="T10" s="20"/>
      <c r="U10" s="20"/>
      <c r="V10" s="20"/>
      <c r="W10" s="20"/>
      <c r="X10" s="20"/>
      <c r="Y10" s="20"/>
      <c r="Z10" s="20"/>
      <c r="AA10" s="20"/>
      <c r="AB10" s="20"/>
      <c r="AC10" s="20"/>
      <c r="AD10" s="20"/>
      <c r="AE10" s="20"/>
      <c r="AF10" s="20"/>
    </row>
    <row r="11" spans="2:32">
      <c r="B11" s="694"/>
      <c r="C11" s="694"/>
      <c r="D11" s="694"/>
      <c r="E11" s="694"/>
      <c r="F11" s="694"/>
      <c r="G11" s="694"/>
      <c r="H11" s="694"/>
      <c r="I11" s="694"/>
      <c r="J11" s="694"/>
      <c r="K11" s="694"/>
      <c r="N11" s="20"/>
      <c r="O11" s="20"/>
      <c r="P11" s="20"/>
      <c r="Q11" s="20"/>
      <c r="R11" s="20"/>
      <c r="S11" s="20"/>
      <c r="T11" s="20"/>
      <c r="U11" s="20"/>
      <c r="V11" s="20"/>
      <c r="W11" s="20"/>
      <c r="X11" s="20"/>
      <c r="Y11" s="20"/>
      <c r="Z11" s="20"/>
      <c r="AA11" s="20"/>
      <c r="AB11" s="20"/>
      <c r="AC11" s="20"/>
      <c r="AD11" s="20"/>
      <c r="AE11" s="20"/>
      <c r="AF11" s="20"/>
    </row>
    <row r="12" spans="2:32">
      <c r="B12" s="1"/>
      <c r="C12" s="1"/>
      <c r="D12" s="1"/>
      <c r="E12" s="1"/>
      <c r="F12" s="1"/>
      <c r="G12" s="1"/>
      <c r="H12" s="1"/>
      <c r="I12" s="1"/>
      <c r="J12" s="1"/>
      <c r="K12" s="1"/>
      <c r="L12" s="20"/>
      <c r="M12" s="20"/>
      <c r="N12" s="20"/>
      <c r="O12" s="20"/>
      <c r="P12" s="20"/>
      <c r="Q12" s="20"/>
      <c r="R12" s="20"/>
      <c r="S12" s="20"/>
      <c r="T12" s="20"/>
      <c r="U12" s="20"/>
      <c r="V12" s="20"/>
      <c r="W12" s="20"/>
      <c r="X12" s="20"/>
      <c r="Y12" s="20"/>
      <c r="Z12" s="20"/>
      <c r="AA12" s="20"/>
      <c r="AB12" s="20"/>
      <c r="AC12" s="20"/>
      <c r="AD12" s="20"/>
      <c r="AE12" s="20"/>
      <c r="AF12" s="20"/>
    </row>
    <row r="13" spans="2:32">
      <c r="B13" s="698" t="s">
        <v>212</v>
      </c>
      <c r="C13" s="698"/>
      <c r="D13" s="698"/>
      <c r="E13" s="698"/>
      <c r="F13" s="698"/>
      <c r="G13" s="698"/>
      <c r="H13" s="698"/>
      <c r="I13" s="698"/>
      <c r="J13" s="698"/>
      <c r="K13" s="698"/>
      <c r="L13" s="20"/>
      <c r="M13" s="20"/>
      <c r="N13" s="20"/>
      <c r="O13" s="20"/>
      <c r="P13" s="20"/>
      <c r="Q13" s="20"/>
      <c r="R13" s="20"/>
      <c r="S13" s="20"/>
      <c r="T13" s="20"/>
      <c r="U13" s="20"/>
      <c r="V13" s="20"/>
      <c r="W13" s="20"/>
      <c r="X13" s="20"/>
      <c r="Y13" s="20"/>
      <c r="Z13" s="20"/>
      <c r="AA13" s="20"/>
      <c r="AB13" s="20"/>
      <c r="AC13" s="20"/>
      <c r="AD13" s="20"/>
      <c r="AE13" s="20"/>
      <c r="AF13" s="20"/>
    </row>
    <row r="14" spans="2:32">
      <c r="B14" s="698"/>
      <c r="C14" s="698"/>
      <c r="D14" s="698"/>
      <c r="E14" s="698"/>
      <c r="F14" s="698"/>
      <c r="G14" s="698"/>
      <c r="H14" s="698"/>
      <c r="I14" s="698"/>
      <c r="J14" s="698"/>
      <c r="K14" s="698"/>
      <c r="L14" s="20"/>
      <c r="M14" s="20"/>
      <c r="N14" s="20"/>
      <c r="O14" s="20"/>
      <c r="P14" s="20"/>
      <c r="Q14" s="20"/>
      <c r="R14" s="20"/>
      <c r="S14" s="20"/>
      <c r="T14" s="20"/>
      <c r="U14" s="20"/>
      <c r="V14" s="20"/>
      <c r="W14" s="20"/>
      <c r="X14" s="20"/>
      <c r="Y14" s="20"/>
      <c r="Z14" s="20"/>
      <c r="AA14" s="20"/>
      <c r="AB14" s="20"/>
      <c r="AC14" s="20"/>
      <c r="AD14" s="20"/>
      <c r="AE14" s="20"/>
      <c r="AF14" s="20"/>
    </row>
    <row r="15" spans="2:32">
      <c r="B15" s="1"/>
      <c r="C15" s="1"/>
      <c r="D15" s="1"/>
      <c r="E15" s="1"/>
      <c r="F15" s="1"/>
      <c r="G15" s="1"/>
      <c r="H15" s="1"/>
      <c r="I15" s="1"/>
      <c r="J15" s="1"/>
      <c r="K15" s="1"/>
      <c r="L15" s="20"/>
      <c r="M15" s="20"/>
      <c r="N15" s="20"/>
      <c r="O15" s="20"/>
      <c r="P15" s="20"/>
      <c r="Q15" s="20"/>
      <c r="R15" s="20"/>
      <c r="S15" s="20"/>
      <c r="T15" s="20"/>
      <c r="U15" s="20"/>
      <c r="V15" s="20"/>
      <c r="W15" s="20"/>
      <c r="X15" s="20"/>
      <c r="Y15" s="20"/>
      <c r="Z15" s="20"/>
      <c r="AA15" s="20"/>
      <c r="AB15" s="20"/>
      <c r="AC15" s="20"/>
      <c r="AD15" s="20"/>
      <c r="AE15" s="20"/>
      <c r="AF15" s="20"/>
    </row>
    <row r="16" spans="2:32">
      <c r="B16" s="694" t="s">
        <v>276</v>
      </c>
      <c r="C16" s="694"/>
      <c r="D16" s="694"/>
      <c r="E16" s="694"/>
      <c r="F16" s="694"/>
      <c r="G16" s="694"/>
      <c r="H16" s="694"/>
      <c r="I16" s="694"/>
      <c r="J16" s="694"/>
      <c r="K16" s="694"/>
      <c r="L16" s="20"/>
      <c r="M16" s="20"/>
      <c r="N16" s="20"/>
      <c r="O16" s="20"/>
      <c r="P16" s="20"/>
      <c r="Q16" s="20"/>
      <c r="R16" s="20"/>
      <c r="S16" s="20"/>
      <c r="T16" s="20"/>
      <c r="U16" s="20"/>
      <c r="V16" s="20"/>
      <c r="W16" s="20"/>
      <c r="X16" s="20"/>
      <c r="Y16" s="20"/>
      <c r="Z16" s="20"/>
      <c r="AA16" s="20"/>
      <c r="AB16" s="20"/>
      <c r="AC16" s="20"/>
      <c r="AD16" s="20"/>
      <c r="AE16" s="20"/>
      <c r="AF16" s="20"/>
    </row>
    <row r="17" spans="2:32">
      <c r="B17" s="694"/>
      <c r="C17" s="694"/>
      <c r="D17" s="694"/>
      <c r="E17" s="694"/>
      <c r="F17" s="694"/>
      <c r="G17" s="694"/>
      <c r="H17" s="694"/>
      <c r="I17" s="694"/>
      <c r="J17" s="694"/>
      <c r="K17" s="694"/>
      <c r="L17" s="20"/>
      <c r="M17" s="20"/>
      <c r="N17" s="20"/>
      <c r="O17" s="20"/>
      <c r="P17" s="20"/>
      <c r="Q17" s="20"/>
      <c r="R17" s="20"/>
      <c r="S17" s="20"/>
      <c r="T17" s="20"/>
      <c r="U17" s="20"/>
      <c r="V17" s="20"/>
      <c r="W17" s="20"/>
      <c r="X17" s="20"/>
      <c r="Y17" s="20"/>
      <c r="Z17" s="20"/>
      <c r="AA17" s="20"/>
      <c r="AB17" s="20"/>
      <c r="AC17" s="20"/>
      <c r="AD17" s="20"/>
      <c r="AE17" s="20"/>
      <c r="AF17" s="20"/>
    </row>
    <row r="18" spans="2:32">
      <c r="B18" s="1"/>
      <c r="C18" s="1"/>
      <c r="D18" s="1"/>
      <c r="E18" s="1"/>
      <c r="F18" s="1"/>
      <c r="G18" s="1"/>
      <c r="H18" s="1"/>
      <c r="I18" s="1"/>
      <c r="J18" s="1"/>
      <c r="K18" s="1"/>
      <c r="L18" s="20"/>
      <c r="M18" s="20"/>
      <c r="N18" s="20"/>
      <c r="O18" s="20"/>
      <c r="P18" s="20"/>
      <c r="Q18" s="20"/>
      <c r="R18" s="20"/>
      <c r="S18" s="20"/>
      <c r="T18" s="20"/>
      <c r="U18" s="20"/>
      <c r="V18" s="20"/>
      <c r="W18" s="20"/>
      <c r="X18" s="20"/>
      <c r="Y18" s="20"/>
      <c r="Z18" s="20"/>
      <c r="AA18" s="20"/>
      <c r="AB18" s="20"/>
      <c r="AC18" s="20"/>
      <c r="AD18" s="20"/>
      <c r="AE18" s="20"/>
      <c r="AF18" s="20"/>
    </row>
    <row r="19" spans="2:32">
      <c r="B19" s="1"/>
      <c r="C19" s="1"/>
      <c r="D19" s="1"/>
      <c r="E19" s="1"/>
      <c r="F19" s="1"/>
      <c r="G19" s="1"/>
      <c r="H19" s="1"/>
      <c r="I19" s="1"/>
      <c r="J19" s="1"/>
      <c r="K19" s="1"/>
      <c r="L19" s="20"/>
      <c r="M19" s="20"/>
      <c r="N19" s="20"/>
      <c r="O19" s="20"/>
      <c r="P19" s="20"/>
      <c r="Q19" s="20"/>
      <c r="R19" s="20"/>
      <c r="S19" s="20"/>
      <c r="T19" s="20"/>
      <c r="U19" s="20"/>
      <c r="V19" s="20"/>
      <c r="W19" s="20"/>
      <c r="X19" s="20"/>
      <c r="Y19" s="20"/>
      <c r="Z19" s="20"/>
      <c r="AA19" s="20"/>
      <c r="AB19" s="20"/>
      <c r="AC19" s="20"/>
      <c r="AD19" s="20"/>
      <c r="AE19" s="20"/>
      <c r="AF19" s="20"/>
    </row>
    <row r="20" spans="2:32">
      <c r="B20" s="1" t="s">
        <v>64</v>
      </c>
      <c r="E20" s="75" t="s">
        <v>98</v>
      </c>
      <c r="F20" s="48">
        <v>1000</v>
      </c>
      <c r="G20" s="48" t="s">
        <v>97</v>
      </c>
      <c r="H20" s="236" t="s">
        <v>171</v>
      </c>
      <c r="I20" s="237">
        <v>9.9999999999999995E-7</v>
      </c>
      <c r="J20" s="48" t="s">
        <v>147</v>
      </c>
      <c r="K20" s="236" t="s">
        <v>171</v>
      </c>
      <c r="L20" s="237">
        <v>1E-3</v>
      </c>
      <c r="M20" s="48" t="s">
        <v>97</v>
      </c>
      <c r="N20" s="20"/>
      <c r="O20" s="20"/>
      <c r="P20" s="20"/>
      <c r="Q20" s="20"/>
      <c r="R20" s="20"/>
      <c r="S20" s="20"/>
      <c r="T20" s="20"/>
      <c r="U20" s="20"/>
      <c r="V20" s="20"/>
      <c r="W20" s="20"/>
      <c r="X20" s="20"/>
      <c r="Y20" s="20"/>
      <c r="Z20" s="20"/>
      <c r="AA20" s="20"/>
      <c r="AB20" s="20"/>
      <c r="AC20" s="20"/>
      <c r="AD20" s="20"/>
      <c r="AE20" s="20"/>
      <c r="AF20" s="20"/>
    </row>
    <row r="21" spans="2:32">
      <c r="B21" s="28"/>
      <c r="C21" s="27"/>
      <c r="D21" s="27"/>
      <c r="I21" s="20"/>
      <c r="J21" s="1"/>
      <c r="K21" s="1"/>
      <c r="L21" s="20"/>
      <c r="M21" s="20"/>
      <c r="N21" s="20"/>
      <c r="O21" s="20"/>
      <c r="P21" s="20"/>
      <c r="Q21" s="20"/>
      <c r="R21" s="20"/>
      <c r="S21" s="20"/>
      <c r="T21" s="20"/>
      <c r="U21" s="20"/>
      <c r="V21" s="20"/>
      <c r="W21" s="20"/>
      <c r="X21" s="20"/>
      <c r="Y21" s="20"/>
      <c r="Z21" s="20"/>
      <c r="AA21" s="20"/>
      <c r="AB21" s="20"/>
      <c r="AC21" s="20"/>
      <c r="AD21" s="20"/>
      <c r="AE21" s="20"/>
      <c r="AF21" s="20"/>
    </row>
    <row r="22" spans="2:32">
      <c r="B22" s="695" t="s">
        <v>280</v>
      </c>
      <c r="C22" s="43" t="s">
        <v>65</v>
      </c>
      <c r="D22" s="24" t="s">
        <v>66</v>
      </c>
      <c r="E22" s="24" t="s">
        <v>110</v>
      </c>
      <c r="F22" s="111" t="s">
        <v>125</v>
      </c>
      <c r="H22" s="110"/>
      <c r="I22" s="109"/>
      <c r="J22" s="20"/>
      <c r="K22" s="20"/>
      <c r="L22" s="20"/>
      <c r="M22" s="20"/>
      <c r="N22" s="20"/>
      <c r="O22" s="20"/>
      <c r="P22" s="20"/>
      <c r="Q22" s="20"/>
      <c r="R22" s="20"/>
      <c r="S22" s="20"/>
      <c r="T22" s="20"/>
      <c r="U22" s="20"/>
      <c r="V22" s="20"/>
      <c r="W22" s="20"/>
      <c r="X22" s="20"/>
      <c r="Y22" s="20"/>
      <c r="Z22" s="20"/>
      <c r="AA22" s="20"/>
      <c r="AB22" s="20"/>
      <c r="AC22" s="20"/>
      <c r="AD22" s="20"/>
      <c r="AE22" s="20"/>
      <c r="AF22" s="20"/>
    </row>
    <row r="23" spans="2:32" ht="27" customHeight="1">
      <c r="B23" s="695"/>
      <c r="C23" s="496">
        <f>[1]GEI_eléctrico!G27*$F$20</f>
        <v>471.71582953898684</v>
      </c>
      <c r="D23" s="496">
        <f>[1]GEI_eléctrico!H27*$F$20</f>
        <v>9.4556772908366525E-3</v>
      </c>
      <c r="E23" s="496">
        <f>[1]GEI_eléctrico!I27*$F$20</f>
        <v>1.1326622083096187E-3</v>
      </c>
      <c r="F23" s="495">
        <f>[1]FactoresEE!$W$16/I20</f>
        <v>7.2264613850171145E-3</v>
      </c>
      <c r="G23" s="298"/>
      <c r="H23" s="298"/>
      <c r="I23" s="298"/>
      <c r="J23" s="20"/>
      <c r="K23" s="20"/>
      <c r="L23" s="20"/>
      <c r="M23" s="20"/>
      <c r="N23" s="20"/>
      <c r="O23" s="20"/>
      <c r="P23" s="20"/>
      <c r="Q23" s="20"/>
      <c r="R23" s="20"/>
      <c r="S23" s="20"/>
      <c r="T23" s="20"/>
      <c r="U23" s="20"/>
      <c r="V23" s="20"/>
      <c r="W23" s="20"/>
      <c r="X23" s="20"/>
      <c r="Y23" s="20"/>
      <c r="Z23" s="20"/>
      <c r="AA23" s="20"/>
      <c r="AB23" s="20"/>
      <c r="AC23" s="20"/>
      <c r="AD23" s="20"/>
      <c r="AE23" s="20"/>
      <c r="AF23" s="20"/>
    </row>
    <row r="24" spans="2:32">
      <c r="C24" s="27"/>
      <c r="F24" s="298"/>
      <c r="J24" s="20"/>
      <c r="K24" s="20"/>
      <c r="L24" s="20"/>
      <c r="M24" s="20"/>
      <c r="N24" s="20"/>
      <c r="O24" s="20"/>
      <c r="P24" s="20"/>
      <c r="Q24" s="20"/>
      <c r="R24" s="20"/>
      <c r="S24" s="20"/>
      <c r="T24" s="20"/>
      <c r="U24" s="20"/>
      <c r="V24" s="20"/>
      <c r="W24" s="20"/>
      <c r="X24" s="20"/>
      <c r="Y24" s="20"/>
      <c r="Z24" s="20"/>
      <c r="AA24" s="20"/>
      <c r="AB24" s="20"/>
      <c r="AC24" s="20"/>
      <c r="AD24" s="20"/>
      <c r="AE24" s="20"/>
      <c r="AF24" s="20"/>
    </row>
    <row r="25" spans="2:32">
      <c r="B25" s="44" t="s">
        <v>132</v>
      </c>
      <c r="E25" s="256"/>
      <c r="F25" s="256"/>
      <c r="G25" s="256"/>
      <c r="H25" s="256"/>
      <c r="I25" s="256"/>
      <c r="J25" s="256"/>
      <c r="K25" s="20"/>
      <c r="L25" s="20"/>
      <c r="M25" s="20"/>
      <c r="N25" s="20"/>
      <c r="O25" s="20"/>
      <c r="P25" s="20"/>
      <c r="Q25" s="20"/>
      <c r="R25" s="20"/>
      <c r="S25" s="20"/>
      <c r="T25" s="20"/>
      <c r="U25" s="20"/>
      <c r="V25" s="20"/>
      <c r="W25" s="20"/>
      <c r="X25" s="20"/>
      <c r="Y25" s="20"/>
      <c r="Z25" s="20"/>
      <c r="AA25" s="20"/>
      <c r="AB25" s="20"/>
      <c r="AC25" s="20"/>
      <c r="AD25" s="20"/>
      <c r="AE25" s="20"/>
      <c r="AF25" s="20"/>
    </row>
    <row r="26" spans="2:32">
      <c r="M26" s="20"/>
      <c r="N26" s="20"/>
      <c r="O26" s="20"/>
      <c r="P26" s="20"/>
      <c r="Q26" s="20"/>
      <c r="R26" s="20"/>
      <c r="S26" s="20"/>
      <c r="T26" s="20"/>
      <c r="U26" s="20"/>
      <c r="V26" s="20"/>
      <c r="W26" s="20"/>
      <c r="X26" s="20"/>
      <c r="Y26" s="20"/>
      <c r="Z26" s="20"/>
      <c r="AA26" s="20"/>
      <c r="AB26" s="20"/>
      <c r="AC26" s="20"/>
      <c r="AD26" s="20"/>
      <c r="AE26" s="20"/>
      <c r="AF26" s="20"/>
    </row>
    <row r="27" spans="2:32">
      <c r="G27" s="60"/>
      <c r="H27" s="105"/>
      <c r="I27" s="91"/>
      <c r="J27" s="61"/>
      <c r="K27" s="73"/>
      <c r="L27" s="73"/>
      <c r="M27" s="20"/>
      <c r="N27" s="20"/>
      <c r="O27" s="20"/>
      <c r="P27" s="20"/>
      <c r="Q27" s="20"/>
      <c r="R27" s="20"/>
      <c r="S27" s="20"/>
      <c r="T27" s="20"/>
      <c r="U27" s="20"/>
      <c r="V27" s="20"/>
      <c r="W27" s="20"/>
      <c r="X27" s="20"/>
      <c r="Y27" s="20"/>
      <c r="Z27" s="20"/>
      <c r="AA27" s="20"/>
      <c r="AB27" s="20"/>
      <c r="AC27" s="20"/>
      <c r="AD27" s="20"/>
      <c r="AE27" s="20"/>
      <c r="AF27" s="20"/>
    </row>
    <row r="28" spans="2:32">
      <c r="H28" s="72"/>
      <c r="I28" s="106"/>
      <c r="K28" s="73"/>
      <c r="L28" s="73"/>
      <c r="M28" s="20"/>
      <c r="N28" s="20"/>
      <c r="O28" s="20"/>
      <c r="P28" s="20"/>
      <c r="Q28" s="20"/>
      <c r="R28" s="20"/>
      <c r="S28" s="20"/>
      <c r="T28" s="20"/>
      <c r="U28" s="20"/>
      <c r="V28" s="20"/>
      <c r="W28" s="20"/>
      <c r="X28" s="20"/>
      <c r="Y28" s="20"/>
      <c r="Z28" s="20"/>
      <c r="AA28" s="20"/>
      <c r="AB28" s="20"/>
      <c r="AC28" s="20"/>
      <c r="AD28" s="20"/>
      <c r="AE28" s="20"/>
      <c r="AF28" s="20"/>
    </row>
    <row r="29" spans="2:32">
      <c r="H29" s="72"/>
      <c r="I29" s="107"/>
      <c r="J29" s="72"/>
      <c r="K29" s="72"/>
      <c r="L29" s="72"/>
      <c r="M29" s="20"/>
      <c r="N29" s="20"/>
      <c r="O29" s="20"/>
      <c r="P29" s="20"/>
      <c r="Q29" s="20"/>
      <c r="R29" s="20"/>
      <c r="S29" s="20"/>
      <c r="T29" s="20"/>
      <c r="U29" s="20"/>
      <c r="V29" s="20"/>
      <c r="W29" s="20"/>
      <c r="X29" s="20"/>
      <c r="Y29" s="20"/>
      <c r="Z29" s="20"/>
      <c r="AA29" s="20"/>
      <c r="AB29" s="20"/>
      <c r="AC29" s="20"/>
      <c r="AD29" s="20"/>
      <c r="AE29" s="20"/>
      <c r="AF29" s="20"/>
    </row>
    <row r="30" spans="2:32">
      <c r="H30" s="91"/>
      <c r="I30" s="107"/>
      <c r="J30" s="72"/>
      <c r="K30" s="72"/>
      <c r="L30" s="72"/>
      <c r="M30" s="20"/>
      <c r="N30" s="20"/>
      <c r="O30" s="20"/>
      <c r="P30" s="20"/>
      <c r="Q30" s="20"/>
      <c r="R30" s="20"/>
      <c r="S30" s="20"/>
      <c r="T30" s="20"/>
      <c r="U30" s="20"/>
      <c r="V30" s="20"/>
      <c r="W30" s="20"/>
      <c r="X30" s="20"/>
      <c r="Y30" s="20"/>
      <c r="Z30" s="20"/>
      <c r="AA30" s="20"/>
      <c r="AB30" s="20"/>
      <c r="AC30" s="20"/>
      <c r="AD30" s="20"/>
      <c r="AE30" s="20"/>
      <c r="AF30" s="20"/>
    </row>
    <row r="31" spans="2:32">
      <c r="H31" s="91"/>
      <c r="I31" s="72"/>
      <c r="J31" s="72"/>
      <c r="K31" s="72"/>
      <c r="L31" s="72"/>
      <c r="M31" s="20"/>
      <c r="N31" s="20"/>
      <c r="O31" s="20"/>
      <c r="P31" s="20"/>
      <c r="Q31" s="20"/>
      <c r="R31" s="20"/>
      <c r="S31" s="20"/>
      <c r="T31" s="20"/>
      <c r="U31" s="20"/>
      <c r="V31" s="20"/>
      <c r="W31" s="20"/>
      <c r="X31" s="20"/>
      <c r="Y31" s="20"/>
      <c r="Z31" s="20"/>
      <c r="AA31" s="20"/>
      <c r="AB31" s="20"/>
      <c r="AC31" s="20"/>
      <c r="AD31" s="20"/>
      <c r="AE31" s="20"/>
      <c r="AF31" s="20"/>
    </row>
    <row r="32" spans="2:32">
      <c r="B32" s="697"/>
      <c r="C32" s="697"/>
      <c r="D32" s="697"/>
      <c r="E32" s="697"/>
      <c r="F32" s="697"/>
      <c r="G32" s="697"/>
      <c r="H32" s="697"/>
      <c r="I32" s="697"/>
      <c r="J32" s="697"/>
      <c r="K32" s="697"/>
      <c r="L32" s="697"/>
      <c r="M32" s="20"/>
      <c r="N32" s="20"/>
      <c r="O32" s="20"/>
      <c r="P32" s="20"/>
      <c r="Q32" s="20"/>
      <c r="R32" s="20"/>
      <c r="S32" s="20"/>
      <c r="T32" s="20"/>
      <c r="U32" s="20"/>
      <c r="V32" s="20"/>
      <c r="W32" s="20"/>
      <c r="X32" s="20"/>
      <c r="Y32" s="20"/>
      <c r="Z32" s="20"/>
      <c r="AA32" s="20"/>
      <c r="AB32" s="20"/>
      <c r="AC32" s="20"/>
      <c r="AD32" s="20"/>
      <c r="AE32" s="20"/>
      <c r="AF32" s="20"/>
    </row>
    <row r="33" spans="1:32">
      <c r="B33" s="697"/>
      <c r="C33" s="697"/>
      <c r="D33" s="697"/>
      <c r="E33" s="697"/>
      <c r="F33" s="697"/>
      <c r="G33" s="697"/>
      <c r="H33" s="697"/>
      <c r="I33" s="697"/>
      <c r="J33" s="697"/>
      <c r="K33" s="697"/>
      <c r="L33" s="697"/>
      <c r="M33" s="20"/>
      <c r="N33" s="20"/>
      <c r="O33" s="20"/>
      <c r="P33" s="20"/>
      <c r="Q33" s="20"/>
      <c r="R33" s="20"/>
      <c r="S33" s="20"/>
      <c r="T33" s="20"/>
      <c r="U33" s="20"/>
      <c r="V33" s="20"/>
      <c r="W33" s="20"/>
      <c r="X33" s="20"/>
      <c r="Y33" s="20"/>
      <c r="Z33" s="20"/>
      <c r="AA33" s="20"/>
      <c r="AB33" s="20"/>
      <c r="AC33" s="20"/>
      <c r="AD33" s="20"/>
      <c r="AE33" s="20"/>
      <c r="AF33" s="20"/>
    </row>
    <row r="34" spans="1:32">
      <c r="B34" s="697"/>
      <c r="C34" s="697"/>
      <c r="D34" s="697"/>
      <c r="E34" s="697"/>
      <c r="F34" s="697"/>
      <c r="G34" s="697"/>
      <c r="H34" s="697"/>
      <c r="I34" s="697"/>
      <c r="J34" s="697"/>
      <c r="K34" s="697"/>
      <c r="L34" s="697"/>
      <c r="M34" s="20"/>
      <c r="N34" s="20"/>
      <c r="O34" s="20"/>
      <c r="P34" s="20"/>
      <c r="Q34" s="20"/>
      <c r="R34" s="20"/>
      <c r="S34" s="20"/>
      <c r="T34" s="20"/>
      <c r="U34" s="20"/>
      <c r="V34" s="20"/>
      <c r="W34" s="20"/>
      <c r="X34" s="20"/>
      <c r="Y34" s="20"/>
      <c r="Z34" s="20"/>
      <c r="AA34" s="20"/>
      <c r="AB34" s="20"/>
      <c r="AC34" s="20"/>
      <c r="AD34" s="20"/>
      <c r="AE34" s="20"/>
      <c r="AF34" s="20"/>
    </row>
    <row r="40" spans="1:32">
      <c r="Q40" s="59"/>
    </row>
    <row r="42" spans="1:32" ht="21" customHeight="1"/>
    <row r="47" spans="1:32">
      <c r="A47" s="7"/>
      <c r="B47" s="34"/>
      <c r="C47" s="29"/>
      <c r="D47" s="29"/>
      <c r="E47" s="29"/>
      <c r="F47" s="29"/>
      <c r="G47" s="29"/>
      <c r="H47" s="29"/>
      <c r="I47" s="29"/>
      <c r="J47" s="29"/>
      <c r="K47" s="29"/>
      <c r="L47" s="29"/>
      <c r="M47" s="29"/>
      <c r="N47" s="29"/>
      <c r="O47" s="29"/>
    </row>
    <row r="48" spans="1:32" ht="15" customHeight="1">
      <c r="A48" s="7"/>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ht="15" customHeight="1">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ht="18.75" customHeight="1">
      <c r="U50" s="20"/>
      <c r="V50" s="20"/>
      <c r="W50" s="20"/>
      <c r="X50" s="20"/>
      <c r="Y50" s="20"/>
      <c r="Z50" s="20"/>
      <c r="AA50" s="20"/>
      <c r="AB50" s="20"/>
      <c r="AC50" s="20"/>
      <c r="AD50" s="20"/>
      <c r="AE50" s="20"/>
      <c r="AF50" s="20"/>
    </row>
    <row r="51" spans="1:32" ht="22.5" customHeight="1">
      <c r="U51" s="20"/>
      <c r="V51" s="20"/>
      <c r="W51" s="20"/>
      <c r="X51" s="20"/>
      <c r="Y51" s="20"/>
      <c r="Z51" s="20"/>
      <c r="AA51" s="20"/>
      <c r="AB51" s="20"/>
      <c r="AC51" s="20"/>
      <c r="AD51" s="20"/>
      <c r="AE51" s="20"/>
      <c r="AF51" s="20"/>
    </row>
    <row r="53" spans="1:32">
      <c r="B53" s="21"/>
      <c r="C53" s="21"/>
    </row>
    <row r="56" spans="1:32">
      <c r="F56" s="31"/>
      <c r="G56" s="30"/>
      <c r="H56" s="30"/>
    </row>
    <row r="57" spans="1:32">
      <c r="F57" s="32"/>
      <c r="G57" s="30"/>
      <c r="H57" s="33"/>
    </row>
    <row r="58" spans="1:32">
      <c r="F58" s="14"/>
    </row>
    <row r="59" spans="1:32">
      <c r="F59" s="14"/>
    </row>
    <row r="60" spans="1:32">
      <c r="F60" s="14"/>
    </row>
    <row r="61" spans="1:32" ht="16.5" customHeight="1">
      <c r="C61" s="12"/>
      <c r="D61" s="12"/>
      <c r="E61" s="12"/>
      <c r="F61" s="15"/>
      <c r="G61" s="12"/>
      <c r="H61" s="12"/>
    </row>
    <row r="62" spans="1:32">
      <c r="C62" s="12"/>
      <c r="D62" s="12"/>
      <c r="E62" s="12"/>
      <c r="F62" s="15"/>
      <c r="G62" s="12"/>
      <c r="H62" s="12"/>
    </row>
    <row r="63" spans="1:32">
      <c r="F63" s="16"/>
    </row>
    <row r="64" spans="1:32">
      <c r="A64" s="7"/>
      <c r="C64" s="10"/>
      <c r="F64" s="16"/>
    </row>
    <row r="65" spans="1:8">
      <c r="C65" s="10"/>
      <c r="F65" s="16"/>
    </row>
    <row r="66" spans="1:8">
      <c r="F66" s="16"/>
    </row>
    <row r="67" spans="1:8">
      <c r="F67" s="16"/>
    </row>
    <row r="68" spans="1:8">
      <c r="F68" s="16"/>
    </row>
    <row r="77" spans="1:8">
      <c r="B77" s="696"/>
      <c r="C77" s="696"/>
      <c r="D77" s="696"/>
      <c r="E77" s="696"/>
      <c r="F77" s="696"/>
      <c r="G77" s="696"/>
      <c r="H77" s="696"/>
    </row>
    <row r="78" spans="1:8">
      <c r="A78" s="7"/>
      <c r="B78" s="696"/>
      <c r="C78" s="696"/>
      <c r="D78" s="696"/>
      <c r="E78" s="696"/>
      <c r="F78" s="696"/>
      <c r="G78" s="696"/>
      <c r="H78" s="696"/>
    </row>
    <row r="88" spans="2:2">
      <c r="B88" s="11"/>
    </row>
  </sheetData>
  <mergeCells count="6">
    <mergeCell ref="B10:K11"/>
    <mergeCell ref="B22:B23"/>
    <mergeCell ref="B77:H78"/>
    <mergeCell ref="B32:L34"/>
    <mergeCell ref="B13:K14"/>
    <mergeCell ref="B16:K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5"/>
  <sheetViews>
    <sheetView showGridLines="0" topLeftCell="A53" zoomScale="70" zoomScaleNormal="70" workbookViewId="0">
      <selection activeCell="J83" sqref="J83"/>
    </sheetView>
  </sheetViews>
  <sheetFormatPr baseColWidth="10" defaultRowHeight="15"/>
  <cols>
    <col min="2" max="2" width="28.28515625" customWidth="1"/>
    <col min="3" max="3" width="28.7109375" customWidth="1"/>
    <col min="4" max="4" width="24.7109375" customWidth="1"/>
    <col min="5" max="5" width="15.28515625" bestFit="1" customWidth="1"/>
    <col min="7" max="7" width="21" customWidth="1"/>
    <col min="8" max="8" width="25.28515625" customWidth="1"/>
    <col min="9" max="9" width="24.85546875" customWidth="1"/>
    <col min="10" max="10" width="18.28515625" bestFit="1" customWidth="1"/>
    <col min="11" max="11" width="13.28515625" customWidth="1"/>
    <col min="12" max="12" width="15" bestFit="1" customWidth="1"/>
    <col min="15" max="15" width="16.7109375" bestFit="1" customWidth="1"/>
    <col min="16" max="16" width="19.140625" customWidth="1"/>
    <col min="17" max="17" width="15.85546875" customWidth="1"/>
    <col min="18" max="18" width="22.85546875" customWidth="1"/>
    <col min="20" max="20" width="13.85546875" customWidth="1"/>
    <col min="21" max="21" width="19.42578125" customWidth="1"/>
    <col min="22" max="22" width="16.5703125" customWidth="1"/>
    <col min="23" max="23" width="17.42578125" customWidth="1"/>
  </cols>
  <sheetData>
    <row r="1" spans="1:22" ht="15" customHeight="1">
      <c r="A1" s="48"/>
      <c r="B1" s="48"/>
      <c r="C1" s="48"/>
      <c r="D1" s="48"/>
      <c r="E1" s="305"/>
      <c r="F1" s="305"/>
      <c r="G1" s="305"/>
      <c r="H1" s="305"/>
      <c r="I1" s="305"/>
      <c r="J1" s="305"/>
      <c r="K1" s="48"/>
      <c r="L1" s="48"/>
      <c r="M1" s="48"/>
      <c r="N1" s="48"/>
      <c r="O1" s="48"/>
      <c r="P1" s="48"/>
      <c r="R1" s="732"/>
      <c r="S1" s="732"/>
      <c r="T1" s="732"/>
    </row>
    <row r="2" spans="1:22" ht="15.75" thickBot="1">
      <c r="A2" s="48"/>
      <c r="B2" s="396" t="s">
        <v>139</v>
      </c>
      <c r="C2" s="48"/>
      <c r="D2" s="48"/>
      <c r="E2" s="48"/>
      <c r="F2" s="48"/>
      <c r="G2" s="48"/>
      <c r="H2" s="48"/>
      <c r="I2" s="48"/>
      <c r="J2" s="48"/>
      <c r="K2" s="48"/>
      <c r="L2" s="48"/>
      <c r="M2" s="48"/>
      <c r="N2" s="48"/>
      <c r="O2" s="48"/>
      <c r="P2" s="48"/>
      <c r="R2" s="732"/>
      <c r="S2" s="732"/>
      <c r="T2" s="732"/>
    </row>
    <row r="3" spans="1:22">
      <c r="A3" s="48"/>
      <c r="B3" s="714" t="s">
        <v>82</v>
      </c>
      <c r="C3" s="715"/>
      <c r="D3" s="715"/>
      <c r="E3" s="715"/>
      <c r="F3" s="715"/>
      <c r="G3" s="715"/>
      <c r="H3" s="715"/>
      <c r="I3" s="715"/>
      <c r="J3" s="715"/>
      <c r="K3" s="715"/>
      <c r="L3" s="715"/>
      <c r="M3" s="715"/>
      <c r="N3" s="716"/>
      <c r="O3" s="126"/>
      <c r="P3" s="138"/>
      <c r="R3" s="732"/>
      <c r="S3" s="732"/>
      <c r="T3" s="732"/>
    </row>
    <row r="4" spans="1:22">
      <c r="A4" s="48"/>
      <c r="B4" s="717" t="s">
        <v>83</v>
      </c>
      <c r="C4" s="718"/>
      <c r="D4" s="718"/>
      <c r="E4" s="718"/>
      <c r="F4" s="718"/>
      <c r="G4" s="718"/>
      <c r="H4" s="718"/>
      <c r="I4" s="718"/>
      <c r="J4" s="718"/>
      <c r="K4" s="718"/>
      <c r="L4" s="718"/>
      <c r="M4" s="718"/>
      <c r="N4" s="719"/>
      <c r="O4" s="127"/>
      <c r="P4" s="139"/>
      <c r="R4" s="732"/>
      <c r="S4" s="732"/>
      <c r="T4" s="732"/>
    </row>
    <row r="5" spans="1:22" ht="21.75" customHeight="1">
      <c r="A5" s="48"/>
      <c r="B5" s="720" t="s">
        <v>85</v>
      </c>
      <c r="C5" s="721"/>
      <c r="D5" s="721"/>
      <c r="E5" s="721"/>
      <c r="F5" s="721"/>
      <c r="G5" s="721"/>
      <c r="H5" s="721"/>
      <c r="I5" s="721"/>
      <c r="J5" s="721"/>
      <c r="K5" s="721"/>
      <c r="L5" s="721"/>
      <c r="M5" s="721"/>
      <c r="N5" s="722"/>
      <c r="O5" s="128"/>
      <c r="P5" s="139"/>
      <c r="R5" s="732"/>
      <c r="S5" s="732"/>
      <c r="T5" s="732"/>
    </row>
    <row r="6" spans="1:22" ht="15.75" thickBot="1">
      <c r="A6" s="48"/>
      <c r="B6" s="733" t="s">
        <v>86</v>
      </c>
      <c r="C6" s="734"/>
      <c r="D6" s="734"/>
      <c r="E6" s="734"/>
      <c r="F6" s="734"/>
      <c r="G6" s="734"/>
      <c r="H6" s="734"/>
      <c r="I6" s="734"/>
      <c r="J6" s="734"/>
      <c r="K6" s="734"/>
      <c r="L6" s="734"/>
      <c r="M6" s="734"/>
      <c r="N6" s="735"/>
      <c r="O6" s="129"/>
      <c r="P6" s="140"/>
    </row>
    <row r="7" spans="1:22" ht="15.75" thickBot="1">
      <c r="A7" s="48"/>
      <c r="B7" s="53"/>
      <c r="C7" s="29" t="s">
        <v>87</v>
      </c>
      <c r="D7" s="29" t="s">
        <v>88</v>
      </c>
      <c r="E7" s="29" t="s">
        <v>88</v>
      </c>
      <c r="F7" s="29" t="s">
        <v>88</v>
      </c>
      <c r="G7" s="29" t="s">
        <v>88</v>
      </c>
      <c r="H7" s="29" t="s">
        <v>88</v>
      </c>
      <c r="I7" s="29" t="s">
        <v>88</v>
      </c>
      <c r="J7" s="29" t="s">
        <v>88</v>
      </c>
      <c r="K7" s="29" t="s">
        <v>88</v>
      </c>
      <c r="L7" s="29" t="s">
        <v>88</v>
      </c>
      <c r="M7" s="29" t="s">
        <v>88</v>
      </c>
      <c r="N7" s="95" t="s">
        <v>88</v>
      </c>
      <c r="O7" s="280" t="s">
        <v>68</v>
      </c>
      <c r="P7" s="281" t="s">
        <v>73</v>
      </c>
      <c r="R7" s="351"/>
      <c r="U7" s="732"/>
      <c r="V7" s="732"/>
    </row>
    <row r="8" spans="1:22" ht="15.75" thickBot="1">
      <c r="A8" s="48"/>
      <c r="B8" s="263"/>
      <c r="C8" s="258">
        <v>44562</v>
      </c>
      <c r="D8" s="258">
        <v>44593</v>
      </c>
      <c r="E8" s="258">
        <v>44621</v>
      </c>
      <c r="F8" s="258">
        <v>44652</v>
      </c>
      <c r="G8" s="258">
        <v>44682</v>
      </c>
      <c r="H8" s="258">
        <v>44713</v>
      </c>
      <c r="I8" s="258">
        <v>44743</v>
      </c>
      <c r="J8" s="258">
        <v>44774</v>
      </c>
      <c r="K8" s="258">
        <v>44805</v>
      </c>
      <c r="L8" s="258">
        <v>44835</v>
      </c>
      <c r="M8" s="258">
        <v>44866</v>
      </c>
      <c r="N8" s="258">
        <v>44896</v>
      </c>
      <c r="O8" s="279" t="s">
        <v>281</v>
      </c>
      <c r="P8" s="282" t="s">
        <v>281</v>
      </c>
      <c r="Q8" s="589"/>
      <c r="R8" s="352"/>
      <c r="S8" s="29"/>
      <c r="U8" s="732"/>
      <c r="V8" s="732"/>
    </row>
    <row r="9" spans="1:22">
      <c r="A9" s="48"/>
      <c r="B9" s="53"/>
      <c r="C9" s="29"/>
      <c r="D9" s="29"/>
      <c r="E9" s="29"/>
      <c r="F9" s="29"/>
      <c r="G9" s="29"/>
      <c r="H9" s="29"/>
      <c r="I9" s="29"/>
      <c r="J9" s="29"/>
      <c r="K9" s="29"/>
      <c r="L9" s="29"/>
      <c r="M9" s="29"/>
      <c r="N9" s="54"/>
      <c r="O9" s="53"/>
      <c r="P9" s="274"/>
      <c r="R9" s="353"/>
      <c r="U9" s="732"/>
      <c r="V9" s="732"/>
    </row>
    <row r="10" spans="1:22">
      <c r="A10" s="48"/>
      <c r="B10" s="278" t="s">
        <v>208</v>
      </c>
      <c r="C10" s="747" t="s">
        <v>249</v>
      </c>
      <c r="D10" s="747"/>
      <c r="E10" s="747"/>
      <c r="F10" s="747"/>
      <c r="G10" s="747"/>
      <c r="H10" s="747"/>
      <c r="I10" s="747"/>
      <c r="J10" s="747"/>
      <c r="K10" s="747"/>
      <c r="L10" s="747"/>
      <c r="M10" s="747"/>
      <c r="N10" s="748"/>
      <c r="O10" s="310">
        <f>[2]CDMX!$J$26</f>
        <v>11877000</v>
      </c>
      <c r="P10" s="311">
        <f>O10/1000</f>
        <v>11877</v>
      </c>
      <c r="Q10" s="109"/>
      <c r="R10" s="74"/>
      <c r="U10" s="732"/>
      <c r="V10" s="732"/>
    </row>
    <row r="11" spans="1:22">
      <c r="A11" s="48"/>
      <c r="B11" s="278" t="s">
        <v>89</v>
      </c>
      <c r="C11" s="747"/>
      <c r="D11" s="747"/>
      <c r="E11" s="747"/>
      <c r="F11" s="747"/>
      <c r="G11" s="747"/>
      <c r="H11" s="747"/>
      <c r="I11" s="747"/>
      <c r="J11" s="747"/>
      <c r="K11" s="747"/>
      <c r="L11" s="747"/>
      <c r="M11" s="747"/>
      <c r="N11" s="748"/>
      <c r="O11" s="310">
        <f>'[3]id-418'!$C$27</f>
        <v>16914600</v>
      </c>
      <c r="P11" s="311">
        <f>O11/1000</f>
        <v>16914.599999999999</v>
      </c>
      <c r="R11" s="351"/>
    </row>
    <row r="12" spans="1:22">
      <c r="A12" s="48"/>
      <c r="B12" s="53" t="s">
        <v>203</v>
      </c>
      <c r="C12" s="747"/>
      <c r="D12" s="747"/>
      <c r="E12" s="747"/>
      <c r="F12" s="747"/>
      <c r="G12" s="747"/>
      <c r="H12" s="747"/>
      <c r="I12" s="747"/>
      <c r="J12" s="747"/>
      <c r="K12" s="747"/>
      <c r="L12" s="747"/>
      <c r="M12" s="747"/>
      <c r="N12" s="748"/>
      <c r="O12" s="312">
        <f>'[3]id-418'!$C$25</f>
        <v>3592100</v>
      </c>
      <c r="P12" s="311">
        <f>O12/1000</f>
        <v>3592.1</v>
      </c>
      <c r="R12" s="352"/>
      <c r="U12" s="27"/>
      <c r="V12" s="27"/>
    </row>
    <row r="13" spans="1:22" ht="15.75" thickBot="1">
      <c r="A13" s="48"/>
      <c r="B13" s="652" t="s">
        <v>313</v>
      </c>
      <c r="C13" s="264"/>
      <c r="D13" s="264"/>
      <c r="E13" s="264"/>
      <c r="F13" s="264"/>
      <c r="G13" s="264"/>
      <c r="H13" s="264"/>
      <c r="I13" s="264"/>
      <c r="J13" s="264"/>
      <c r="K13" s="264"/>
      <c r="L13" s="264"/>
      <c r="M13" s="264"/>
      <c r="N13" s="265"/>
      <c r="O13" s="266"/>
      <c r="P13" s="350"/>
    </row>
    <row r="14" spans="1:22">
      <c r="A14" s="48"/>
      <c r="B14" s="48"/>
      <c r="C14" s="48"/>
      <c r="D14" s="48"/>
      <c r="E14" s="48"/>
      <c r="F14" s="48"/>
      <c r="G14" s="48"/>
      <c r="H14" s="48"/>
      <c r="I14" s="48"/>
      <c r="J14" s="48"/>
      <c r="K14" s="48"/>
      <c r="L14" s="48"/>
      <c r="M14" s="48"/>
      <c r="N14" s="48"/>
      <c r="O14" s="48"/>
      <c r="P14" s="48"/>
    </row>
    <row r="15" spans="1:22">
      <c r="A15" s="48"/>
      <c r="B15" s="48"/>
      <c r="C15" s="48"/>
      <c r="D15" s="48"/>
      <c r="E15" s="48"/>
      <c r="F15" s="48"/>
      <c r="G15" s="48"/>
      <c r="H15" s="48"/>
      <c r="I15" s="48"/>
      <c r="J15" s="48"/>
      <c r="K15" s="48"/>
      <c r="L15" s="48"/>
      <c r="M15" s="48"/>
      <c r="N15" s="48"/>
      <c r="O15" s="48"/>
      <c r="P15" s="48"/>
    </row>
    <row r="16" spans="1:22" ht="15.75" thickBot="1">
      <c r="A16" s="48"/>
      <c r="B16" s="396" t="s">
        <v>262</v>
      </c>
      <c r="C16" s="48"/>
      <c r="D16" s="48"/>
      <c r="E16" s="48"/>
      <c r="F16" s="48"/>
      <c r="G16" s="48"/>
      <c r="H16" s="48"/>
      <c r="I16" s="48"/>
      <c r="J16" s="48"/>
      <c r="K16" s="48"/>
      <c r="L16" s="48"/>
      <c r="M16" s="48"/>
      <c r="N16" s="48"/>
      <c r="O16" s="48"/>
      <c r="P16" s="48"/>
    </row>
    <row r="17" spans="1:19">
      <c r="A17" s="48"/>
      <c r="B17" s="741" t="s">
        <v>83</v>
      </c>
      <c r="C17" s="742"/>
      <c r="D17" s="742"/>
      <c r="E17" s="742"/>
      <c r="F17" s="742"/>
      <c r="G17" s="742"/>
      <c r="H17" s="742"/>
      <c r="I17" s="742"/>
      <c r="J17" s="742"/>
      <c r="K17" s="742"/>
      <c r="L17" s="742"/>
      <c r="M17" s="742"/>
      <c r="N17" s="742"/>
      <c r="O17" s="742"/>
      <c r="P17" s="743"/>
    </row>
    <row r="18" spans="1:19">
      <c r="A18" s="48"/>
      <c r="B18" s="744" t="s">
        <v>84</v>
      </c>
      <c r="C18" s="745"/>
      <c r="D18" s="745"/>
      <c r="E18" s="745"/>
      <c r="F18" s="745"/>
      <c r="G18" s="745"/>
      <c r="H18" s="745"/>
      <c r="I18" s="745"/>
      <c r="J18" s="745"/>
      <c r="K18" s="745"/>
      <c r="L18" s="745"/>
      <c r="M18" s="745"/>
      <c r="N18" s="745"/>
      <c r="O18" s="745"/>
      <c r="P18" s="746"/>
    </row>
    <row r="19" spans="1:19">
      <c r="A19" s="48"/>
      <c r="B19" s="738" t="s">
        <v>86</v>
      </c>
      <c r="C19" s="739"/>
      <c r="D19" s="739"/>
      <c r="E19" s="739"/>
      <c r="F19" s="739"/>
      <c r="G19" s="739"/>
      <c r="H19" s="739"/>
      <c r="I19" s="739"/>
      <c r="J19" s="739"/>
      <c r="K19" s="739"/>
      <c r="L19" s="739"/>
      <c r="M19" s="739"/>
      <c r="N19" s="739"/>
      <c r="O19" s="739"/>
      <c r="P19" s="740"/>
    </row>
    <row r="20" spans="1:19" ht="15.75" thickBot="1">
      <c r="A20" s="48"/>
      <c r="B20" s="92"/>
      <c r="C20" s="55"/>
      <c r="D20" s="55"/>
      <c r="E20" s="55"/>
      <c r="F20" s="55"/>
      <c r="G20" s="55"/>
      <c r="H20" s="55"/>
      <c r="I20" s="55"/>
      <c r="J20" s="55"/>
      <c r="K20" s="55"/>
      <c r="L20" s="55"/>
      <c r="M20" s="55"/>
      <c r="N20" s="55"/>
      <c r="O20" s="55"/>
      <c r="P20" s="56"/>
    </row>
    <row r="21" spans="1:19">
      <c r="A21" s="48"/>
      <c r="B21" s="260"/>
      <c r="C21" s="261" t="s">
        <v>87</v>
      </c>
      <c r="D21" s="262"/>
      <c r="E21" s="262"/>
      <c r="F21" s="262"/>
      <c r="G21" s="262"/>
      <c r="H21" s="262"/>
      <c r="I21" s="262"/>
      <c r="J21" s="262"/>
      <c r="K21" s="262"/>
      <c r="L21" s="262"/>
      <c r="M21" s="262"/>
      <c r="N21" s="262"/>
      <c r="O21" s="736" t="s">
        <v>281</v>
      </c>
      <c r="P21" s="737"/>
      <c r="Q21" s="589"/>
    </row>
    <row r="22" spans="1:19">
      <c r="A22" s="48"/>
      <c r="B22" s="57"/>
      <c r="C22" s="258">
        <v>44562</v>
      </c>
      <c r="D22" s="258">
        <v>44593</v>
      </c>
      <c r="E22" s="258">
        <v>44621</v>
      </c>
      <c r="F22" s="258">
        <v>44652</v>
      </c>
      <c r="G22" s="258">
        <v>44682</v>
      </c>
      <c r="H22" s="258">
        <v>44713</v>
      </c>
      <c r="I22" s="258">
        <v>44743</v>
      </c>
      <c r="J22" s="258">
        <v>44774</v>
      </c>
      <c r="K22" s="258">
        <v>44805</v>
      </c>
      <c r="L22" s="258">
        <v>44835</v>
      </c>
      <c r="M22" s="258">
        <v>44866</v>
      </c>
      <c r="N22" s="258">
        <v>44896</v>
      </c>
      <c r="O22" s="498" t="s">
        <v>68</v>
      </c>
      <c r="P22" s="499" t="s">
        <v>114</v>
      </c>
      <c r="R22" s="351"/>
    </row>
    <row r="23" spans="1:19">
      <c r="A23" s="48"/>
      <c r="B23" s="378">
        <v>2022</v>
      </c>
      <c r="C23" s="48"/>
      <c r="D23" s="48"/>
      <c r="E23" s="48"/>
      <c r="F23" s="48"/>
      <c r="G23" s="48"/>
      <c r="H23" s="48"/>
      <c r="I23" s="48"/>
      <c r="J23" s="48"/>
      <c r="K23" s="48"/>
      <c r="L23" s="48"/>
      <c r="M23" s="48"/>
      <c r="N23" s="96"/>
      <c r="O23" s="638" t="s">
        <v>294</v>
      </c>
      <c r="P23" s="96"/>
      <c r="R23" s="353"/>
      <c r="S23" s="29"/>
    </row>
    <row r="24" spans="1:19">
      <c r="A24" s="48"/>
      <c r="B24" s="57" t="s">
        <v>208</v>
      </c>
      <c r="C24" s="587">
        <f>[4]IIIA1C01!B16</f>
        <v>29643.65825</v>
      </c>
      <c r="D24" s="587">
        <f>[4]IIIA1C01!C16</f>
        <v>10231.44318</v>
      </c>
      <c r="E24" s="587">
        <f>[4]IIIA1C01!D16</f>
        <v>18528.825089999998</v>
      </c>
      <c r="F24" s="587">
        <f>[4]IIIA1C01!E16</f>
        <v>26777.000636000001</v>
      </c>
      <c r="G24" s="587">
        <f>[4]IIIA1C01!F16</f>
        <v>22811</v>
      </c>
      <c r="H24" s="587">
        <f>[4]IIIA1C01!G16</f>
        <v>9314</v>
      </c>
      <c r="I24" s="587">
        <f>[4]IIIA1C01!H16</f>
        <v>17519</v>
      </c>
      <c r="J24" s="587">
        <f>[4]IIIA1C01!I16</f>
        <v>17216</v>
      </c>
      <c r="K24" s="587">
        <f>[4]IIIA1C01!J16</f>
        <v>10141</v>
      </c>
      <c r="L24" s="587">
        <f>[4]IIIA1C01!K16</f>
        <v>17884</v>
      </c>
      <c r="M24" s="587">
        <f>[4]IIIA1C01!L16</f>
        <v>32356</v>
      </c>
      <c r="N24" s="588">
        <f>[4]IIIA1C01!$M$16</f>
        <v>7793</v>
      </c>
      <c r="O24" s="601">
        <f>[5]Electricidad!$M$12</f>
        <v>1036168.63</v>
      </c>
      <c r="P24" s="602">
        <f>O24/1000</f>
        <v>1036.1686299999999</v>
      </c>
      <c r="Q24" s="109" t="s">
        <v>284</v>
      </c>
      <c r="R24" s="353"/>
    </row>
    <row r="25" spans="1:19">
      <c r="A25" s="48"/>
      <c r="B25" s="57" t="s">
        <v>89</v>
      </c>
      <c r="C25" s="587">
        <f>[4]IIIA1C01!B18</f>
        <v>649868.34123000002</v>
      </c>
      <c r="D25" s="587">
        <f>[4]IIIA1C01!C18</f>
        <v>588197.62922999996</v>
      </c>
      <c r="E25" s="587">
        <f>[4]IIIA1C01!D18</f>
        <v>684130.78295799997</v>
      </c>
      <c r="F25" s="587">
        <f>[4]IIIA1C01!E18</f>
        <v>620658.78600099997</v>
      </c>
      <c r="G25" s="587">
        <f>[4]IIIA1C01!F18</f>
        <v>351424</v>
      </c>
      <c r="H25" s="587">
        <f>[4]IIIA1C01!G18</f>
        <v>275475</v>
      </c>
      <c r="I25" s="587">
        <f>[4]IIIA1C01!H18</f>
        <v>284692</v>
      </c>
      <c r="J25" s="587">
        <f>[4]IIIA1C01!I18</f>
        <v>634984</v>
      </c>
      <c r="K25" s="587">
        <f>[4]IIIA1C01!J18</f>
        <v>628464</v>
      </c>
      <c r="L25" s="587">
        <f>[4]IIIA1C01!K18</f>
        <v>568189</v>
      </c>
      <c r="M25" s="587">
        <f>[4]IIIA1C01!L18</f>
        <v>629284</v>
      </c>
      <c r="N25" s="588">
        <f>[4]IIIA1C01!$M$18</f>
        <v>564314</v>
      </c>
      <c r="O25" s="601">
        <f>[5]Electricidad!$M$34</f>
        <v>6134997.6148799993</v>
      </c>
      <c r="P25" s="602">
        <f>O25/1000</f>
        <v>6134.9976148799997</v>
      </c>
      <c r="R25" s="74"/>
    </row>
    <row r="26" spans="1:19">
      <c r="A26" s="48"/>
      <c r="B26" s="57" t="s">
        <v>203</v>
      </c>
      <c r="C26" s="587">
        <f>[4]IIIA1C01!B21</f>
        <v>26767.099214999998</v>
      </c>
      <c r="D26" s="587">
        <f>[4]IIIA1C01!C21</f>
        <v>36171.519219000002</v>
      </c>
      <c r="E26" s="587">
        <f>[4]IIIA1C01!D21</f>
        <v>12583.051737</v>
      </c>
      <c r="F26" s="587">
        <f>[4]IIIA1C01!E21</f>
        <v>13222.773243</v>
      </c>
      <c r="G26" s="587">
        <f>[4]IIIA1C01!F21</f>
        <v>941087</v>
      </c>
      <c r="H26" s="587">
        <f>[4]IIIA1C01!G21</f>
        <v>906928</v>
      </c>
      <c r="I26" s="587">
        <f>[4]IIIA1C01!H21</f>
        <v>855033</v>
      </c>
      <c r="J26" s="587">
        <f>[4]IIIA1C01!I21</f>
        <v>753014</v>
      </c>
      <c r="K26" s="587">
        <f>[4]IIIA1C01!J21</f>
        <v>693483</v>
      </c>
      <c r="L26" s="587">
        <f>[4]IIIA1C01!K21</f>
        <v>561580</v>
      </c>
      <c r="M26" s="587">
        <f>[4]IIIA1C01!L21</f>
        <v>508090</v>
      </c>
      <c r="N26" s="588">
        <f>[4]IIIA1C01!$M$21</f>
        <v>561539</v>
      </c>
      <c r="O26" s="601">
        <f>SUM(C26:N26)</f>
        <v>5869498.4434139999</v>
      </c>
      <c r="P26" s="602">
        <f>O26/1000</f>
        <v>5869.4984434139997</v>
      </c>
      <c r="R26" s="74"/>
    </row>
    <row r="27" spans="1:19" ht="15.75" thickBot="1">
      <c r="A27" s="48"/>
      <c r="B27" s="259"/>
      <c r="C27" s="324"/>
      <c r="D27" s="324"/>
      <c r="E27" s="324"/>
      <c r="F27" s="324"/>
      <c r="G27" s="324"/>
      <c r="H27" s="324"/>
      <c r="I27" s="324"/>
      <c r="J27" s="324"/>
      <c r="K27" s="324"/>
      <c r="L27" s="324"/>
      <c r="M27" s="324"/>
      <c r="N27" s="325"/>
      <c r="O27" s="326">
        <f>SUM(O24:O26)</f>
        <v>13040664.688293999</v>
      </c>
      <c r="P27" s="327">
        <f>SUM(P24:P26)</f>
        <v>13040.664688294</v>
      </c>
      <c r="R27" s="351"/>
    </row>
    <row r="28" spans="1:19" ht="24.75" customHeight="1">
      <c r="A28" s="48"/>
      <c r="B28" s="651" t="s">
        <v>259</v>
      </c>
    </row>
    <row r="29" spans="1:19" ht="24.75" customHeight="1">
      <c r="A29" s="48"/>
      <c r="B29" s="27"/>
      <c r="C29" s="58"/>
      <c r="D29" s="58"/>
      <c r="E29" s="58"/>
      <c r="F29" s="58"/>
      <c r="G29" s="58"/>
      <c r="H29" s="58"/>
      <c r="I29" s="58"/>
      <c r="J29" s="58"/>
      <c r="K29" s="58"/>
      <c r="L29" s="58"/>
      <c r="M29" s="58"/>
      <c r="N29" s="58"/>
      <c r="O29" s="27"/>
      <c r="P29" s="27"/>
    </row>
    <row r="30" spans="1:19">
      <c r="A30" s="48"/>
      <c r="B30" s="48"/>
      <c r="C30" s="48"/>
      <c r="D30" s="48"/>
      <c r="E30" s="48"/>
      <c r="F30" s="48"/>
      <c r="G30" s="48"/>
      <c r="H30" s="48"/>
      <c r="I30" s="48"/>
      <c r="J30" s="48"/>
      <c r="K30" s="48"/>
      <c r="L30" s="48"/>
      <c r="M30" s="48"/>
      <c r="N30" s="48"/>
      <c r="O30" s="48"/>
      <c r="P30" s="48"/>
    </row>
    <row r="31" spans="1:19" ht="31.5" customHeight="1">
      <c r="A31" s="48"/>
      <c r="B31" s="435" t="s">
        <v>211</v>
      </c>
      <c r="C31" s="48"/>
      <c r="D31" s="48"/>
      <c r="E31" s="48"/>
      <c r="F31" s="48"/>
      <c r="G31" s="48"/>
      <c r="H31" s="48"/>
      <c r="I31" s="48"/>
      <c r="J31" s="48"/>
      <c r="K31" s="48"/>
      <c r="L31" s="48"/>
      <c r="M31" s="48"/>
      <c r="N31" s="48"/>
      <c r="O31" s="48"/>
      <c r="P31" s="48"/>
    </row>
    <row r="32" spans="1:19">
      <c r="A32" s="48"/>
      <c r="B32" s="48"/>
      <c r="C32" s="48"/>
      <c r="D32" s="48"/>
      <c r="E32" s="48"/>
      <c r="F32" s="48"/>
      <c r="G32" s="48"/>
      <c r="H32" s="48"/>
      <c r="I32" s="48"/>
      <c r="J32" s="48"/>
      <c r="K32" s="48"/>
      <c r="L32" s="48"/>
      <c r="M32" s="48"/>
      <c r="N32" s="48"/>
      <c r="O32" s="48"/>
      <c r="P32" s="48"/>
    </row>
    <row r="33" spans="1:16" ht="18">
      <c r="A33" s="48"/>
      <c r="B33" s="502" t="s">
        <v>282</v>
      </c>
      <c r="C33" s="48"/>
      <c r="D33" s="48"/>
      <c r="E33" s="48"/>
      <c r="F33" s="48"/>
      <c r="G33" s="48"/>
      <c r="H33" s="502" t="s">
        <v>283</v>
      </c>
      <c r="I33" s="48"/>
      <c r="J33" s="48"/>
      <c r="K33" s="48"/>
      <c r="L33" s="48"/>
      <c r="M33" s="48"/>
      <c r="N33" s="48"/>
      <c r="O33" s="48"/>
      <c r="P33" s="48"/>
    </row>
    <row r="34" spans="1:16">
      <c r="A34" s="48"/>
      <c r="B34" s="705" t="s">
        <v>90</v>
      </c>
      <c r="C34" s="706"/>
      <c r="D34" s="706"/>
      <c r="E34" s="706"/>
      <c r="F34" s="707"/>
      <c r="G34" s="48"/>
      <c r="H34" s="705" t="s">
        <v>272</v>
      </c>
      <c r="I34" s="706"/>
      <c r="J34" s="706"/>
      <c r="K34" s="706"/>
      <c r="L34" s="707"/>
      <c r="M34" s="48"/>
      <c r="N34" s="48"/>
      <c r="O34" s="48"/>
      <c r="P34" s="48"/>
    </row>
    <row r="35" spans="1:16" ht="15.75">
      <c r="A35" s="48"/>
      <c r="B35" s="699" t="s">
        <v>91</v>
      </c>
      <c r="C35" s="700"/>
      <c r="D35" s="701"/>
      <c r="E35" s="608">
        <f>[6]Metro!$G$26</f>
        <v>754563603.99999988</v>
      </c>
      <c r="F35" s="141" t="s">
        <v>95</v>
      </c>
      <c r="G35" s="48"/>
      <c r="H35" s="699" t="s">
        <v>91</v>
      </c>
      <c r="I35" s="700"/>
      <c r="J35" s="701"/>
      <c r="K35" s="598">
        <f>[7]Hoja1!$C$38</f>
        <v>7529762.2400000002</v>
      </c>
      <c r="L35" s="142" t="s">
        <v>95</v>
      </c>
      <c r="M35" s="48"/>
      <c r="N35" s="48"/>
      <c r="O35" s="48"/>
      <c r="P35" s="48"/>
    </row>
    <row r="36" spans="1:16">
      <c r="A36" s="48"/>
      <c r="B36" s="702"/>
      <c r="C36" s="703"/>
      <c r="D36" s="704"/>
      <c r="E36" s="609">
        <f>E35/1000000</f>
        <v>754.56360399999983</v>
      </c>
      <c r="F36" s="142" t="s">
        <v>73</v>
      </c>
      <c r="G36" s="48"/>
      <c r="H36" s="702"/>
      <c r="I36" s="703"/>
      <c r="J36" s="704"/>
      <c r="K36" s="283">
        <f>K35/1000000</f>
        <v>7.5297622400000002</v>
      </c>
      <c r="L36" s="142" t="s">
        <v>73</v>
      </c>
      <c r="M36" s="48"/>
      <c r="N36" s="48"/>
      <c r="O36" s="48"/>
      <c r="P36" s="48"/>
    </row>
    <row r="37" spans="1:16">
      <c r="A37" s="48"/>
      <c r="B37" s="500" t="s">
        <v>38</v>
      </c>
      <c r="C37" s="144"/>
      <c r="D37" s="144"/>
      <c r="E37" s="145"/>
      <c r="F37" s="48"/>
      <c r="G37" s="48"/>
      <c r="H37" s="500" t="s">
        <v>319</v>
      </c>
      <c r="J37" s="48"/>
      <c r="K37" s="48"/>
      <c r="L37" s="48"/>
      <c r="M37" s="48"/>
      <c r="N37" s="48"/>
      <c r="O37" s="48"/>
      <c r="P37" s="48"/>
    </row>
    <row r="38" spans="1:16">
      <c r="A38" s="48"/>
      <c r="B38" s="143"/>
      <c r="C38" s="144"/>
      <c r="D38" s="144"/>
      <c r="E38" s="48"/>
      <c r="F38" s="48"/>
      <c r="G38" s="48"/>
      <c r="H38" s="48"/>
      <c r="I38" s="48"/>
      <c r="J38" s="48"/>
      <c r="K38" s="48"/>
      <c r="L38" s="48"/>
      <c r="M38" s="48"/>
      <c r="N38" s="48"/>
      <c r="O38" s="48"/>
      <c r="P38" s="48"/>
    </row>
    <row r="39" spans="1:16">
      <c r="A39" s="48"/>
      <c r="B39" s="143"/>
      <c r="C39" s="144"/>
      <c r="D39" s="144"/>
      <c r="E39" s="48"/>
      <c r="F39" s="48"/>
      <c r="G39" s="48"/>
      <c r="I39" s="48"/>
      <c r="J39" s="48"/>
      <c r="K39" s="48"/>
      <c r="L39" s="48"/>
      <c r="M39" s="48"/>
      <c r="N39" s="48"/>
      <c r="O39" s="48"/>
      <c r="P39" s="48"/>
    </row>
    <row r="40" spans="1:16">
      <c r="A40" s="48"/>
      <c r="B40" s="48"/>
      <c r="C40" s="48"/>
      <c r="D40" s="48"/>
      <c r="E40" s="48"/>
      <c r="F40" s="48"/>
      <c r="G40" s="48"/>
      <c r="H40" s="48"/>
      <c r="I40" s="48"/>
      <c r="J40" s="48"/>
      <c r="K40" s="48"/>
      <c r="L40" s="48"/>
      <c r="M40" s="48"/>
      <c r="N40" s="48"/>
      <c r="O40" s="48"/>
      <c r="P40" s="48"/>
    </row>
    <row r="41" spans="1:16" ht="16.5" thickBot="1">
      <c r="A41" s="48"/>
      <c r="B41" s="394" t="s">
        <v>140</v>
      </c>
      <c r="C41" s="48"/>
      <c r="D41" s="48"/>
      <c r="E41" s="48"/>
      <c r="F41" s="48"/>
      <c r="G41" s="48"/>
      <c r="H41" s="48"/>
      <c r="I41" s="730"/>
      <c r="J41" s="730"/>
      <c r="K41" s="48"/>
      <c r="L41" s="48"/>
      <c r="M41" s="48"/>
      <c r="N41" s="48"/>
      <c r="O41" s="48"/>
      <c r="P41" s="48"/>
    </row>
    <row r="42" spans="1:16">
      <c r="A42" s="48"/>
      <c r="B42" s="711" t="s">
        <v>133</v>
      </c>
      <c r="C42" s="712"/>
      <c r="D42" s="713"/>
      <c r="E42" s="48"/>
      <c r="F42" s="48"/>
      <c r="G42" s="728"/>
      <c r="H42" s="728"/>
      <c r="I42" s="48"/>
      <c r="J42" s="48"/>
      <c r="K42" s="48"/>
      <c r="L42" s="48"/>
      <c r="M42" s="48"/>
      <c r="N42" s="48"/>
      <c r="O42" s="48"/>
      <c r="P42" s="48"/>
    </row>
    <row r="43" spans="1:16" ht="39" customHeight="1" thickBot="1">
      <c r="A43" s="48"/>
      <c r="B43" s="375" t="s">
        <v>134</v>
      </c>
      <c r="C43" s="376" t="s">
        <v>250</v>
      </c>
      <c r="D43" s="377" t="s">
        <v>251</v>
      </c>
      <c r="E43" s="48"/>
      <c r="F43" s="48"/>
      <c r="G43" s="728"/>
      <c r="H43" s="728"/>
      <c r="I43" s="63"/>
      <c r="J43" s="354"/>
      <c r="K43" s="48"/>
      <c r="L43" s="48"/>
      <c r="M43" s="48"/>
      <c r="N43" s="48"/>
      <c r="O43" s="48"/>
      <c r="P43" s="48"/>
    </row>
    <row r="44" spans="1:16" ht="27" customHeight="1">
      <c r="A44" s="48"/>
      <c r="B44" s="146" t="s">
        <v>136</v>
      </c>
      <c r="C44" s="269">
        <f>[2]CDMX!$E$26</f>
        <v>3441000</v>
      </c>
      <c r="D44" s="148">
        <f>C44*$G$58</f>
        <v>3441</v>
      </c>
      <c r="E44" s="268"/>
      <c r="F44" s="267"/>
      <c r="G44" s="728"/>
      <c r="H44" s="728"/>
      <c r="I44" s="731"/>
      <c r="J44" s="731"/>
      <c r="K44" s="267"/>
      <c r="L44" s="267"/>
      <c r="M44" s="48"/>
      <c r="N44" s="48"/>
      <c r="O44" s="48"/>
      <c r="P44" s="48"/>
    </row>
    <row r="45" spans="1:16">
      <c r="A45" s="48"/>
      <c r="B45" s="149" t="s">
        <v>46</v>
      </c>
      <c r="C45" s="269">
        <f>[2]CDMX!$F$26</f>
        <v>463757.31199999998</v>
      </c>
      <c r="D45" s="150">
        <f>C45*$G$58</f>
        <v>463.75731200000001</v>
      </c>
      <c r="E45" s="268"/>
      <c r="F45" s="48"/>
      <c r="H45" s="48"/>
      <c r="I45" s="63"/>
      <c r="J45" s="354"/>
      <c r="K45" s="48"/>
      <c r="L45" s="48"/>
      <c r="M45" s="48"/>
      <c r="N45" s="48"/>
      <c r="O45" s="48"/>
      <c r="P45" s="48"/>
    </row>
    <row r="46" spans="1:16" ht="29.25">
      <c r="A46" s="48"/>
      <c r="B46" s="149" t="s">
        <v>137</v>
      </c>
      <c r="C46" s="269">
        <f>[2]CDMX!$G$26</f>
        <v>413814.69570999994</v>
      </c>
      <c r="D46" s="150">
        <f>C46*$G$58</f>
        <v>413.81469570999997</v>
      </c>
      <c r="E46" s="268"/>
      <c r="F46" s="48"/>
      <c r="G46" s="48"/>
      <c r="H46" s="48"/>
      <c r="I46" s="48"/>
      <c r="J46" s="48"/>
      <c r="K46" s="48"/>
      <c r="L46" s="48"/>
      <c r="M46" s="48"/>
      <c r="N46" s="48"/>
      <c r="O46" s="48"/>
      <c r="P46" s="48"/>
    </row>
    <row r="47" spans="1:16">
      <c r="A47" s="48"/>
      <c r="B47" s="149" t="s">
        <v>61</v>
      </c>
      <c r="C47" s="269">
        <f>[2]CDMX!$H$26</f>
        <v>603.95279400265736</v>
      </c>
      <c r="D47" s="150">
        <f>C47*$G$58</f>
        <v>0.60395279400265733</v>
      </c>
      <c r="E47" s="268"/>
      <c r="F47" s="48"/>
      <c r="G47" s="48"/>
      <c r="H47" s="48"/>
      <c r="I47" s="48"/>
      <c r="J47" s="48"/>
      <c r="K47" s="48"/>
      <c r="L47" s="48"/>
      <c r="M47" s="48"/>
      <c r="N47" s="48"/>
      <c r="O47" s="48"/>
      <c r="P47" s="48"/>
    </row>
    <row r="48" spans="1:16">
      <c r="A48" s="48"/>
      <c r="B48" s="149" t="s">
        <v>138</v>
      </c>
      <c r="C48" s="269">
        <f>[2]CDMX!$I$26</f>
        <v>7557824.0394959981</v>
      </c>
      <c r="D48" s="150">
        <f>C48*$G$58</f>
        <v>7557.8240394959985</v>
      </c>
      <c r="E48" s="268"/>
      <c r="F48" s="48"/>
      <c r="G48" s="48"/>
      <c r="H48" s="48"/>
      <c r="I48" s="48"/>
      <c r="J48" s="48"/>
      <c r="K48" s="48"/>
      <c r="L48" s="48"/>
      <c r="M48" s="48"/>
      <c r="N48" s="48"/>
      <c r="O48" s="48"/>
      <c r="P48" s="48"/>
    </row>
    <row r="49" spans="1:17" ht="15.75" thickBot="1">
      <c r="A49" s="48"/>
      <c r="B49" s="151" t="s">
        <v>96</v>
      </c>
      <c r="C49" s="491">
        <f>SUM(C44:C48)</f>
        <v>11877000</v>
      </c>
      <c r="D49" s="492">
        <f>SUM(D44:D48)</f>
        <v>11877.000000000002</v>
      </c>
      <c r="E49" s="48"/>
      <c r="F49" s="48"/>
      <c r="G49" s="48"/>
      <c r="H49" s="48"/>
      <c r="I49" s="48"/>
      <c r="J49" s="48"/>
      <c r="K49" s="48"/>
      <c r="L49" s="48"/>
      <c r="M49" s="48"/>
      <c r="N49" s="48"/>
      <c r="O49" s="48"/>
      <c r="P49" s="48"/>
    </row>
    <row r="50" spans="1:17">
      <c r="A50" s="48"/>
      <c r="B50" s="501" t="s">
        <v>219</v>
      </c>
      <c r="C50" s="48" t="b">
        <f>C49=[2]CDMX!$J$26</f>
        <v>1</v>
      </c>
      <c r="D50" s="63"/>
      <c r="E50" s="48"/>
      <c r="F50" s="48"/>
      <c r="G50" s="48"/>
      <c r="H50" s="48"/>
      <c r="I50" s="48"/>
      <c r="J50" s="48"/>
      <c r="K50" s="48"/>
      <c r="L50" s="48"/>
      <c r="M50" s="48"/>
      <c r="N50" s="48"/>
      <c r="O50" s="48"/>
      <c r="P50" s="48"/>
    </row>
    <row r="51" spans="1:17">
      <c r="A51" s="48"/>
      <c r="B51" s="154"/>
      <c r="C51" s="48"/>
      <c r="D51" s="48"/>
      <c r="E51" s="48"/>
      <c r="F51" s="48"/>
      <c r="G51" s="48"/>
      <c r="H51" s="48"/>
      <c r="I51" s="48"/>
      <c r="J51" s="48"/>
      <c r="K51" s="48"/>
      <c r="L51" s="48"/>
      <c r="M51" s="48"/>
      <c r="N51" s="48"/>
      <c r="O51" s="48"/>
      <c r="P51" s="48"/>
    </row>
    <row r="52" spans="1:17" ht="20.25">
      <c r="A52" s="48"/>
      <c r="B52" s="435" t="s">
        <v>143</v>
      </c>
      <c r="D52" s="396" t="s">
        <v>321</v>
      </c>
      <c r="E52" s="48"/>
      <c r="F52" s="48"/>
      <c r="G52" s="48"/>
      <c r="H52" s="48"/>
      <c r="I52" s="48"/>
      <c r="J52" s="48"/>
      <c r="K52" s="48"/>
      <c r="L52" s="48"/>
      <c r="M52" s="48"/>
      <c r="N52" s="48"/>
      <c r="O52" s="48"/>
      <c r="P52" s="48"/>
    </row>
    <row r="53" spans="1:17" ht="21" thickBot="1">
      <c r="A53" s="48"/>
      <c r="B53" s="503"/>
      <c r="D53" s="48"/>
      <c r="E53" s="48"/>
      <c r="F53" s="48"/>
      <c r="G53" s="48"/>
      <c r="H53" s="48"/>
      <c r="I53" s="48"/>
      <c r="J53" s="48"/>
      <c r="K53" s="48"/>
      <c r="L53" s="48"/>
      <c r="M53" s="48"/>
      <c r="N53" s="48"/>
      <c r="O53" s="48"/>
      <c r="P53" s="48"/>
    </row>
    <row r="54" spans="1:17">
      <c r="A54" s="48"/>
      <c r="B54" s="723" t="s">
        <v>196</v>
      </c>
      <c r="C54" s="724"/>
      <c r="D54" s="725"/>
      <c r="E54" s="48"/>
      <c r="F54" s="48"/>
      <c r="G54" s="48"/>
      <c r="H54" s="48"/>
      <c r="I54" s="48"/>
      <c r="J54" s="48"/>
      <c r="K54" s="48"/>
      <c r="L54" s="48"/>
      <c r="M54" s="48"/>
      <c r="N54" s="48"/>
      <c r="O54" s="48"/>
      <c r="P54" s="48"/>
    </row>
    <row r="55" spans="1:17" ht="15.75" thickBot="1">
      <c r="A55" s="48"/>
      <c r="B55" s="372" t="s">
        <v>144</v>
      </c>
      <c r="C55" s="374" t="s">
        <v>252</v>
      </c>
      <c r="D55" s="373" t="s">
        <v>146</v>
      </c>
      <c r="E55" s="48"/>
      <c r="F55" s="48"/>
      <c r="G55" s="48"/>
      <c r="H55" s="48"/>
      <c r="I55" s="48"/>
      <c r="J55" s="48"/>
      <c r="K55" s="48"/>
      <c r="L55" s="48"/>
      <c r="M55" s="48"/>
      <c r="N55" s="48"/>
      <c r="O55" s="48"/>
      <c r="P55" s="48"/>
    </row>
    <row r="56" spans="1:17">
      <c r="A56" s="48"/>
      <c r="B56" s="159" t="s">
        <v>145</v>
      </c>
      <c r="C56" s="611">
        <f>'[6]Proyección consumo'!$B$66</f>
        <v>5693497.9100000001</v>
      </c>
      <c r="D56" s="160">
        <f>(C56*G56)</f>
        <v>5.6934979099999996</v>
      </c>
      <c r="E56" s="63">
        <f>+D56/D59</f>
        <v>0.16875809788890286</v>
      </c>
      <c r="F56" s="75" t="s">
        <v>148</v>
      </c>
      <c r="G56" s="158">
        <v>9.9999999999999995E-7</v>
      </c>
      <c r="H56" s="48" t="s">
        <v>147</v>
      </c>
      <c r="I56" s="48"/>
      <c r="J56" s="48"/>
      <c r="K56" s="48"/>
      <c r="L56" s="48"/>
      <c r="M56" s="48"/>
      <c r="N56" s="48"/>
      <c r="O56" s="48"/>
      <c r="P56" s="48"/>
    </row>
    <row r="57" spans="1:17">
      <c r="A57" s="48"/>
      <c r="B57" s="610" t="s">
        <v>193</v>
      </c>
      <c r="C57" s="612">
        <f>'[6]Proyección consumo'!$B$67</f>
        <v>17038344.379999999</v>
      </c>
      <c r="D57" s="645">
        <f>C57*G56</f>
        <v>17.038344379999998</v>
      </c>
      <c r="E57" s="63"/>
      <c r="F57" s="75"/>
      <c r="G57" s="158"/>
      <c r="H57" s="48"/>
      <c r="I57" s="48"/>
      <c r="J57" s="48"/>
      <c r="K57" s="48"/>
      <c r="L57" s="48"/>
      <c r="M57" s="48"/>
      <c r="N57" s="48"/>
      <c r="O57" s="48"/>
      <c r="P57" s="48"/>
    </row>
    <row r="58" spans="1:17" ht="15.75" thickBot="1">
      <c r="A58" s="48"/>
      <c r="B58" s="156" t="s">
        <v>285</v>
      </c>
      <c r="C58" s="613">
        <f>'[6]Proyección consumo'!$B$65</f>
        <v>11005785.6</v>
      </c>
      <c r="D58" s="493">
        <f>(C58*G56)</f>
        <v>11.005785599999999</v>
      </c>
      <c r="E58" s="48"/>
      <c r="F58" s="75" t="s">
        <v>149</v>
      </c>
      <c r="G58" s="158">
        <v>1E-3</v>
      </c>
      <c r="H58" s="48" t="s">
        <v>147</v>
      </c>
      <c r="I58" s="48"/>
      <c r="J58" s="48"/>
      <c r="K58" s="48"/>
      <c r="L58" s="48"/>
      <c r="M58" s="48"/>
      <c r="N58" s="48"/>
      <c r="O58" s="48"/>
      <c r="P58" s="48"/>
    </row>
    <row r="59" spans="1:17">
      <c r="A59" s="48"/>
      <c r="B59" s="396" t="s">
        <v>63</v>
      </c>
      <c r="C59" s="443">
        <f>SUM(C56:C58)</f>
        <v>33737627.890000001</v>
      </c>
      <c r="D59" s="443">
        <f>SUM(D56:D58)</f>
        <v>33.737627889999999</v>
      </c>
      <c r="E59" s="48"/>
      <c r="F59" s="48"/>
      <c r="G59" s="48"/>
      <c r="H59" s="48"/>
      <c r="I59" s="48"/>
      <c r="J59" s="48"/>
      <c r="K59" s="48"/>
      <c r="L59" s="48"/>
      <c r="M59" s="48"/>
      <c r="N59" s="48"/>
      <c r="O59" s="48"/>
      <c r="P59" s="48"/>
    </row>
    <row r="60" spans="1:17" ht="21" thickBot="1">
      <c r="A60" s="48"/>
      <c r="B60" s="503"/>
      <c r="C60" s="63"/>
      <c r="D60" s="63"/>
      <c r="E60" s="48"/>
      <c r="F60" s="48"/>
      <c r="G60" s="48"/>
      <c r="H60" s="48"/>
      <c r="I60" s="48"/>
      <c r="J60" s="48"/>
      <c r="K60" s="48"/>
      <c r="L60" s="48"/>
      <c r="M60" s="48"/>
      <c r="N60" s="48"/>
      <c r="O60" s="48"/>
      <c r="P60" s="48"/>
    </row>
    <row r="61" spans="1:17" ht="15.75" customHeight="1" thickBot="1">
      <c r="A61" s="48"/>
      <c r="B61" s="646" t="s">
        <v>205</v>
      </c>
      <c r="C61" s="647"/>
      <c r="D61" s="647"/>
      <c r="E61" s="647"/>
      <c r="F61" s="648"/>
      <c r="G61" s="155"/>
      <c r="H61" s="48"/>
      <c r="I61" s="48"/>
      <c r="J61" s="48"/>
      <c r="K61" s="48"/>
      <c r="L61" s="48"/>
      <c r="M61" s="48"/>
      <c r="N61" s="48"/>
      <c r="O61" s="48"/>
      <c r="P61" s="48"/>
      <c r="Q61" s="48"/>
    </row>
    <row r="62" spans="1:17" ht="15.75" thickBot="1">
      <c r="A62" s="48"/>
      <c r="B62" s="369" t="s">
        <v>141</v>
      </c>
      <c r="C62" s="370" t="s">
        <v>142</v>
      </c>
      <c r="D62" s="370" t="s">
        <v>193</v>
      </c>
      <c r="E62" s="649" t="s">
        <v>320</v>
      </c>
      <c r="F62" s="371" t="s">
        <v>96</v>
      </c>
      <c r="G62" s="48"/>
      <c r="H62" s="48"/>
      <c r="I62" s="48"/>
      <c r="J62" s="48"/>
      <c r="K62" s="48"/>
      <c r="L62" s="48"/>
      <c r="M62" s="48"/>
      <c r="N62" s="48"/>
      <c r="O62" s="48"/>
      <c r="P62" s="48"/>
      <c r="Q62" s="48"/>
    </row>
    <row r="63" spans="1:17" ht="15.75" thickBot="1">
      <c r="A63" s="48"/>
      <c r="B63" s="156" t="s">
        <v>204</v>
      </c>
      <c r="C63" s="328">
        <f>'[6]tren ligero'!$E$26</f>
        <v>1047.681</v>
      </c>
      <c r="D63" s="328">
        <f>[6]Trolebús!$F$26</f>
        <v>2431.6480000000001</v>
      </c>
      <c r="E63" s="650"/>
      <c r="F63" s="504">
        <f>SUM(C63:E63)</f>
        <v>3479.3290000000002</v>
      </c>
      <c r="G63" s="500" t="s">
        <v>38</v>
      </c>
      <c r="H63" s="48"/>
      <c r="I63" s="48"/>
      <c r="J63" s="614" t="s">
        <v>253</v>
      </c>
      <c r="K63" s="48"/>
      <c r="L63" s="48"/>
      <c r="M63" s="48"/>
      <c r="N63" s="48"/>
      <c r="O63" s="48"/>
      <c r="P63" s="48"/>
      <c r="Q63" s="48"/>
    </row>
    <row r="64" spans="1:17" ht="15.75" thickBot="1">
      <c r="A64" s="48"/>
      <c r="B64" s="449"/>
      <c r="C64" s="590"/>
      <c r="D64" s="449"/>
      <c r="E64" s="449"/>
      <c r="F64" s="48"/>
      <c r="G64" s="48"/>
      <c r="I64" s="48"/>
      <c r="J64" s="48"/>
      <c r="K64" s="48"/>
      <c r="L64" s="48"/>
      <c r="M64" s="48"/>
      <c r="N64" s="48"/>
      <c r="O64" s="48"/>
      <c r="P64" s="48"/>
    </row>
    <row r="65" spans="1:23">
      <c r="A65" s="48"/>
      <c r="B65" s="726" t="s">
        <v>263</v>
      </c>
      <c r="C65" s="727"/>
      <c r="D65" s="48"/>
      <c r="E65" s="48"/>
      <c r="F65" s="48"/>
      <c r="J65" s="48"/>
      <c r="K65" s="48"/>
      <c r="L65" s="48"/>
      <c r="M65" s="48"/>
      <c r="N65" s="48"/>
      <c r="O65" s="48"/>
      <c r="P65" s="48"/>
    </row>
    <row r="66" spans="1:23" ht="15.75" customHeight="1" thickBot="1">
      <c r="A66" s="48"/>
      <c r="B66" s="372" t="s">
        <v>144</v>
      </c>
      <c r="C66" s="373" t="s">
        <v>264</v>
      </c>
      <c r="D66" s="48"/>
      <c r="E66" s="48"/>
      <c r="F66" s="48"/>
      <c r="J66" s="48"/>
      <c r="K66" s="48"/>
      <c r="L66" s="48"/>
      <c r="M66" s="48"/>
      <c r="N66" s="48"/>
      <c r="O66" s="48"/>
      <c r="P66" s="48"/>
      <c r="S66" s="275"/>
      <c r="T66" s="275"/>
      <c r="U66" s="275"/>
      <c r="V66" s="275"/>
    </row>
    <row r="67" spans="1:23" ht="15" customHeight="1">
      <c r="B67" s="159" t="s">
        <v>145</v>
      </c>
      <c r="C67" s="319">
        <f>+C56/C63</f>
        <v>5434.381180912892</v>
      </c>
      <c r="D67" s="48"/>
      <c r="E67" s="48"/>
      <c r="F67" s="48"/>
      <c r="J67" s="48"/>
      <c r="K67" s="48"/>
      <c r="L67" s="48"/>
      <c r="M67" s="48"/>
      <c r="N67" s="48"/>
      <c r="O67" s="48"/>
      <c r="P67" s="48"/>
      <c r="R67" s="275"/>
      <c r="S67" s="275"/>
      <c r="T67" s="275"/>
      <c r="U67" s="275"/>
      <c r="V67" s="275"/>
    </row>
    <row r="68" spans="1:23" ht="15.75" thickBot="1">
      <c r="B68" s="156" t="s">
        <v>193</v>
      </c>
      <c r="C68" s="320">
        <f>+C58/D63</f>
        <v>4526.0603508402528</v>
      </c>
      <c r="D68" s="48"/>
      <c r="E68" s="48"/>
      <c r="F68" s="48"/>
      <c r="J68" s="48"/>
      <c r="K68" s="48"/>
      <c r="L68" s="48"/>
      <c r="M68" s="48"/>
      <c r="N68" s="48"/>
      <c r="O68" s="48"/>
      <c r="P68" s="48"/>
      <c r="R68" s="275"/>
      <c r="S68" s="275"/>
      <c r="T68" s="275"/>
      <c r="U68" s="275"/>
      <c r="V68" s="275"/>
    </row>
    <row r="69" spans="1:23">
      <c r="B69" s="157"/>
      <c r="C69" s="48"/>
      <c r="D69" s="48"/>
      <c r="E69" s="48"/>
      <c r="F69" s="48"/>
      <c r="J69" s="48"/>
      <c r="K69" s="48"/>
      <c r="L69" s="48"/>
      <c r="M69" s="48"/>
      <c r="N69" s="48"/>
      <c r="O69" s="48"/>
      <c r="P69" s="48"/>
    </row>
    <row r="70" spans="1:23">
      <c r="B70" s="48"/>
      <c r="C70" s="48"/>
      <c r="D70" s="48"/>
      <c r="E70" s="48"/>
      <c r="F70" s="48"/>
      <c r="G70" s="48"/>
      <c r="H70" s="48"/>
      <c r="I70" s="63"/>
      <c r="J70" s="48"/>
      <c r="K70" s="48"/>
      <c r="L70" s="48"/>
      <c r="M70" s="48"/>
      <c r="N70" s="48"/>
      <c r="O70" s="48"/>
      <c r="P70" s="48"/>
    </row>
    <row r="71" spans="1:23">
      <c r="B71" s="48"/>
      <c r="C71" s="48"/>
      <c r="D71" s="48"/>
      <c r="E71" s="48"/>
      <c r="F71" s="48"/>
      <c r="G71" s="48"/>
      <c r="H71" s="48"/>
      <c r="I71" s="94"/>
      <c r="J71" s="48"/>
      <c r="K71" s="48"/>
      <c r="L71" s="48"/>
      <c r="M71" s="48"/>
      <c r="N71" s="48"/>
      <c r="O71" s="48"/>
      <c r="P71" s="48"/>
    </row>
    <row r="72" spans="1:23" ht="26.25">
      <c r="B72" s="435" t="s">
        <v>210</v>
      </c>
      <c r="C72" s="48"/>
      <c r="D72" s="48"/>
      <c r="E72" s="48"/>
      <c r="F72" s="48"/>
      <c r="G72" s="48"/>
      <c r="H72" s="48"/>
      <c r="I72" s="63"/>
      <c r="J72" s="48"/>
      <c r="K72" s="48"/>
      <c r="L72" s="48"/>
      <c r="M72" s="48"/>
      <c r="N72" s="48"/>
      <c r="O72" s="48"/>
      <c r="P72" s="48"/>
    </row>
    <row r="73" spans="1:23">
      <c r="B73" s="48"/>
      <c r="C73" s="48"/>
      <c r="D73" s="48"/>
      <c r="E73" s="48"/>
      <c r="F73" s="48"/>
      <c r="G73" s="48"/>
      <c r="H73" s="48"/>
      <c r="I73" s="48"/>
      <c r="J73" s="48"/>
      <c r="K73" s="48"/>
      <c r="L73" s="48"/>
      <c r="M73" s="48"/>
      <c r="N73" s="48"/>
      <c r="O73" s="48"/>
      <c r="P73" s="48"/>
    </row>
    <row r="74" spans="1:23" ht="15.75">
      <c r="B74" s="394" t="s">
        <v>140</v>
      </c>
      <c r="C74" s="48"/>
      <c r="D74" s="48"/>
      <c r="E74" s="48"/>
      <c r="F74" s="48"/>
      <c r="G74" s="270"/>
      <c r="H74" s="162"/>
      <c r="I74" s="48"/>
      <c r="K74" s="48"/>
      <c r="L74" s="48"/>
      <c r="M74" s="48"/>
      <c r="N74" s="48"/>
      <c r="O74" s="157"/>
      <c r="P74" s="710"/>
      <c r="Q74" s="710"/>
      <c r="R74" s="710"/>
    </row>
    <row r="75" spans="1:23" ht="15.75" thickBot="1">
      <c r="B75" s="48"/>
      <c r="C75" s="48"/>
      <c r="D75" s="48"/>
      <c r="E75" s="48"/>
      <c r="F75" s="48"/>
      <c r="G75" s="708"/>
      <c r="H75" s="708"/>
      <c r="I75" s="708"/>
      <c r="K75" s="449"/>
      <c r="L75" s="48"/>
      <c r="M75" s="48"/>
      <c r="N75" s="48"/>
      <c r="O75" s="48"/>
      <c r="P75" s="710"/>
      <c r="Q75" s="710"/>
      <c r="R75" s="710"/>
      <c r="S75" s="48"/>
      <c r="T75" s="48"/>
      <c r="U75" s="708"/>
      <c r="V75" s="708"/>
      <c r="W75" s="708"/>
    </row>
    <row r="76" spans="1:23">
      <c r="B76" s="711" t="s">
        <v>133</v>
      </c>
      <c r="C76" s="712"/>
      <c r="D76" s="713"/>
      <c r="E76" s="48"/>
      <c r="F76" s="48"/>
      <c r="G76" s="708"/>
      <c r="H76" s="708"/>
      <c r="I76" s="708"/>
      <c r="K76" s="449"/>
      <c r="N76" s="48"/>
      <c r="O76" s="48"/>
      <c r="P76" s="709"/>
      <c r="Q76" s="709"/>
      <c r="R76" s="709"/>
      <c r="S76" s="48"/>
      <c r="T76" s="48"/>
      <c r="U76" s="708"/>
      <c r="V76" s="708"/>
      <c r="W76" s="708"/>
    </row>
    <row r="77" spans="1:23" ht="30.75" thickBot="1">
      <c r="B77" s="375" t="s">
        <v>134</v>
      </c>
      <c r="C77" s="376" t="s">
        <v>197</v>
      </c>
      <c r="D77" s="377" t="s">
        <v>150</v>
      </c>
      <c r="E77" s="271"/>
      <c r="F77" s="48"/>
      <c r="G77" s="450"/>
      <c r="H77" s="502" t="s">
        <v>338</v>
      </c>
      <c r="I77" s="48"/>
      <c r="J77" s="48"/>
      <c r="K77" s="48"/>
      <c r="L77" s="48"/>
      <c r="N77" s="48"/>
      <c r="O77" s="48"/>
      <c r="P77" s="313"/>
      <c r="Q77" s="313"/>
      <c r="R77" s="313"/>
      <c r="S77" s="271"/>
      <c r="T77" s="48"/>
      <c r="U77" s="450"/>
      <c r="V77" s="313"/>
      <c r="W77" s="450"/>
    </row>
    <row r="78" spans="1:23" ht="15" customHeight="1">
      <c r="B78" s="146" t="s">
        <v>136</v>
      </c>
      <c r="C78" s="147">
        <f>[2]EDOMEX!$D$42</f>
        <v>3675659.6221388057</v>
      </c>
      <c r="D78" s="148">
        <f>C78*$G$58</f>
        <v>3675.6596221388058</v>
      </c>
      <c r="E78" s="272"/>
      <c r="F78" s="48"/>
      <c r="G78" s="48"/>
      <c r="H78" s="705" t="s">
        <v>339</v>
      </c>
      <c r="I78" s="706"/>
      <c r="J78" s="706"/>
      <c r="K78" s="706"/>
      <c r="L78" s="707"/>
      <c r="N78" s="48"/>
      <c r="O78" s="48"/>
      <c r="P78" s="449"/>
      <c r="Q78" s="454"/>
      <c r="R78" s="63"/>
      <c r="S78" s="455"/>
      <c r="T78" s="48"/>
      <c r="U78" s="48"/>
      <c r="V78" s="452"/>
      <c r="W78" s="451"/>
    </row>
    <row r="79" spans="1:23">
      <c r="B79" s="149" t="s">
        <v>46</v>
      </c>
      <c r="C79" s="147">
        <f>[2]EDOMEX!$E$42</f>
        <v>344859.84183041996</v>
      </c>
      <c r="D79" s="150">
        <f>C79*$G$58</f>
        <v>344.85984183041995</v>
      </c>
      <c r="E79" s="272"/>
      <c r="F79" s="48"/>
      <c r="G79" s="48"/>
      <c r="H79" s="678" t="s">
        <v>273</v>
      </c>
      <c r="I79" s="679"/>
      <c r="J79" s="680"/>
      <c r="K79" s="681">
        <f>[7]Hoja1!$C$39/1000000</f>
        <v>22.723746760000001</v>
      </c>
      <c r="L79" s="701" t="s">
        <v>73</v>
      </c>
      <c r="M79" s="48"/>
      <c r="N79" s="48"/>
      <c r="O79" s="48"/>
      <c r="P79" s="449"/>
      <c r="Q79" s="454"/>
      <c r="R79" s="63"/>
      <c r="S79" s="455"/>
      <c r="T79" s="48"/>
      <c r="U79" s="48"/>
      <c r="V79" s="354"/>
      <c r="W79" s="451"/>
    </row>
    <row r="80" spans="1:23" ht="29.25">
      <c r="B80" s="149" t="s">
        <v>137</v>
      </c>
      <c r="C80" s="147">
        <f>[2]EDOMEX!$F$42</f>
        <v>611999.62550021801</v>
      </c>
      <c r="D80" s="150">
        <f>C80*$G$58</f>
        <v>611.99962550021803</v>
      </c>
      <c r="E80" s="272"/>
      <c r="F80" s="48"/>
      <c r="G80" s="48"/>
      <c r="H80" s="675" t="s">
        <v>340</v>
      </c>
      <c r="I80" s="676"/>
      <c r="J80" s="677"/>
      <c r="K80" s="682">
        <f>'[6]Proyección consumo'!$C$54/1000000</f>
        <v>1.1605970087109154</v>
      </c>
      <c r="L80" s="704"/>
      <c r="M80" s="48"/>
      <c r="N80" s="48"/>
      <c r="O80" s="48"/>
      <c r="P80" s="449"/>
      <c r="Q80" s="454"/>
      <c r="R80" s="63"/>
      <c r="S80" s="455"/>
      <c r="T80" s="48"/>
      <c r="U80" s="48"/>
      <c r="V80" s="48"/>
      <c r="W80" s="48"/>
    </row>
    <row r="81" spans="2:20">
      <c r="B81" s="149" t="s">
        <v>61</v>
      </c>
      <c r="C81" s="147">
        <f>[2]EDOMEX!$G$42</f>
        <v>68980.510456471893</v>
      </c>
      <c r="D81" s="150">
        <f>C81*$G$58</f>
        <v>68.98051045647189</v>
      </c>
      <c r="E81" s="272"/>
      <c r="F81" s="48"/>
      <c r="G81" s="450"/>
      <c r="H81" s="313"/>
      <c r="I81" s="500" t="s">
        <v>341</v>
      </c>
      <c r="J81" s="48"/>
      <c r="K81" s="749"/>
      <c r="L81" s="749"/>
      <c r="M81" s="48"/>
      <c r="N81" s="48"/>
      <c r="O81" s="48"/>
      <c r="P81" s="449"/>
      <c r="Q81" s="454"/>
      <c r="R81" s="63"/>
      <c r="S81" s="455"/>
      <c r="T81" s="48"/>
    </row>
    <row r="82" spans="2:20" ht="32.25" customHeight="1">
      <c r="B82" s="149" t="s">
        <v>138</v>
      </c>
      <c r="C82" s="147">
        <f>[2]EDOMEX!$H$42</f>
        <v>8094105.0289268093</v>
      </c>
      <c r="D82" s="150">
        <f>(C82*$G$58)</f>
        <v>8094.1050289268096</v>
      </c>
      <c r="E82" s="750" t="s">
        <v>342</v>
      </c>
      <c r="F82" s="751"/>
      <c r="G82" s="356">
        <f>D82-K80-K79</f>
        <v>8070.2206851580986</v>
      </c>
      <c r="H82" s="644" t="s">
        <v>147</v>
      </c>
      <c r="I82" s="451"/>
      <c r="J82" s="63"/>
      <c r="K82" s="710"/>
      <c r="L82" s="710"/>
      <c r="M82" s="710"/>
      <c r="N82" s="710"/>
      <c r="O82" s="48"/>
      <c r="P82" s="449"/>
      <c r="Q82" s="454"/>
      <c r="R82" s="63"/>
      <c r="S82" s="455"/>
      <c r="T82" s="48"/>
    </row>
    <row r="83" spans="2:20" ht="15.75" thickBot="1">
      <c r="B83" s="151" t="s">
        <v>96</v>
      </c>
      <c r="C83" s="152">
        <f>SUM(C78:C82)</f>
        <v>12795604.628852725</v>
      </c>
      <c r="D83" s="153">
        <f>SUM(D78:D82)</f>
        <v>12795.604628852725</v>
      </c>
      <c r="E83" s="273"/>
      <c r="G83" s="48"/>
      <c r="H83" s="453"/>
      <c r="I83" s="451"/>
      <c r="K83" s="729"/>
      <c r="L83" s="729"/>
      <c r="M83" s="729"/>
      <c r="N83" s="729"/>
      <c r="O83" s="48"/>
      <c r="P83" s="154"/>
      <c r="Q83" s="454"/>
      <c r="R83" s="63"/>
      <c r="S83" s="455"/>
    </row>
    <row r="84" spans="2:20">
      <c r="B84" s="501" t="s">
        <v>219</v>
      </c>
      <c r="C84" s="1" t="b">
        <f>C83=[2]EDOMEX!$C$42</f>
        <v>1</v>
      </c>
      <c r="P84" s="1"/>
      <c r="Q84" s="1"/>
    </row>
    <row r="85" spans="2:20" ht="15.75">
      <c r="B85" s="166"/>
    </row>
    <row r="86" spans="2:20" ht="27" thickBot="1">
      <c r="B86" s="435" t="s">
        <v>209</v>
      </c>
    </row>
    <row r="87" spans="2:20">
      <c r="B87" s="711" t="s">
        <v>133</v>
      </c>
      <c r="C87" s="712"/>
      <c r="D87" s="713"/>
    </row>
    <row r="88" spans="2:20" ht="30.75" thickBot="1">
      <c r="B88" s="375" t="s">
        <v>134</v>
      </c>
      <c r="C88" s="376" t="s">
        <v>135</v>
      </c>
      <c r="D88" s="377" t="s">
        <v>150</v>
      </c>
      <c r="E88" s="313"/>
    </row>
    <row r="89" spans="2:20">
      <c r="B89" s="146" t="s">
        <v>136</v>
      </c>
      <c r="C89" s="147">
        <f>[2]Tizayuca!$E$28</f>
        <v>52523.664232073395</v>
      </c>
      <c r="D89" s="148">
        <f t="shared" ref="D89:D94" si="0">C89*$G$58</f>
        <v>52.523664232073394</v>
      </c>
      <c r="E89" s="276"/>
    </row>
    <row r="90" spans="2:20">
      <c r="B90" s="149" t="s">
        <v>46</v>
      </c>
      <c r="C90" s="147">
        <f>[2]Tizayuca!$F$28</f>
        <v>6020.7257034581953</v>
      </c>
      <c r="D90" s="150">
        <f t="shared" si="0"/>
        <v>6.0207257034581954</v>
      </c>
      <c r="E90" s="276"/>
    </row>
    <row r="91" spans="2:20" ht="29.25">
      <c r="B91" s="149" t="s">
        <v>137</v>
      </c>
      <c r="C91" s="147">
        <f>[2]Tizayuca!$G$28</f>
        <v>7117.5893328848406</v>
      </c>
      <c r="D91" s="150">
        <f t="shared" si="0"/>
        <v>7.1175893328848403</v>
      </c>
      <c r="E91" s="276"/>
    </row>
    <row r="92" spans="2:20">
      <c r="B92" s="149" t="s">
        <v>61</v>
      </c>
      <c r="C92" s="147">
        <f>[2]Tizayuca!$H$28</f>
        <v>5906.045213868515</v>
      </c>
      <c r="D92" s="150">
        <f t="shared" si="0"/>
        <v>5.9060452138685156</v>
      </c>
      <c r="E92" s="276"/>
    </row>
    <row r="93" spans="2:20">
      <c r="B93" s="149" t="s">
        <v>138</v>
      </c>
      <c r="C93" s="147">
        <f>[2]Tizayuca!$I$28</f>
        <v>134398.13482078019</v>
      </c>
      <c r="D93" s="150">
        <f t="shared" si="0"/>
        <v>134.3981348207802</v>
      </c>
      <c r="E93" s="276"/>
    </row>
    <row r="94" spans="2:20" ht="15.75" thickBot="1">
      <c r="B94" s="151" t="s">
        <v>96</v>
      </c>
      <c r="C94" s="152">
        <f>SUM(C89:C93)</f>
        <v>205966.15930306516</v>
      </c>
      <c r="D94" s="153">
        <f t="shared" si="0"/>
        <v>205.96615930306515</v>
      </c>
    </row>
    <row r="95" spans="2:20">
      <c r="B95" s="501" t="s">
        <v>219</v>
      </c>
      <c r="C95" s="1" t="b">
        <f>C94=[2]Tizayuca!$J$28</f>
        <v>1</v>
      </c>
      <c r="D95">
        <f>IF(D94=C94*$G$58,1)</f>
        <v>1</v>
      </c>
    </row>
  </sheetData>
  <mergeCells count="35">
    <mergeCell ref="K83:L83"/>
    <mergeCell ref="K82:L82"/>
    <mergeCell ref="G75:I76"/>
    <mergeCell ref="K81:L81"/>
    <mergeCell ref="E82:F82"/>
    <mergeCell ref="H34:L34"/>
    <mergeCell ref="R1:T5"/>
    <mergeCell ref="B6:N6"/>
    <mergeCell ref="U7:V10"/>
    <mergeCell ref="O21:P21"/>
    <mergeCell ref="B19:P19"/>
    <mergeCell ref="B17:P17"/>
    <mergeCell ref="B18:P18"/>
    <mergeCell ref="C10:N12"/>
    <mergeCell ref="L79:L80"/>
    <mergeCell ref="B87:D87"/>
    <mergeCell ref="B3:N3"/>
    <mergeCell ref="B4:N4"/>
    <mergeCell ref="B5:N5"/>
    <mergeCell ref="B35:D36"/>
    <mergeCell ref="B34:F34"/>
    <mergeCell ref="B54:D54"/>
    <mergeCell ref="B42:D42"/>
    <mergeCell ref="B65:C65"/>
    <mergeCell ref="B76:D76"/>
    <mergeCell ref="G42:H44"/>
    <mergeCell ref="M82:N82"/>
    <mergeCell ref="M83:N83"/>
    <mergeCell ref="I41:J41"/>
    <mergeCell ref="I44:J44"/>
    <mergeCell ref="H35:J36"/>
    <mergeCell ref="H78:L78"/>
    <mergeCell ref="U75:W76"/>
    <mergeCell ref="P76:R76"/>
    <mergeCell ref="P74:R75"/>
  </mergeCells>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03"/>
  <sheetViews>
    <sheetView showGridLines="0" topLeftCell="G28" zoomScale="85" zoomScaleNormal="85" workbookViewId="0">
      <selection activeCell="I60" sqref="I60"/>
    </sheetView>
  </sheetViews>
  <sheetFormatPr baseColWidth="10" defaultRowHeight="15"/>
  <cols>
    <col min="2" max="2" width="33.85546875" customWidth="1"/>
    <col min="3" max="3" width="19.5703125" customWidth="1"/>
    <col min="4" max="4" width="30.28515625" customWidth="1"/>
    <col min="5" max="5" width="31.140625" customWidth="1"/>
    <col min="6" max="6" width="26.28515625" customWidth="1"/>
    <col min="7" max="7" width="32.28515625" customWidth="1"/>
    <col min="8" max="8" width="22.85546875" customWidth="1"/>
    <col min="9" max="9" width="36.42578125" customWidth="1"/>
    <col min="10" max="10" width="25.7109375" customWidth="1"/>
    <col min="11" max="11" width="19" customWidth="1"/>
    <col min="12" max="12" width="29.28515625" customWidth="1"/>
    <col min="13" max="13" width="16" customWidth="1"/>
  </cols>
  <sheetData>
    <row r="1" spans="2:12" ht="18.75">
      <c r="B1" s="395" t="s">
        <v>334</v>
      </c>
      <c r="C1" s="318"/>
      <c r="D1" s="318"/>
      <c r="E1" s="318"/>
      <c r="F1" s="318"/>
    </row>
    <row r="3" spans="2:12" ht="18.75">
      <c r="B3" s="395" t="s">
        <v>335</v>
      </c>
      <c r="D3">
        <f>C5/C17</f>
        <v>0.22614470914814774</v>
      </c>
    </row>
    <row r="4" spans="2:12">
      <c r="B4" s="357" t="s">
        <v>35</v>
      </c>
      <c r="C4" s="349" t="s">
        <v>92</v>
      </c>
      <c r="D4" s="348" t="s">
        <v>37</v>
      </c>
      <c r="E4" s="349" t="s">
        <v>36</v>
      </c>
      <c r="F4" s="349" t="s">
        <v>92</v>
      </c>
      <c r="G4" s="348" t="s">
        <v>37</v>
      </c>
      <c r="I4" s="275"/>
      <c r="J4" s="275"/>
      <c r="K4" s="275"/>
    </row>
    <row r="5" spans="2:12">
      <c r="B5" s="468" t="s">
        <v>44</v>
      </c>
      <c r="C5" s="521">
        <f>SUM(C6:C7)</f>
        <v>435.81865356000003</v>
      </c>
      <c r="D5" s="671">
        <f>C5/C17</f>
        <v>0.22614470914814774</v>
      </c>
      <c r="E5" s="5" t="s">
        <v>45</v>
      </c>
      <c r="F5" s="287">
        <f>SUM(F6:F11)</f>
        <v>3610.1003495003765</v>
      </c>
      <c r="G5" s="289">
        <f t="shared" ref="G5:G14" si="0">+F5/$F$17</f>
        <v>0.38292957663249372</v>
      </c>
      <c r="H5" s="64"/>
    </row>
    <row r="6" spans="2:12">
      <c r="B6" s="97" t="s">
        <v>46</v>
      </c>
      <c r="C6" s="76">
        <f>[8]Consumo_CDMX!$C49</f>
        <v>435.80740943230927</v>
      </c>
      <c r="D6" s="315">
        <f>+C6/C5</f>
        <v>0.99997419998524861</v>
      </c>
      <c r="E6" s="5" t="s">
        <v>47</v>
      </c>
      <c r="F6" s="287">
        <f>[8]Consumo_CDMX!$F49</f>
        <v>2426.7789742188852</v>
      </c>
      <c r="G6" s="289">
        <f t="shared" si="0"/>
        <v>0.25741263544291348</v>
      </c>
      <c r="H6" s="276">
        <f>F6/$F$5</f>
        <v>0.67221925688429729</v>
      </c>
    </row>
    <row r="7" spans="2:12">
      <c r="B7" s="97" t="s">
        <v>48</v>
      </c>
      <c r="C7" s="76">
        <f>[8]Consumo_CDMX!$C50</f>
        <v>1.1244127690756478E-2</v>
      </c>
      <c r="D7" s="315">
        <f>+C7/C5</f>
        <v>2.5800014751338484E-5</v>
      </c>
      <c r="E7" s="5" t="s">
        <v>49</v>
      </c>
      <c r="F7" s="287">
        <f>[8]Consumo_CDMX!$F50</f>
        <v>1091.1291142452192</v>
      </c>
      <c r="G7" s="289">
        <f t="shared" si="0"/>
        <v>0.11573794889860473</v>
      </c>
      <c r="H7" s="276"/>
    </row>
    <row r="8" spans="2:12">
      <c r="B8" s="468" t="s">
        <v>50</v>
      </c>
      <c r="C8" s="521">
        <f>SUM(C9:C10)</f>
        <v>171.20461095770523</v>
      </c>
      <c r="D8" s="671">
        <f>C8/C17</f>
        <v>8.8837447946733622E-2</v>
      </c>
      <c r="E8" s="5" t="s">
        <v>51</v>
      </c>
      <c r="F8" s="287">
        <f>[8]Consumo_CDMX!$F51</f>
        <v>77.037853971234</v>
      </c>
      <c r="G8" s="289">
        <f t="shared" si="0"/>
        <v>8.1715381706669744E-3</v>
      </c>
      <c r="H8" s="276"/>
      <c r="L8" s="275"/>
    </row>
    <row r="9" spans="2:12">
      <c r="B9" s="277" t="s">
        <v>52</v>
      </c>
      <c r="C9" s="76">
        <f>[8]Consumo_CDMX!$C52</f>
        <v>166.36376777373403</v>
      </c>
      <c r="D9" s="288">
        <f>C9/C8</f>
        <v>0.97172480836297626</v>
      </c>
      <c r="E9" s="5" t="s">
        <v>111</v>
      </c>
      <c r="F9" s="287">
        <f>[8]Consumo_CDMX!$F52</f>
        <v>4.8953732508197723</v>
      </c>
      <c r="G9" s="289">
        <f t="shared" si="0"/>
        <v>5.1926069220039402E-4</v>
      </c>
      <c r="H9" s="276"/>
      <c r="L9" s="275"/>
    </row>
    <row r="10" spans="2:12">
      <c r="B10" s="97" t="s">
        <v>54</v>
      </c>
      <c r="C10" s="76">
        <f>[8]Consumo_CDMX!$C53</f>
        <v>4.8408431839712147</v>
      </c>
      <c r="D10" s="288">
        <f>C10/C8</f>
        <v>2.8275191637023769E-2</v>
      </c>
      <c r="E10" s="5" t="s">
        <v>56</v>
      </c>
      <c r="F10" s="287">
        <f>[8]Consumo_CDMX!$F53</f>
        <v>0</v>
      </c>
      <c r="G10" s="289">
        <f t="shared" si="0"/>
        <v>0</v>
      </c>
      <c r="H10" s="276"/>
    </row>
    <row r="11" spans="2:12">
      <c r="B11" s="45" t="s">
        <v>55</v>
      </c>
      <c r="C11" s="76">
        <f>[8]Consumo_CDMX!C54</f>
        <v>343.65384399999999</v>
      </c>
      <c r="D11" s="288">
        <f>C11/$C$17</f>
        <v>0.17832072575187213</v>
      </c>
      <c r="E11" s="5" t="s">
        <v>58</v>
      </c>
      <c r="F11" s="287">
        <f>[8]Consumo_CDMX!$F54</f>
        <v>10.259033814217965</v>
      </c>
      <c r="G11" s="289">
        <f t="shared" si="0"/>
        <v>1.0881934281080606E-3</v>
      </c>
      <c r="H11" s="276"/>
    </row>
    <row r="12" spans="2:12">
      <c r="B12" s="49" t="s">
        <v>57</v>
      </c>
      <c r="C12" s="76">
        <f>[8]Consumo_CDMX!C55</f>
        <v>958.74411299999986</v>
      </c>
      <c r="D12" s="288">
        <f t="shared" ref="D12:D13" si="1">C12/$C$17</f>
        <v>0.49748882203830341</v>
      </c>
      <c r="E12" s="5" t="s">
        <v>60</v>
      </c>
      <c r="F12" s="287">
        <f>[8]Consumo_CDMX!$F55</f>
        <v>1361.5794056666002</v>
      </c>
      <c r="G12" s="289">
        <f t="shared" si="0"/>
        <v>0.1444250782213275</v>
      </c>
      <c r="H12" s="276"/>
    </row>
    <row r="13" spans="2:12">
      <c r="B13" s="45" t="s">
        <v>59</v>
      </c>
      <c r="C13" s="76">
        <f>[8]Consumo_CDMX!C56</f>
        <v>17.745923809999997</v>
      </c>
      <c r="D13" s="288">
        <f t="shared" si="1"/>
        <v>9.208295114943128E-3</v>
      </c>
      <c r="E13" s="5" t="s">
        <v>61</v>
      </c>
      <c r="F13" s="287">
        <f>[8]Consumo_CDMX!$F56</f>
        <v>5.968947727211015</v>
      </c>
      <c r="G13" s="289">
        <f t="shared" si="0"/>
        <v>6.3313659035509344E-4</v>
      </c>
      <c r="H13" s="276"/>
    </row>
    <row r="14" spans="2:12">
      <c r="B14" s="49"/>
      <c r="C14" s="76"/>
      <c r="D14" s="49"/>
      <c r="E14" s="5" t="s">
        <v>274</v>
      </c>
      <c r="F14" s="287">
        <f>[8]Consumo_CDMX!$F57</f>
        <v>0.57713366391444099</v>
      </c>
      <c r="G14" s="289">
        <f t="shared" si="0"/>
        <v>6.1217564108350208E-5</v>
      </c>
      <c r="H14" s="276">
        <f>F12/(F12+F15)</f>
        <v>0.27161903777100754</v>
      </c>
    </row>
    <row r="15" spans="2:12">
      <c r="B15" s="49"/>
      <c r="C15" s="76"/>
      <c r="D15" s="49"/>
      <c r="E15" s="5" t="s">
        <v>62</v>
      </c>
      <c r="F15" s="287">
        <f>[8]Consumo_CDMX!$F58</f>
        <v>3651.2481812365686</v>
      </c>
      <c r="G15" s="289">
        <f>+F15/$F$17</f>
        <v>0.38729419818332284</v>
      </c>
      <c r="H15" s="276"/>
    </row>
    <row r="16" spans="2:12">
      <c r="B16" s="49"/>
      <c r="C16" s="76"/>
      <c r="D16" s="49"/>
      <c r="E16" s="5" t="s">
        <v>67</v>
      </c>
      <c r="F16" s="287">
        <f>[8]Consumo_CDMX!$F59</f>
        <v>798.10893687762382</v>
      </c>
      <c r="G16" s="289">
        <f>+F16/$F$17</f>
        <v>8.4656792808392334E-2</v>
      </c>
      <c r="H16" s="98"/>
    </row>
    <row r="17" spans="2:13">
      <c r="B17" s="49" t="s">
        <v>63</v>
      </c>
      <c r="C17" s="76">
        <f>SUM(C5,C8,C11:C13)</f>
        <v>1927.1671453277049</v>
      </c>
      <c r="D17" s="50">
        <f>C17/C18</f>
        <v>0.16972343101832815</v>
      </c>
      <c r="E17" s="5" t="s">
        <v>63</v>
      </c>
      <c r="F17" s="8">
        <f>SUM(F5,F12:F16)</f>
        <v>9427.5829546722962</v>
      </c>
      <c r="G17" s="93">
        <f>+F17/C18</f>
        <v>0.83027656898167179</v>
      </c>
    </row>
    <row r="18" spans="2:13">
      <c r="B18" s="1" t="s">
        <v>112</v>
      </c>
      <c r="C18" s="94">
        <f>C17+F17</f>
        <v>11354.750100000001</v>
      </c>
      <c r="D18" s="63"/>
      <c r="E18" s="2"/>
      <c r="G18">
        <f>IF(F17=[8]Consumo_CDMX!$F$60,1)</f>
        <v>1</v>
      </c>
    </row>
    <row r="19" spans="2:13">
      <c r="B19" s="1"/>
      <c r="C19" s="309">
        <f>IF(C18=[8]Consumo_CDMX!$C$61,1)</f>
        <v>1</v>
      </c>
      <c r="D19" s="48"/>
      <c r="E19" s="6"/>
    </row>
    <row r="21" spans="2:13" ht="20.25">
      <c r="B21" s="505" t="s">
        <v>287</v>
      </c>
      <c r="D21" t="s">
        <v>115</v>
      </c>
      <c r="E21" s="615">
        <f>+'Dato de Actividad'!D49</f>
        <v>11877.000000000002</v>
      </c>
      <c r="F21" t="s">
        <v>114</v>
      </c>
    </row>
    <row r="22" spans="2:13">
      <c r="G22" s="75" t="s">
        <v>98</v>
      </c>
      <c r="H22" s="48">
        <v>1000</v>
      </c>
      <c r="I22" s="48" t="s">
        <v>97</v>
      </c>
    </row>
    <row r="23" spans="2:13" ht="15.75">
      <c r="B23" s="512" t="s">
        <v>266</v>
      </c>
      <c r="C23" s="48"/>
      <c r="D23" s="48"/>
      <c r="K23" s="119"/>
      <c r="L23" s="120">
        <f>E21*D17</f>
        <v>2015.8051902046839</v>
      </c>
      <c r="M23" t="s">
        <v>73</v>
      </c>
    </row>
    <row r="24" spans="2:13" ht="18.75" customHeight="1">
      <c r="B24" s="51"/>
      <c r="C24" s="48"/>
      <c r="D24" s="48"/>
      <c r="E24" s="394" t="s">
        <v>267</v>
      </c>
      <c r="F24" s="48"/>
      <c r="G24" s="48"/>
      <c r="H24" s="48"/>
      <c r="I24" s="48"/>
      <c r="K24" s="1" t="s">
        <v>128</v>
      </c>
      <c r="L24" s="121">
        <f>E21-C35</f>
        <v>9987.8093996188909</v>
      </c>
      <c r="M24" t="s">
        <v>73</v>
      </c>
    </row>
    <row r="25" spans="2:13" ht="29.25" customHeight="1">
      <c r="B25" s="358" t="s">
        <v>77</v>
      </c>
      <c r="C25" s="359" t="s">
        <v>206</v>
      </c>
      <c r="E25" s="513" t="s">
        <v>69</v>
      </c>
      <c r="F25" s="513" t="s">
        <v>288</v>
      </c>
      <c r="G25" s="513" t="s">
        <v>279</v>
      </c>
      <c r="H25" s="514" t="s">
        <v>70</v>
      </c>
      <c r="I25" s="515" t="s">
        <v>113</v>
      </c>
      <c r="J25" s="276"/>
      <c r="K25" s="82" t="s">
        <v>71</v>
      </c>
      <c r="L25" s="122">
        <f>+'Dato de Actividad'!D44</f>
        <v>3441</v>
      </c>
      <c r="M25" t="s">
        <v>73</v>
      </c>
    </row>
    <row r="26" spans="2:13">
      <c r="B26" s="397" t="s">
        <v>78</v>
      </c>
      <c r="C26" s="398">
        <f>+'Dato de Actividad'!D45</f>
        <v>463.75731200000001</v>
      </c>
      <c r="D26" t="b">
        <f>+C26='Dato de Actividad'!D45</f>
        <v>1</v>
      </c>
      <c r="E26" s="284" t="s">
        <v>47</v>
      </c>
      <c r="F26" s="285">
        <f>'Propuesta Población'!K5</f>
        <v>1972797</v>
      </c>
      <c r="G26" s="285">
        <f>'Propuesta Población'!L5</f>
        <v>6209721</v>
      </c>
      <c r="H26" s="286">
        <f>+G26/$G$32</f>
        <v>0.672219055830788</v>
      </c>
      <c r="I26" s="321">
        <f>H26*$L$25</f>
        <v>2313.1057711137414</v>
      </c>
      <c r="J26" s="276"/>
      <c r="K26" s="82" t="s">
        <v>72</v>
      </c>
      <c r="L26" s="122">
        <f>L24/G32</f>
        <v>1.0812073206557396E-3</v>
      </c>
      <c r="M26" t="s">
        <v>73</v>
      </c>
    </row>
    <row r="27" spans="2:13">
      <c r="B27" s="97" t="s">
        <v>46</v>
      </c>
      <c r="C27" s="62">
        <f>+C26*D6</f>
        <v>463.74534705450935</v>
      </c>
      <c r="E27" s="284" t="s">
        <v>49</v>
      </c>
      <c r="F27" s="285">
        <f>'Propuesta Población'!K6</f>
        <v>887010</v>
      </c>
      <c r="G27" s="285">
        <f>'Propuesta Población'!L6</f>
        <v>2792018</v>
      </c>
      <c r="H27" s="286">
        <f t="shared" ref="H27:H31" si="2">+G27/$G$32</f>
        <v>0.30224348305222815</v>
      </c>
      <c r="I27" s="670">
        <f>H27*$L$25</f>
        <v>1040.0198251827171</v>
      </c>
      <c r="J27" s="276"/>
      <c r="K27" s="82" t="s">
        <v>74</v>
      </c>
      <c r="L27" s="123">
        <f>L26*1000000</f>
        <v>1081.2073206557395</v>
      </c>
      <c r="M27" t="s">
        <v>75</v>
      </c>
    </row>
    <row r="28" spans="2:13">
      <c r="B28" s="97" t="s">
        <v>48</v>
      </c>
      <c r="C28" s="314">
        <f>+C26*D7</f>
        <v>1.1964945490641084E-2</v>
      </c>
      <c r="E28" s="284" t="s">
        <v>51</v>
      </c>
      <c r="F28" s="285">
        <f>'Propuesta Población'!K7</f>
        <v>62626</v>
      </c>
      <c r="G28" s="285">
        <f>'Propuesta Población'!L7</f>
        <v>197126</v>
      </c>
      <c r="H28" s="286">
        <f t="shared" si="2"/>
        <v>2.1339421465102849E-2</v>
      </c>
      <c r="I28" s="321">
        <f t="shared" ref="I28:I31" si="3">H28*$L$25</f>
        <v>73.428949261418907</v>
      </c>
      <c r="J28" s="276"/>
    </row>
    <row r="29" spans="2:13">
      <c r="B29" s="399" t="s">
        <v>222</v>
      </c>
      <c r="C29" s="400">
        <f>SUM(C30:C31)</f>
        <v>223.31736078111132</v>
      </c>
      <c r="E29" s="284" t="s">
        <v>56</v>
      </c>
      <c r="F29" s="285">
        <f>'Propuesta Población'!K8</f>
        <v>3980</v>
      </c>
      <c r="G29" s="285">
        <f>'Propuesta Población'!L8</f>
        <v>12528</v>
      </c>
      <c r="H29" s="286">
        <f t="shared" si="2"/>
        <v>1.3561898081166791E-3</v>
      </c>
      <c r="I29" s="321">
        <f t="shared" si="3"/>
        <v>4.6666491297294925</v>
      </c>
      <c r="J29" s="276"/>
    </row>
    <row r="30" spans="2:13">
      <c r="B30" s="97" t="s">
        <v>221</v>
      </c>
      <c r="C30" s="508">
        <f>+H38</f>
        <v>217.00301960915101</v>
      </c>
      <c r="E30" s="284" t="s">
        <v>58</v>
      </c>
      <c r="F30" s="285">
        <f>'Propuesta Población'!K9</f>
        <v>0</v>
      </c>
      <c r="G30" s="285">
        <f>'Propuesta Población'!L9</f>
        <v>0</v>
      </c>
      <c r="H30" s="286">
        <f t="shared" si="2"/>
        <v>0</v>
      </c>
      <c r="I30" s="321">
        <f t="shared" si="3"/>
        <v>0</v>
      </c>
      <c r="J30" s="276"/>
    </row>
    <row r="31" spans="2:13">
      <c r="B31" s="277" t="s">
        <v>54</v>
      </c>
      <c r="C31" s="76">
        <f>+H39</f>
        <v>6.3143411719602973</v>
      </c>
      <c r="E31" s="284" t="s">
        <v>76</v>
      </c>
      <c r="F31" s="285">
        <f>'Propuesta Población'!K10</f>
        <v>8340</v>
      </c>
      <c r="G31" s="285">
        <f>'Propuesta Población'!L10</f>
        <v>26252</v>
      </c>
      <c r="H31" s="286">
        <f t="shared" si="2"/>
        <v>2.8418498437642928E-3</v>
      </c>
      <c r="I31" s="321">
        <f t="shared" si="3"/>
        <v>9.7788053123929313</v>
      </c>
    </row>
    <row r="32" spans="2:13">
      <c r="B32" s="397" t="s">
        <v>79</v>
      </c>
      <c r="C32" s="398">
        <f>+'Dato de Actividad'!D46</f>
        <v>413.81469570999997</v>
      </c>
      <c r="D32" s="6" t="b">
        <f>+C32='Dato de Actividad'!D46</f>
        <v>1</v>
      </c>
      <c r="E32" s="591" t="s">
        <v>63</v>
      </c>
      <c r="F32" s="592">
        <f>SUM(F26:F31)</f>
        <v>2934753</v>
      </c>
      <c r="G32" s="592">
        <f>SUM(G26:G31)</f>
        <v>9237645</v>
      </c>
      <c r="H32" s="593">
        <f>SUM(H26:H31)</f>
        <v>1</v>
      </c>
      <c r="I32" s="322">
        <f>SUM(I26:I31)</f>
        <v>3441</v>
      </c>
    </row>
    <row r="33" spans="2:12">
      <c r="B33" s="401" t="s">
        <v>80</v>
      </c>
      <c r="C33" s="398">
        <f>+'Dato de Actividad'!D59</f>
        <v>33.737627889999999</v>
      </c>
      <c r="D33" t="b">
        <f>+C33='Dato de Actividad'!D59</f>
        <v>1</v>
      </c>
      <c r="E33" s="511" t="s">
        <v>317</v>
      </c>
      <c r="H33" s="64"/>
      <c r="I33" s="124"/>
    </row>
    <row r="34" spans="2:12" ht="15.75" thickBot="1">
      <c r="B34" s="401" t="s">
        <v>81</v>
      </c>
      <c r="C34" s="402">
        <f>+'Dato de Actividad'!E36</f>
        <v>754.56360399999983</v>
      </c>
      <c r="D34" s="6" t="b">
        <f>+C34='Dato de Actividad'!E36</f>
        <v>1</v>
      </c>
      <c r="L34" s="6"/>
    </row>
    <row r="35" spans="2:12" ht="15.75" thickBot="1">
      <c r="B35" s="135" t="s">
        <v>63</v>
      </c>
      <c r="C35" s="509">
        <f>SUM(C26,C4, C32:C34,C29)</f>
        <v>1889.1906003811112</v>
      </c>
      <c r="D35" s="6"/>
      <c r="E35" s="360" t="s">
        <v>34</v>
      </c>
      <c r="F35" s="361" t="s">
        <v>277</v>
      </c>
      <c r="G35" s="361" t="s">
        <v>155</v>
      </c>
      <c r="H35" s="362" t="s">
        <v>289</v>
      </c>
      <c r="K35" s="6"/>
      <c r="L35" s="6"/>
    </row>
    <row r="36" spans="2:12">
      <c r="B36" s="125"/>
      <c r="C36" s="255"/>
      <c r="D36" s="63"/>
      <c r="E36" s="137" t="s">
        <v>152</v>
      </c>
      <c r="F36" s="355">
        <f>[8]Consumo_CDMX!$H36</f>
        <v>1361.5794056666002</v>
      </c>
      <c r="G36" s="335">
        <f>+F36/$F$40</f>
        <v>0.26264871700226683</v>
      </c>
      <c r="H36" s="336">
        <f>+$C$43*G36</f>
        <v>1776.0287977436308</v>
      </c>
      <c r="K36" s="6"/>
      <c r="L36" s="6"/>
    </row>
    <row r="37" spans="2:12">
      <c r="B37" s="752" t="s">
        <v>151</v>
      </c>
      <c r="C37" s="752"/>
      <c r="D37" s="48"/>
      <c r="E37" s="134" t="s">
        <v>153</v>
      </c>
      <c r="F37" s="355">
        <f>[8]Consumo_CDMX!$H37</f>
        <v>3651.2481812365686</v>
      </c>
      <c r="G37" s="506">
        <f>+F37/$F$40</f>
        <v>0.70432590730111788</v>
      </c>
      <c r="H37" s="507">
        <f>+$C$43*G37</f>
        <v>4762.6468868412567</v>
      </c>
      <c r="K37" s="6"/>
      <c r="L37" s="6"/>
    </row>
    <row r="38" spans="2:12">
      <c r="B38" s="348" t="s">
        <v>63</v>
      </c>
      <c r="C38" s="363">
        <f>+'Dato de Actividad'!D48</f>
        <v>7557.8240394959985</v>
      </c>
      <c r="D38" s="6" t="b">
        <f>+C38='Dato de Actividad'!D48</f>
        <v>1</v>
      </c>
      <c r="E38" s="134" t="s">
        <v>220</v>
      </c>
      <c r="F38" s="355">
        <f>[8]Consumo_CDMX!$H38</f>
        <v>166.36376777373403</v>
      </c>
      <c r="G38" s="506">
        <f>+F38/$F$40</f>
        <v>3.2091576869908704E-2</v>
      </c>
      <c r="H38" s="507">
        <f>+$C$43*G38</f>
        <v>217.00301960915101</v>
      </c>
      <c r="K38" s="6"/>
      <c r="L38" s="6"/>
    </row>
    <row r="39" spans="2:12" ht="15.75" thickBot="1">
      <c r="B39" s="5" t="s">
        <v>81</v>
      </c>
      <c r="C39" s="19">
        <f>+C34</f>
        <v>754.56360399999983</v>
      </c>
      <c r="D39" s="48"/>
      <c r="E39" s="253" t="s">
        <v>54</v>
      </c>
      <c r="F39" s="355">
        <f>[8]Consumo_CDMX!$H39</f>
        <v>4.8408431839712147</v>
      </c>
      <c r="G39" s="337">
        <f>F39/$F$40</f>
        <v>9.337988267065022E-4</v>
      </c>
      <c r="H39" s="331">
        <f>+C43*G39</f>
        <v>6.3143411719602973</v>
      </c>
      <c r="K39" s="6"/>
      <c r="L39" s="6"/>
    </row>
    <row r="40" spans="2:12" ht="15.75" thickBot="1">
      <c r="B40" s="5" t="s">
        <v>143</v>
      </c>
      <c r="C40" s="19">
        <f>+C33</f>
        <v>33.737627889999999</v>
      </c>
      <c r="D40" s="6"/>
      <c r="E40" s="332" t="s">
        <v>96</v>
      </c>
      <c r="F40" s="594">
        <f>SUM(F36:F39)</f>
        <v>5184.0321978608745</v>
      </c>
      <c r="G40" s="333">
        <f>SUM(G36:G39)</f>
        <v>1</v>
      </c>
      <c r="H40" s="334">
        <f>SUM(H36:H39)</f>
        <v>6761.993045365999</v>
      </c>
      <c r="K40" s="6"/>
      <c r="L40" s="6"/>
    </row>
    <row r="41" spans="2:12">
      <c r="B41" s="642" t="s">
        <v>307</v>
      </c>
      <c r="C41" s="643"/>
      <c r="H41" s="6">
        <f>+H40-C43</f>
        <v>0</v>
      </c>
    </row>
    <row r="42" spans="2:12">
      <c r="B42" s="19" t="s">
        <v>273</v>
      </c>
      <c r="C42" s="19">
        <f>'Dato de Actividad'!K36</f>
        <v>7.5297622400000002</v>
      </c>
      <c r="D42" s="600" t="s">
        <v>275</v>
      </c>
      <c r="H42" s="6"/>
    </row>
    <row r="43" spans="2:12" ht="30">
      <c r="B43" s="330" t="s">
        <v>223</v>
      </c>
      <c r="C43" s="356">
        <f>+C38-SUM(C39:C42)</f>
        <v>6761.993045365999</v>
      </c>
    </row>
    <row r="45" spans="2:12">
      <c r="B45" s="6"/>
      <c r="C45" s="6"/>
    </row>
    <row r="46" spans="2:12" ht="21">
      <c r="B46" s="395" t="s">
        <v>291</v>
      </c>
      <c r="C46" s="65"/>
      <c r="D46" s="65"/>
      <c r="I46" t="s">
        <v>256</v>
      </c>
    </row>
    <row r="47" spans="2:12">
      <c r="B47" s="299" t="s">
        <v>35</v>
      </c>
      <c r="C47" s="299" t="s">
        <v>92</v>
      </c>
      <c r="D47" s="300" t="s">
        <v>105</v>
      </c>
      <c r="E47" s="299" t="s">
        <v>36</v>
      </c>
      <c r="F47" s="299" t="s">
        <v>92</v>
      </c>
      <c r="G47" s="299" t="s">
        <v>106</v>
      </c>
      <c r="I47" s="338" t="s">
        <v>34</v>
      </c>
      <c r="J47" s="338" t="s">
        <v>187</v>
      </c>
    </row>
    <row r="48" spans="2:12">
      <c r="B48" s="403" t="s">
        <v>44</v>
      </c>
      <c r="C48" s="404">
        <f>SUM(C49:C50)</f>
        <v>463.75731200000001</v>
      </c>
      <c r="D48" s="405">
        <f>SUM(D49:D50)</f>
        <v>0.2454793666168173</v>
      </c>
      <c r="E48" s="406" t="s">
        <v>45</v>
      </c>
      <c r="F48" s="404">
        <f>SUM(F49:F54)</f>
        <v>3441</v>
      </c>
      <c r="G48" s="415">
        <f t="shared" ref="G48:G58" si="4">F48/$F$60</f>
        <v>0.34451999055281329</v>
      </c>
      <c r="I48" t="s">
        <v>45</v>
      </c>
      <c r="J48" s="161">
        <f>+F48*1000</f>
        <v>3441000</v>
      </c>
    </row>
    <row r="49" spans="2:11">
      <c r="B49" s="70" t="s">
        <v>46</v>
      </c>
      <c r="C49" s="69">
        <f>+C27</f>
        <v>463.74534705450935</v>
      </c>
      <c r="D49" s="329">
        <f>C49/$C$60</f>
        <v>0.24547303324553743</v>
      </c>
      <c r="E49" s="70" t="s">
        <v>47</v>
      </c>
      <c r="F49" s="68">
        <f t="shared" ref="F49:F54" si="5">I26</f>
        <v>2313.1057711137414</v>
      </c>
      <c r="G49" s="80">
        <f t="shared" si="4"/>
        <v>0.23159290276424413</v>
      </c>
      <c r="I49" t="s">
        <v>248</v>
      </c>
      <c r="J49" s="66">
        <f>SUM(C48,C51,C54)*1000</f>
        <v>1100889.3684911113</v>
      </c>
    </row>
    <row r="50" spans="2:11">
      <c r="B50" s="70" t="s">
        <v>48</v>
      </c>
      <c r="C50" s="69">
        <f>+C28</f>
        <v>1.1964945490641084E-2</v>
      </c>
      <c r="D50" s="329">
        <f t="shared" ref="D50:D56" si="6">C50/$C$60</f>
        <v>6.3333712798631138E-6</v>
      </c>
      <c r="E50" s="70" t="s">
        <v>49</v>
      </c>
      <c r="F50" s="68">
        <f t="shared" si="5"/>
        <v>1040.0198251827171</v>
      </c>
      <c r="G50" s="80">
        <f t="shared" si="4"/>
        <v>0.10412892192580303</v>
      </c>
      <c r="I50" t="s">
        <v>188</v>
      </c>
      <c r="J50" s="161">
        <f>+SUM(F55,F59)*1000</f>
        <v>1776028.7977436308</v>
      </c>
    </row>
    <row r="51" spans="2:11">
      <c r="B51" s="406" t="s">
        <v>94</v>
      </c>
      <c r="C51" s="407">
        <f>SUM(C52:C53)</f>
        <v>223.31736078111132</v>
      </c>
      <c r="D51" s="405">
        <f t="shared" si="6"/>
        <v>0.11820795674934065</v>
      </c>
      <c r="E51" s="70" t="s">
        <v>51</v>
      </c>
      <c r="F51" s="68">
        <f t="shared" si="5"/>
        <v>73.428949261418907</v>
      </c>
      <c r="G51" s="80">
        <f t="shared" si="4"/>
        <v>7.3518572815597346E-3</v>
      </c>
      <c r="I51" t="s">
        <v>62</v>
      </c>
      <c r="J51" s="161">
        <f>+F58*1000</f>
        <v>4762646.8868412571</v>
      </c>
      <c r="K51" s="161">
        <f>+J51+J53</f>
        <v>4763250.8396352595</v>
      </c>
    </row>
    <row r="52" spans="2:11">
      <c r="B52" s="70" t="s">
        <v>93</v>
      </c>
      <c r="C52" s="69">
        <f>+C30</f>
        <v>217.00301960915101</v>
      </c>
      <c r="D52" s="329">
        <f t="shared" si="6"/>
        <v>0.11486560411923202</v>
      </c>
      <c r="E52" s="70" t="s">
        <v>56</v>
      </c>
      <c r="F52" s="68">
        <f t="shared" si="5"/>
        <v>4.6666491297294925</v>
      </c>
      <c r="G52" s="80">
        <f t="shared" si="4"/>
        <v>4.6723449988017991E-4</v>
      </c>
      <c r="I52" t="s">
        <v>144</v>
      </c>
      <c r="J52" s="161">
        <f>+SUM(C55,C56,F56)*1000</f>
        <v>795830.99412999977</v>
      </c>
    </row>
    <row r="53" spans="2:11">
      <c r="B53" s="70" t="s">
        <v>54</v>
      </c>
      <c r="C53" s="69">
        <f>+C31</f>
        <v>6.3143411719602973</v>
      </c>
      <c r="D53" s="329">
        <f t="shared" si="6"/>
        <v>3.3423526301086235E-3</v>
      </c>
      <c r="E53" s="70" t="s">
        <v>58</v>
      </c>
      <c r="F53" s="68">
        <f t="shared" si="5"/>
        <v>0</v>
      </c>
      <c r="G53" s="80">
        <f t="shared" si="4"/>
        <v>0</v>
      </c>
      <c r="I53" t="s">
        <v>61</v>
      </c>
      <c r="J53" s="161">
        <f>+F57*1000</f>
        <v>603.95279400265736</v>
      </c>
    </row>
    <row r="54" spans="2:11">
      <c r="B54" s="408" t="s">
        <v>55</v>
      </c>
      <c r="C54" s="409">
        <f>+C32</f>
        <v>413.81469570999997</v>
      </c>
      <c r="D54" s="405">
        <f t="shared" si="6"/>
        <v>0.21904338060252895</v>
      </c>
      <c r="E54" s="70" t="s">
        <v>76</v>
      </c>
      <c r="F54" s="68">
        <f t="shared" si="5"/>
        <v>9.7788053123929313</v>
      </c>
      <c r="G54" s="80">
        <f t="shared" si="4"/>
        <v>9.790740813261881E-4</v>
      </c>
      <c r="I54" t="s">
        <v>63</v>
      </c>
      <c r="J54" t="b">
        <f>+SUM(J48:J53)/1000=C61</f>
        <v>1</v>
      </c>
    </row>
    <row r="55" spans="2:11">
      <c r="B55" s="408" t="s">
        <v>57</v>
      </c>
      <c r="C55" s="409">
        <f>+C34</f>
        <v>754.56360399999983</v>
      </c>
      <c r="D55" s="405">
        <f t="shared" si="6"/>
        <v>0.39941105140359034</v>
      </c>
      <c r="E55" s="408" t="s">
        <v>60</v>
      </c>
      <c r="F55" s="402">
        <f>H36</f>
        <v>1776.0287977436308</v>
      </c>
      <c r="G55" s="415">
        <f t="shared" si="4"/>
        <v>0.17781965260684685</v>
      </c>
    </row>
    <row r="56" spans="2:11">
      <c r="B56" s="408" t="s">
        <v>290</v>
      </c>
      <c r="C56" s="409">
        <f>+C33</f>
        <v>33.737627889999999</v>
      </c>
      <c r="D56" s="405">
        <f t="shared" si="6"/>
        <v>1.7858244627722591E-2</v>
      </c>
      <c r="E56" s="408" t="s">
        <v>274</v>
      </c>
      <c r="F56" s="6">
        <f>C42</f>
        <v>7.5297622400000002</v>
      </c>
      <c r="G56" s="599">
        <f t="shared" si="4"/>
        <v>7.5389526759364438E-4</v>
      </c>
    </row>
    <row r="57" spans="2:11">
      <c r="B57" s="408"/>
      <c r="C57" s="409"/>
      <c r="D57" s="405"/>
      <c r="E57" s="408" t="s">
        <v>61</v>
      </c>
      <c r="F57" s="402">
        <f>+'Dato de Actividad'!D47</f>
        <v>0.60395279400265733</v>
      </c>
      <c r="G57" s="415">
        <f t="shared" si="4"/>
        <v>6.046899473529227E-5</v>
      </c>
    </row>
    <row r="58" spans="2:11">
      <c r="B58" s="52"/>
      <c r="C58" s="68"/>
      <c r="D58" s="79"/>
      <c r="E58" s="408" t="s">
        <v>62</v>
      </c>
      <c r="F58" s="402">
        <f>H37</f>
        <v>4762.6468868412567</v>
      </c>
      <c r="G58" s="415">
        <f t="shared" si="4"/>
        <v>0.47684599257801086</v>
      </c>
    </row>
    <row r="59" spans="2:11">
      <c r="B59" s="52"/>
      <c r="C59" s="68"/>
      <c r="D59" s="79"/>
      <c r="E59" s="408"/>
      <c r="F59" s="402"/>
      <c r="G59" s="415"/>
      <c r="I59" s="48"/>
    </row>
    <row r="60" spans="2:11">
      <c r="B60" s="410" t="s">
        <v>63</v>
      </c>
      <c r="C60" s="411">
        <f>+C48+C51+C54+C55+C56</f>
        <v>1889.1906003811114</v>
      </c>
      <c r="D60" s="412">
        <f>SUM(D48,D51,D54:D56)</f>
        <v>0.99999999999999978</v>
      </c>
      <c r="E60" s="410" t="s">
        <v>63</v>
      </c>
      <c r="F60" s="411">
        <f>SUM(F48,F55:F59)</f>
        <v>9987.8093996188909</v>
      </c>
      <c r="G60" s="415">
        <f>SUM(G48,G55:G59)</f>
        <v>0.99999999999999989</v>
      </c>
      <c r="H60" s="48"/>
      <c r="I60" s="48"/>
    </row>
    <row r="61" spans="2:11">
      <c r="B61" s="413" t="s">
        <v>156</v>
      </c>
      <c r="C61" s="510">
        <f>C60+F60</f>
        <v>11877.000000000002</v>
      </c>
      <c r="D61" s="414">
        <f>C61-E21</f>
        <v>0</v>
      </c>
      <c r="E61" s="48"/>
      <c r="F61" s="63"/>
      <c r="G61" s="48"/>
      <c r="H61" s="48"/>
      <c r="I61" s="48"/>
    </row>
    <row r="62" spans="2:11">
      <c r="B62" s="67"/>
      <c r="E62" s="48"/>
      <c r="F62" s="63"/>
      <c r="G62" s="48"/>
    </row>
    <row r="64" spans="2:11">
      <c r="B64" s="347" t="s">
        <v>198</v>
      </c>
      <c r="C64" s="349" t="s">
        <v>73</v>
      </c>
      <c r="D64" s="349" t="s">
        <v>101</v>
      </c>
    </row>
    <row r="65" spans="2:13">
      <c r="B65" s="5" t="s">
        <v>99</v>
      </c>
      <c r="C65" s="19">
        <f>C60+F60</f>
        <v>11877.000000000002</v>
      </c>
      <c r="D65" s="71">
        <f>SUM(D66:D67)</f>
        <v>1</v>
      </c>
    </row>
    <row r="66" spans="2:13">
      <c r="B66" s="5" t="s">
        <v>199</v>
      </c>
      <c r="C66" s="19">
        <f>+C60</f>
        <v>1889.1906003811114</v>
      </c>
      <c r="D66" s="71">
        <f>C66/C65</f>
        <v>0.15906294522026698</v>
      </c>
    </row>
    <row r="67" spans="2:13">
      <c r="B67" s="5" t="s">
        <v>123</v>
      </c>
      <c r="C67" s="19">
        <f>+F60</f>
        <v>9987.8093996188909</v>
      </c>
      <c r="D67" s="71">
        <f>C67/C65</f>
        <v>0.84093705477973302</v>
      </c>
    </row>
    <row r="68" spans="2:13" ht="16.5" thickBot="1">
      <c r="E68" s="166"/>
      <c r="F68" s="166"/>
    </row>
    <row r="69" spans="2:13" ht="21">
      <c r="B69" s="304" t="s">
        <v>189</v>
      </c>
      <c r="C69" s="247"/>
      <c r="D69" s="247"/>
      <c r="E69" s="247"/>
      <c r="F69" s="248"/>
      <c r="G69" s="166"/>
    </row>
    <row r="70" spans="2:13" ht="15.75">
      <c r="B70" s="417" t="s">
        <v>116</v>
      </c>
      <c r="C70" s="166" t="s">
        <v>163</v>
      </c>
      <c r="D70" s="166"/>
      <c r="F70" s="59"/>
      <c r="G70" s="394" t="s">
        <v>117</v>
      </c>
      <c r="H70" s="474" t="s">
        <v>268</v>
      </c>
      <c r="I70" s="494"/>
    </row>
    <row r="71" spans="2:13">
      <c r="B71" s="249"/>
      <c r="F71" s="59"/>
    </row>
    <row r="72" spans="2:13">
      <c r="B72" s="342" t="s">
        <v>103</v>
      </c>
      <c r="C72" s="343" t="s">
        <v>73</v>
      </c>
      <c r="D72" s="77"/>
      <c r="F72" s="59"/>
      <c r="G72" s="364" t="s">
        <v>107</v>
      </c>
      <c r="H72" s="347" t="s">
        <v>73</v>
      </c>
    </row>
    <row r="73" spans="2:13" ht="30">
      <c r="B73" s="294" t="s">
        <v>102</v>
      </c>
      <c r="C73" s="290">
        <f>C75*Consumo_CDMX!D66</f>
        <v>1724.3745663484619</v>
      </c>
      <c r="D73" s="78"/>
      <c r="F73" s="59"/>
      <c r="G73" s="243" t="s">
        <v>108</v>
      </c>
      <c r="H73" s="83">
        <f>H75*D66</f>
        <v>164.81603403264907</v>
      </c>
    </row>
    <row r="74" spans="2:13" ht="30">
      <c r="B74" s="294" t="s">
        <v>104</v>
      </c>
      <c r="C74" s="290">
        <f>C75*Consumo_CDMX!D67</f>
        <v>9116.4568036515375</v>
      </c>
      <c r="D74" s="77"/>
      <c r="F74" s="59"/>
      <c r="G74" s="243" t="s">
        <v>109</v>
      </c>
      <c r="H74" s="83">
        <f>H75*D67</f>
        <v>871.35259596735079</v>
      </c>
      <c r="I74" s="1"/>
    </row>
    <row r="75" spans="2:13">
      <c r="B75" s="344" t="s">
        <v>96</v>
      </c>
      <c r="C75" s="345">
        <f>'Dato de Actividad'!P10-'Dato de Actividad'!P24</f>
        <v>10840.83137</v>
      </c>
      <c r="D75" s="6">
        <f>+C65-H75</f>
        <v>10840.831370000002</v>
      </c>
      <c r="F75" s="59"/>
      <c r="G75" s="518" t="s">
        <v>96</v>
      </c>
      <c r="H75" s="616">
        <f>+'Dato de Actividad'!P24</f>
        <v>1036.1686299999999</v>
      </c>
      <c r="I75" s="516"/>
      <c r="J75" s="517"/>
    </row>
    <row r="76" spans="2:13">
      <c r="B76" s="249"/>
      <c r="F76" s="59"/>
      <c r="I76" s="109"/>
    </row>
    <row r="77" spans="2:13">
      <c r="B77" s="249"/>
      <c r="D77" s="74"/>
      <c r="F77" s="59"/>
    </row>
    <row r="78" spans="2:13">
      <c r="B78" s="341" t="s">
        <v>35</v>
      </c>
      <c r="C78" s="338" t="s">
        <v>92</v>
      </c>
      <c r="D78" s="338" t="s">
        <v>36</v>
      </c>
      <c r="E78" s="338" t="s">
        <v>92</v>
      </c>
      <c r="F78" s="59"/>
      <c r="G78" s="365" t="s">
        <v>35</v>
      </c>
      <c r="H78" s="366" t="s">
        <v>92</v>
      </c>
      <c r="I78" s="367" t="s">
        <v>36</v>
      </c>
      <c r="J78" s="366" t="s">
        <v>92</v>
      </c>
      <c r="K78" s="6"/>
      <c r="L78" s="368" t="s">
        <v>68</v>
      </c>
    </row>
    <row r="79" spans="2:13">
      <c r="B79" s="418" t="s">
        <v>44</v>
      </c>
      <c r="C79" s="419">
        <f>SUM(C80:C81)</f>
        <v>423.29837635736942</v>
      </c>
      <c r="D79" s="420" t="s">
        <v>45</v>
      </c>
      <c r="E79" s="421">
        <f>SUM(E80:E85)</f>
        <v>3140.801611869158</v>
      </c>
      <c r="F79" s="59"/>
      <c r="G79" s="427" t="s">
        <v>44</v>
      </c>
      <c r="H79" s="428">
        <f>SUM(H80:H81)</f>
        <v>40.458935642630493</v>
      </c>
      <c r="I79" s="429" t="s">
        <v>45</v>
      </c>
      <c r="J79" s="430">
        <f>SUM(J80:J85)</f>
        <v>300.19838813084101</v>
      </c>
      <c r="L79" t="s">
        <v>183</v>
      </c>
      <c r="M79" s="6">
        <f>+SUM(M80:M82)</f>
        <v>620614.94667498372</v>
      </c>
    </row>
    <row r="80" spans="2:13">
      <c r="B80" s="295" t="s">
        <v>46</v>
      </c>
      <c r="C80" s="292">
        <f>$C$73*D49</f>
        <v>423.2874552530152</v>
      </c>
      <c r="D80" s="291" t="s">
        <v>47</v>
      </c>
      <c r="E80" s="292">
        <f t="shared" ref="E80:E89" si="7">$C$74*G49</f>
        <v>2111.3066940825024</v>
      </c>
      <c r="F80" s="583" t="s">
        <v>245</v>
      </c>
      <c r="G80" s="244" t="s">
        <v>46</v>
      </c>
      <c r="H80" s="86">
        <f>$H$73*D49</f>
        <v>40.457891801494092</v>
      </c>
      <c r="I80" s="70" t="s">
        <v>47</v>
      </c>
      <c r="J80" s="87">
        <f>$H$74*G49</f>
        <v>201.79907703123837</v>
      </c>
      <c r="L80" t="s">
        <v>184</v>
      </c>
      <c r="M80" s="6">
        <f>+H91*1000</f>
        <v>164816.03403264901</v>
      </c>
    </row>
    <row r="81" spans="2:14">
      <c r="B81" s="295" t="s">
        <v>48</v>
      </c>
      <c r="C81" s="292">
        <f>$C$73*D50</f>
        <v>1.092110435423776E-2</v>
      </c>
      <c r="D81" s="291" t="s">
        <v>49</v>
      </c>
      <c r="E81" s="292">
        <f t="shared" si="7"/>
        <v>949.28681874738675</v>
      </c>
      <c r="F81" s="584" t="s">
        <v>246</v>
      </c>
      <c r="G81" s="244" t="s">
        <v>48</v>
      </c>
      <c r="H81" s="346">
        <f>$H$73*D50</f>
        <v>1.0438411364033211E-3</v>
      </c>
      <c r="I81" s="70" t="s">
        <v>49</v>
      </c>
      <c r="J81" s="87">
        <f t="shared" ref="J81:J85" si="8">$H$74*G50</f>
        <v>90.733006435330068</v>
      </c>
      <c r="L81" t="s">
        <v>185</v>
      </c>
      <c r="M81" s="9">
        <f>+J79*1000</f>
        <v>300198.38813084102</v>
      </c>
    </row>
    <row r="82" spans="2:14">
      <c r="B82" s="418" t="s">
        <v>94</v>
      </c>
      <c r="C82" s="419">
        <f>SUM(C83:C84)</f>
        <v>203.83479415858201</v>
      </c>
      <c r="D82" s="291" t="s">
        <v>51</v>
      </c>
      <c r="E82" s="292">
        <f t="shared" si="7"/>
        <v>67.022889333950346</v>
      </c>
      <c r="F82" s="584">
        <f>(+C82+C79+C85)*1000</f>
        <v>1004846.0049539383</v>
      </c>
      <c r="G82" s="427" t="str">
        <f>+B82</f>
        <v>Edificios GOBCDMX y semáforos</v>
      </c>
      <c r="H82" s="428">
        <f>SUM(H83:H84)</f>
        <v>19.482566622529237</v>
      </c>
      <c r="I82" s="70" t="s">
        <v>51</v>
      </c>
      <c r="J82" s="87">
        <f t="shared" si="8"/>
        <v>6.4060599274685455</v>
      </c>
      <c r="L82" t="s">
        <v>186</v>
      </c>
      <c r="M82" s="6">
        <f>SUM(J86:J87)*1000</f>
        <v>155600.52451149371</v>
      </c>
    </row>
    <row r="83" spans="2:14">
      <c r="B83" s="295" t="s">
        <v>93</v>
      </c>
      <c r="C83" s="292">
        <f>$C$73*D52</f>
        <v>198.07132629145482</v>
      </c>
      <c r="D83" s="291" t="s">
        <v>56</v>
      </c>
      <c r="E83" s="292">
        <f t="shared" si="7"/>
        <v>4.2595231353333896</v>
      </c>
      <c r="F83" s="59"/>
      <c r="G83" s="244" t="str">
        <f>+B83</f>
        <v>Edificios GOBCDMX</v>
      </c>
      <c r="H83" s="86">
        <f>$H$73*D52</f>
        <v>18.931693317696141</v>
      </c>
      <c r="I83" s="70" t="s">
        <v>56</v>
      </c>
      <c r="J83" s="87">
        <f t="shared" si="8"/>
        <v>0.40712599439610164</v>
      </c>
    </row>
    <row r="84" spans="2:14">
      <c r="B84" s="295" t="s">
        <v>54</v>
      </c>
      <c r="C84" s="292">
        <f>$C$73*D53</f>
        <v>5.7634678671271988</v>
      </c>
      <c r="D84" s="291" t="s">
        <v>58</v>
      </c>
      <c r="E84" s="292">
        <f t="shared" si="7"/>
        <v>0</v>
      </c>
      <c r="F84" s="59"/>
      <c r="G84" s="244" t="s">
        <v>54</v>
      </c>
      <c r="H84" s="86">
        <f>$H$73*D53</f>
        <v>0.55087330483309704</v>
      </c>
      <c r="I84" s="70" t="s">
        <v>58</v>
      </c>
      <c r="J84" s="87">
        <f t="shared" si="8"/>
        <v>0</v>
      </c>
    </row>
    <row r="85" spans="2:14">
      <c r="B85" s="426" t="s">
        <v>55</v>
      </c>
      <c r="C85" s="423">
        <f t="shared" ref="C85:C87" si="9">$C$73*D54</f>
        <v>377.71283443798694</v>
      </c>
      <c r="D85" s="291" t="s">
        <v>76</v>
      </c>
      <c r="E85" s="292">
        <f t="shared" si="7"/>
        <v>8.9256865699850056</v>
      </c>
      <c r="F85" s="59"/>
      <c r="G85" s="431" t="s">
        <v>55</v>
      </c>
      <c r="H85" s="432">
        <f t="shared" ref="H85:H87" si="10">$H$73*D54</f>
        <v>36.101861272012918</v>
      </c>
      <c r="I85" s="70" t="s">
        <v>76</v>
      </c>
      <c r="J85" s="87">
        <f t="shared" si="8"/>
        <v>0.85311874240792318</v>
      </c>
      <c r="L85" s="6"/>
    </row>
    <row r="86" spans="2:14">
      <c r="B86" s="426" t="s">
        <v>57</v>
      </c>
      <c r="C86" s="423">
        <f t="shared" si="9"/>
        <v>688.73425855884932</v>
      </c>
      <c r="D86" s="422" t="s">
        <v>60</v>
      </c>
      <c r="E86" s="423">
        <f t="shared" si="7"/>
        <v>1621.0851818306419</v>
      </c>
      <c r="F86" s="584">
        <f>+C86*1000</f>
        <v>688734.25855884934</v>
      </c>
      <c r="G86" s="431" t="s">
        <v>57</v>
      </c>
      <c r="H86" s="432">
        <f t="shared" si="10"/>
        <v>65.829345441150295</v>
      </c>
      <c r="I86" s="416" t="s">
        <v>60</v>
      </c>
      <c r="J86" s="433">
        <f>$H$74*G55</f>
        <v>154.94361591298849</v>
      </c>
    </row>
    <row r="87" spans="2:14">
      <c r="B87" s="426" t="s">
        <v>290</v>
      </c>
      <c r="C87" s="423">
        <f t="shared" si="9"/>
        <v>30.794302835673893</v>
      </c>
      <c r="D87" s="422" t="s">
        <v>273</v>
      </c>
      <c r="E87" s="423">
        <f t="shared" si="7"/>
        <v>6.8728536414947756</v>
      </c>
      <c r="F87" s="59"/>
      <c r="G87" s="431" t="s">
        <v>59</v>
      </c>
      <c r="H87" s="432">
        <f t="shared" si="10"/>
        <v>2.9433250543260989</v>
      </c>
      <c r="I87" s="416" t="s">
        <v>273</v>
      </c>
      <c r="J87" s="433">
        <f>$H$74*G56</f>
        <v>0.65690859850522265</v>
      </c>
    </row>
    <row r="88" spans="2:14">
      <c r="B88" s="426"/>
      <c r="C88" s="423"/>
      <c r="D88" s="424" t="s">
        <v>61</v>
      </c>
      <c r="E88" s="423">
        <f t="shared" si="7"/>
        <v>0.55126297846452421</v>
      </c>
      <c r="F88" s="584">
        <f>+C87*1000</f>
        <v>30794.302835673894</v>
      </c>
      <c r="G88" s="431"/>
      <c r="H88" s="432"/>
      <c r="I88" s="408" t="s">
        <v>61</v>
      </c>
      <c r="J88" s="433">
        <f>$H$74*G57</f>
        <v>5.2689815538132991E-2</v>
      </c>
    </row>
    <row r="89" spans="2:14">
      <c r="B89" s="296"/>
      <c r="C89" s="292"/>
      <c r="D89" s="424" t="s">
        <v>62</v>
      </c>
      <c r="E89" s="423">
        <f t="shared" si="7"/>
        <v>4347.1458933317772</v>
      </c>
      <c r="F89" s="136"/>
      <c r="G89" s="245"/>
      <c r="H89" s="46"/>
      <c r="I89" s="408" t="s">
        <v>62</v>
      </c>
      <c r="J89" s="433">
        <f>$H$74*G58</f>
        <v>415.50099350947784</v>
      </c>
    </row>
    <row r="90" spans="2:14">
      <c r="B90" s="296"/>
      <c r="C90" s="292"/>
      <c r="D90" s="425"/>
      <c r="E90" s="423"/>
      <c r="F90" s="59"/>
      <c r="G90" s="245"/>
      <c r="H90" s="46"/>
      <c r="I90" s="401"/>
      <c r="J90" s="433"/>
    </row>
    <row r="91" spans="2:14" ht="15.75">
      <c r="B91" s="297" t="s">
        <v>63</v>
      </c>
      <c r="C91" s="339">
        <f>SUM(C79,C82,C85:C87)</f>
        <v>1724.3745663484615</v>
      </c>
      <c r="D91" s="293" t="s">
        <v>63</v>
      </c>
      <c r="E91" s="339">
        <f>SUM(E79,E86:E90)</f>
        <v>9116.4568036515357</v>
      </c>
      <c r="F91" s="59"/>
      <c r="G91" s="246" t="s">
        <v>63</v>
      </c>
      <c r="H91" s="85">
        <f>SUM(H79,H82,H85:H87)</f>
        <v>164.81603403264901</v>
      </c>
      <c r="I91" s="84" t="s">
        <v>63</v>
      </c>
      <c r="J91" s="85">
        <f>SUM(J79,J86:J90)</f>
        <v>871.35259596735068</v>
      </c>
    </row>
    <row r="92" spans="2:14">
      <c r="B92" s="249"/>
      <c r="C92" s="6"/>
      <c r="F92" s="59"/>
      <c r="G92" s="340" t="s">
        <v>207</v>
      </c>
      <c r="H92" s="6">
        <f>+H91+J91</f>
        <v>1036.1686299999997</v>
      </c>
      <c r="I92" s="161">
        <f>+H92*1000000</f>
        <v>1036168629.9999996</v>
      </c>
      <c r="J92" t="s">
        <v>182</v>
      </c>
    </row>
    <row r="93" spans="2:14" ht="16.5" thickBot="1">
      <c r="B93" s="250" t="s">
        <v>207</v>
      </c>
      <c r="C93" s="434">
        <f>+C91+E91</f>
        <v>10840.831369999996</v>
      </c>
      <c r="D93" s="251" t="b">
        <f>+C93=C75</f>
        <v>1</v>
      </c>
      <c r="E93" s="251"/>
      <c r="F93" s="252"/>
      <c r="H93" t="b">
        <f>+H92=H75</f>
        <v>1</v>
      </c>
      <c r="L93" s="2"/>
      <c r="N93" s="239"/>
    </row>
    <row r="94" spans="2:14">
      <c r="H94" s="66"/>
      <c r="L94" s="239"/>
      <c r="N94" s="238"/>
    </row>
    <row r="95" spans="2:14" ht="15.75">
      <c r="B95" s="394" t="s">
        <v>118</v>
      </c>
    </row>
    <row r="97" spans="2:5">
      <c r="B97" s="347" t="s">
        <v>119</v>
      </c>
      <c r="C97" s="348" t="s">
        <v>120</v>
      </c>
      <c r="D97" s="349" t="s">
        <v>73</v>
      </c>
      <c r="E97" s="74"/>
    </row>
    <row r="98" spans="2:5">
      <c r="B98" s="755" t="s">
        <v>99</v>
      </c>
      <c r="C98" s="99" t="s">
        <v>121</v>
      </c>
      <c r="D98" s="596">
        <f>SUM(D100,D102)</f>
        <v>10840.831369999996</v>
      </c>
      <c r="E98" s="103" t="b">
        <f>+D98=SUM(C91,E91)</f>
        <v>1</v>
      </c>
    </row>
    <row r="99" spans="2:5">
      <c r="B99" s="755"/>
      <c r="C99" s="100" t="s">
        <v>122</v>
      </c>
      <c r="D99" s="597">
        <f>SUM(D101,D103)</f>
        <v>1036.1686299999997</v>
      </c>
      <c r="E99" s="103" t="b">
        <f>+D99=SUM(H91,J91)</f>
        <v>1</v>
      </c>
    </row>
    <row r="100" spans="2:5">
      <c r="B100" s="753" t="s">
        <v>124</v>
      </c>
      <c r="C100" s="99" t="s">
        <v>121</v>
      </c>
      <c r="D100" s="597">
        <f>+C91</f>
        <v>1724.3745663484615</v>
      </c>
      <c r="E100" s="104"/>
    </row>
    <row r="101" spans="2:5">
      <c r="B101" s="754"/>
      <c r="C101" s="100" t="s">
        <v>122</v>
      </c>
      <c r="D101" s="597">
        <f>+H91</f>
        <v>164.81603403264901</v>
      </c>
      <c r="E101" s="104"/>
    </row>
    <row r="102" spans="2:5">
      <c r="B102" s="753" t="s">
        <v>36</v>
      </c>
      <c r="C102" s="99" t="s">
        <v>121</v>
      </c>
      <c r="D102" s="597">
        <f>+E91</f>
        <v>9116.4568036515357</v>
      </c>
      <c r="E102" s="104"/>
    </row>
    <row r="103" spans="2:5">
      <c r="B103" s="754"/>
      <c r="C103" s="100" t="s">
        <v>122</v>
      </c>
      <c r="D103" s="597">
        <f>+J91</f>
        <v>871.35259596735068</v>
      </c>
      <c r="E103" s="104"/>
    </row>
  </sheetData>
  <mergeCells count="4">
    <mergeCell ref="B37:C37"/>
    <mergeCell ref="B102:B103"/>
    <mergeCell ref="B98:B99"/>
    <mergeCell ref="B100:B101"/>
  </mergeCells>
  <pageMargins left="0.7" right="0.7" top="0.75" bottom="0.75" header="0.3" footer="0.3"/>
  <pageSetup paperSize="11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3"/>
  <sheetViews>
    <sheetView showGridLines="0" tabSelected="1" topLeftCell="B2" zoomScale="80" zoomScaleNormal="80" workbookViewId="0">
      <selection activeCell="I29" sqref="I29"/>
    </sheetView>
  </sheetViews>
  <sheetFormatPr baseColWidth="10" defaultRowHeight="15"/>
  <cols>
    <col min="2" max="2" width="30.85546875" customWidth="1"/>
    <col min="3" max="3" width="19.5703125" customWidth="1"/>
    <col min="4" max="4" width="23.42578125" customWidth="1"/>
    <col min="5" max="5" width="26.7109375" customWidth="1"/>
    <col min="6" max="6" width="20.42578125" customWidth="1"/>
    <col min="7" max="7" width="28.5703125" customWidth="1"/>
    <col min="8" max="8" width="18.5703125" customWidth="1"/>
    <col min="9" max="9" width="36" customWidth="1"/>
    <col min="10" max="10" width="26.85546875" customWidth="1"/>
    <col min="11" max="11" width="21.28515625" customWidth="1"/>
    <col min="12" max="13" width="16" customWidth="1"/>
  </cols>
  <sheetData>
    <row r="1" spans="1:12" ht="15.75" hidden="1">
      <c r="A1" s="166"/>
      <c r="B1" s="637" t="s">
        <v>292</v>
      </c>
      <c r="C1" s="617"/>
      <c r="D1" s="617"/>
      <c r="E1" s="617"/>
      <c r="F1" s="617"/>
      <c r="G1" s="617"/>
      <c r="H1" s="178"/>
      <c r="I1" s="178"/>
      <c r="J1" s="178"/>
      <c r="K1" s="178"/>
      <c r="L1" s="48"/>
    </row>
    <row r="2" spans="1:12" ht="15.75">
      <c r="A2" s="166"/>
      <c r="B2" s="617"/>
      <c r="C2" s="617"/>
      <c r="D2" s="617"/>
      <c r="E2" s="617"/>
      <c r="F2" s="617"/>
      <c r="G2" s="617"/>
      <c r="H2" s="178"/>
      <c r="I2" s="178"/>
      <c r="J2" s="178"/>
      <c r="K2" s="178"/>
      <c r="L2" s="48"/>
    </row>
    <row r="3" spans="1:12" ht="16.5" hidden="1" thickBot="1">
      <c r="A3" s="166"/>
      <c r="B3" s="618" t="s">
        <v>265</v>
      </c>
      <c r="C3" s="617"/>
      <c r="D3" s="617"/>
      <c r="E3" s="617"/>
      <c r="F3" s="617"/>
      <c r="G3" s="617"/>
      <c r="H3" s="178"/>
      <c r="I3" s="178" t="s">
        <v>293</v>
      </c>
      <c r="J3" s="178"/>
      <c r="K3" s="178"/>
      <c r="L3" s="48"/>
    </row>
    <row r="4" spans="1:12" ht="20.25" hidden="1" customHeight="1" thickBot="1">
      <c r="A4" s="166"/>
      <c r="B4" s="619" t="s">
        <v>35</v>
      </c>
      <c r="C4" s="619" t="s">
        <v>92</v>
      </c>
      <c r="D4" s="620" t="s">
        <v>37</v>
      </c>
      <c r="E4" s="633" t="s">
        <v>36</v>
      </c>
      <c r="F4" s="633" t="s">
        <v>160</v>
      </c>
      <c r="G4" s="634" t="s">
        <v>37</v>
      </c>
      <c r="H4" s="178"/>
      <c r="I4" s="382" t="s">
        <v>34</v>
      </c>
      <c r="J4" s="383" t="s">
        <v>154</v>
      </c>
      <c r="K4" s="384" t="s">
        <v>269</v>
      </c>
      <c r="L4" s="48"/>
    </row>
    <row r="5" spans="1:12" ht="15.75" hidden="1">
      <c r="A5" s="166"/>
      <c r="B5" s="621" t="s">
        <v>157</v>
      </c>
      <c r="C5" s="621">
        <v>958481.17523164651</v>
      </c>
      <c r="D5" s="622"/>
      <c r="E5" s="167" t="s">
        <v>45</v>
      </c>
      <c r="F5" s="167">
        <v>2607132.61021588</v>
      </c>
      <c r="G5" s="635">
        <f>F5/$F$11</f>
        <v>0.24397389123474697</v>
      </c>
      <c r="H5" s="178"/>
      <c r="I5" s="195" t="s">
        <v>152</v>
      </c>
      <c r="J5" s="196">
        <f>+F6</f>
        <v>826810.87243344856</v>
      </c>
      <c r="K5" s="197">
        <f>+J5/J7</f>
        <v>0.10291180725595897</v>
      </c>
      <c r="L5" s="48"/>
    </row>
    <row r="6" spans="1:12" ht="15.75" hidden="1">
      <c r="A6" s="166"/>
      <c r="B6" s="623" t="s">
        <v>44</v>
      </c>
      <c r="C6" s="624">
        <v>449610.40308853658</v>
      </c>
      <c r="D6" s="622">
        <f>C6/C5</f>
        <v>0.4690863156283423</v>
      </c>
      <c r="E6" s="167" t="s">
        <v>60</v>
      </c>
      <c r="F6" s="167">
        <v>826810.87243344856</v>
      </c>
      <c r="G6" s="635">
        <f t="shared" ref="G6:G8" si="0">F6/$F$11</f>
        <v>7.7372460868448595E-2</v>
      </c>
      <c r="H6" s="178"/>
      <c r="I6" s="198" t="s">
        <v>153</v>
      </c>
      <c r="J6" s="199">
        <f>+F8</f>
        <v>7207358.3301054873</v>
      </c>
      <c r="K6" s="200">
        <f>+J6/J7</f>
        <v>0.89708819274404106</v>
      </c>
      <c r="L6" s="48"/>
    </row>
    <row r="7" spans="1:12" ht="16.5" hidden="1" thickBot="1">
      <c r="A7" s="166"/>
      <c r="B7" s="623" t="s">
        <v>55</v>
      </c>
      <c r="C7" s="624">
        <v>508870.77214310999</v>
      </c>
      <c r="D7" s="622">
        <f>C7/C5</f>
        <v>0.53091368437165776</v>
      </c>
      <c r="E7" s="167" t="s">
        <v>61</v>
      </c>
      <c r="F7" s="167">
        <v>44811.348867660541</v>
      </c>
      <c r="G7" s="635">
        <f t="shared" si="0"/>
        <v>4.1934188970217511E-3</v>
      </c>
      <c r="H7" s="178"/>
      <c r="I7" s="201" t="s">
        <v>96</v>
      </c>
      <c r="J7" s="202">
        <f>+J6+J5</f>
        <v>8034169.2025389355</v>
      </c>
      <c r="K7" s="203">
        <f>+K5+K6</f>
        <v>1</v>
      </c>
      <c r="L7" s="48"/>
    </row>
    <row r="8" spans="1:12" ht="15.75" hidden="1">
      <c r="A8" s="166"/>
      <c r="B8" s="625"/>
      <c r="C8" s="625"/>
      <c r="D8" s="626"/>
      <c r="E8" s="167" t="s">
        <v>62</v>
      </c>
      <c r="F8" s="167">
        <v>7207358.3301054873</v>
      </c>
      <c r="G8" s="635">
        <f t="shared" si="0"/>
        <v>0.67446022899978275</v>
      </c>
      <c r="H8" s="178"/>
      <c r="L8" s="48"/>
    </row>
    <row r="9" spans="1:12" ht="15.75" hidden="1">
      <c r="A9" s="166"/>
      <c r="B9" s="625"/>
      <c r="C9" s="625"/>
      <c r="D9" s="626"/>
      <c r="E9" s="170" t="s">
        <v>158</v>
      </c>
      <c r="F9" s="171">
        <v>4880545.5069647068</v>
      </c>
      <c r="G9" s="636">
        <f>F9/F8</f>
        <v>0.67716149016463223</v>
      </c>
      <c r="H9" s="178"/>
      <c r="I9" s="178"/>
      <c r="J9" s="177"/>
      <c r="K9" s="204"/>
      <c r="L9" s="48"/>
    </row>
    <row r="10" spans="1:12" ht="15.75" hidden="1">
      <c r="A10" s="166"/>
      <c r="B10" s="625"/>
      <c r="C10" s="625"/>
      <c r="D10" s="626"/>
      <c r="E10" s="170" t="s">
        <v>159</v>
      </c>
      <c r="F10" s="171">
        <v>2326812.8231407804</v>
      </c>
      <c r="G10" s="636">
        <f>F10/F8</f>
        <v>0.32283850983536783</v>
      </c>
      <c r="H10" s="178"/>
      <c r="I10" s="178"/>
      <c r="J10" s="177"/>
      <c r="K10" s="204"/>
      <c r="L10" s="48"/>
    </row>
    <row r="11" spans="1:12" ht="15.75" hidden="1">
      <c r="A11" s="166"/>
      <c r="B11" s="627" t="s">
        <v>63</v>
      </c>
      <c r="C11" s="628">
        <f>+C5</f>
        <v>958481.17523164651</v>
      </c>
      <c r="D11" s="629">
        <f>+D7+D6</f>
        <v>1</v>
      </c>
      <c r="E11" s="174" t="s">
        <v>63</v>
      </c>
      <c r="F11" s="175">
        <f>SUM(F5:F8)</f>
        <v>10686113.161622476</v>
      </c>
      <c r="G11" s="669">
        <f>SUM(G5:G8)</f>
        <v>1</v>
      </c>
      <c r="H11" s="178"/>
      <c r="I11" s="178"/>
      <c r="J11" s="178"/>
      <c r="K11" s="178"/>
      <c r="L11" s="48"/>
    </row>
    <row r="12" spans="1:12" ht="15.75" hidden="1">
      <c r="A12" s="166"/>
      <c r="B12" s="630"/>
      <c r="C12" s="631"/>
      <c r="D12" s="630"/>
      <c r="E12" s="630"/>
      <c r="F12" s="617"/>
      <c r="G12" s="632"/>
      <c r="H12" s="178"/>
      <c r="I12" s="178"/>
      <c r="J12" s="177"/>
      <c r="K12" s="204"/>
      <c r="L12" s="48"/>
    </row>
    <row r="13" spans="1:12" ht="15.75">
      <c r="A13" s="166"/>
      <c r="B13" s="178"/>
      <c r="C13" s="178"/>
      <c r="D13" s="179"/>
      <c r="E13" s="178"/>
      <c r="F13" s="178"/>
      <c r="G13" s="179"/>
      <c r="H13" s="178"/>
      <c r="I13" s="178"/>
      <c r="J13" s="177"/>
      <c r="K13" s="204"/>
      <c r="L13" s="48"/>
    </row>
    <row r="14" spans="1:12" ht="15.75">
      <c r="A14" s="166"/>
      <c r="B14" s="394" t="s">
        <v>287</v>
      </c>
      <c r="C14" s="178"/>
      <c r="D14" s="178"/>
      <c r="E14" s="178"/>
      <c r="F14" s="178"/>
      <c r="G14" s="179"/>
      <c r="H14" s="178"/>
      <c r="I14" s="178"/>
      <c r="J14" s="177"/>
      <c r="K14" s="204"/>
      <c r="L14" s="48"/>
    </row>
    <row r="15" spans="1:12" ht="16.5" thickBot="1">
      <c r="A15" s="166"/>
      <c r="B15" s="178"/>
      <c r="C15" s="178"/>
      <c r="D15" s="178"/>
      <c r="E15" s="178"/>
      <c r="F15" s="178"/>
      <c r="G15" s="178"/>
      <c r="H15" s="178"/>
      <c r="I15" s="178" t="s">
        <v>295</v>
      </c>
      <c r="J15" s="177"/>
      <c r="K15" s="204"/>
      <c r="L15" s="48"/>
    </row>
    <row r="16" spans="1:12" ht="16.5" customHeight="1" thickBot="1">
      <c r="A16" s="166"/>
      <c r="B16" s="385" t="s">
        <v>35</v>
      </c>
      <c r="C16" s="386" t="s">
        <v>92</v>
      </c>
      <c r="D16" s="387" t="s">
        <v>37</v>
      </c>
      <c r="E16" s="386" t="s">
        <v>36</v>
      </c>
      <c r="F16" s="386" t="s">
        <v>92</v>
      </c>
      <c r="G16" s="388" t="s">
        <v>37</v>
      </c>
      <c r="H16" s="205"/>
      <c r="I16" s="694" t="s">
        <v>296</v>
      </c>
      <c r="J16" s="694"/>
      <c r="K16" s="694"/>
      <c r="L16" s="48"/>
    </row>
    <row r="17" spans="1:12" ht="15.75">
      <c r="A17" s="166"/>
      <c r="B17" s="436" t="s">
        <v>157</v>
      </c>
      <c r="C17" s="437">
        <f>+C18+C19</f>
        <v>956.85946733063793</v>
      </c>
      <c r="D17" s="438">
        <f>+D18+D19</f>
        <v>0.99878854624040547</v>
      </c>
      <c r="E17" s="180" t="s">
        <v>45</v>
      </c>
      <c r="F17" s="180">
        <f>+'Dato de Actividad'!D78</f>
        <v>3675.6596221388058</v>
      </c>
      <c r="G17" s="181">
        <f>+F17/$F$24</f>
        <v>0.31050757036681881</v>
      </c>
      <c r="H17" s="178"/>
      <c r="I17" s="694"/>
      <c r="J17" s="694"/>
      <c r="K17" s="694"/>
      <c r="L17" s="48"/>
    </row>
    <row r="18" spans="1:12" ht="15.75">
      <c r="A18" s="166"/>
      <c r="B18" s="182" t="s">
        <v>44</v>
      </c>
      <c r="C18" s="171">
        <f>+'Dato de Actividad'!D79</f>
        <v>344.85984183041995</v>
      </c>
      <c r="D18" s="168">
        <f>+C18/$C$24</f>
        <v>0.35997141883268957</v>
      </c>
      <c r="E18" s="167" t="s">
        <v>60</v>
      </c>
      <c r="F18" s="167">
        <f>'Dato de Actividad'!G82*J21</f>
        <v>1353.3175444129897</v>
      </c>
      <c r="G18" s="181">
        <f t="shared" ref="G18:G21" si="1">+F18/$F$24</f>
        <v>0.11432379106037856</v>
      </c>
      <c r="H18" s="178"/>
      <c r="I18" s="694"/>
      <c r="J18" s="694"/>
      <c r="K18" s="694"/>
      <c r="L18" s="48"/>
    </row>
    <row r="19" spans="1:12" ht="15.75">
      <c r="A19" s="166"/>
      <c r="B19" s="182" t="s">
        <v>55</v>
      </c>
      <c r="C19" s="171">
        <f>+'Dato de Actividad'!D80</f>
        <v>611.99962550021803</v>
      </c>
      <c r="D19" s="168">
        <f>+C19/$C$24</f>
        <v>0.6388171274077159</v>
      </c>
      <c r="E19" s="167" t="s">
        <v>273</v>
      </c>
      <c r="F19" s="167">
        <f>'Dato de Actividad'!K79</f>
        <v>22.723746760000001</v>
      </c>
      <c r="G19" s="181">
        <f t="shared" si="1"/>
        <v>1.919626984386754E-3</v>
      </c>
      <c r="H19" s="178"/>
      <c r="I19" s="380"/>
      <c r="J19" s="63" t="s">
        <v>297</v>
      </c>
      <c r="K19" s="323"/>
      <c r="L19" s="48"/>
    </row>
    <row r="20" spans="1:12" ht="15.75">
      <c r="A20" s="166"/>
      <c r="B20" s="436" t="s">
        <v>337</v>
      </c>
      <c r="C20" s="439">
        <f>'Dato de Actividad'!K80</f>
        <v>1.1605970087109154</v>
      </c>
      <c r="D20" s="683">
        <f>+C20/$C$24</f>
        <v>1.2114537595945484E-3</v>
      </c>
      <c r="E20" s="167" t="s">
        <v>61</v>
      </c>
      <c r="F20" s="167">
        <f>+'Dato de Actividad'!D81</f>
        <v>68.98051045647189</v>
      </c>
      <c r="G20" s="181">
        <f t="shared" si="1"/>
        <v>5.8272454216091642E-3</v>
      </c>
      <c r="H20" s="178"/>
      <c r="I20" s="380" t="s">
        <v>62</v>
      </c>
      <c r="J20" s="639">
        <f>[2]EDOMEX!$H$68</f>
        <v>0.83230724447202931</v>
      </c>
      <c r="K20" s="323"/>
      <c r="L20" s="48"/>
    </row>
    <row r="21" spans="1:12" ht="15.75">
      <c r="A21" s="166"/>
      <c r="B21" s="184"/>
      <c r="C21" s="172"/>
      <c r="D21" s="168"/>
      <c r="E21" s="439" t="s">
        <v>62</v>
      </c>
      <c r="F21" s="439">
        <f>'Dato de Actividad'!G82*J20</f>
        <v>6716.9031407451093</v>
      </c>
      <c r="G21" s="603">
        <f t="shared" si="1"/>
        <v>0.56742176616680662</v>
      </c>
      <c r="H21" s="178"/>
      <c r="I21" s="380" t="s">
        <v>298</v>
      </c>
      <c r="J21" s="639">
        <f>SUM([2]EDOMEX!$H$69:$H$70)</f>
        <v>0.16769275552797075</v>
      </c>
      <c r="K21" s="323"/>
      <c r="L21" s="48"/>
    </row>
    <row r="22" spans="1:12" ht="15.75">
      <c r="A22" s="166"/>
      <c r="B22" s="184"/>
      <c r="C22" s="172"/>
      <c r="D22" s="168"/>
      <c r="E22" s="170" t="s">
        <v>158</v>
      </c>
      <c r="F22" s="185">
        <f>+F21*J23</f>
        <v>4805.1678646302871</v>
      </c>
      <c r="G22" s="183">
        <f>+F22/F21</f>
        <v>0.71538442105586886</v>
      </c>
      <c r="H22" s="178"/>
      <c r="I22" s="380"/>
      <c r="J22" s="63"/>
      <c r="K22" s="323"/>
      <c r="L22" s="48"/>
    </row>
    <row r="23" spans="1:12" ht="15.75">
      <c r="A23" s="166"/>
      <c r="B23" s="184"/>
      <c r="C23" s="172"/>
      <c r="D23" s="168"/>
      <c r="E23" s="170" t="s">
        <v>159</v>
      </c>
      <c r="F23" s="185">
        <f>+F21*J24</f>
        <v>1911.7352761148218</v>
      </c>
      <c r="G23" s="183">
        <f>+F23/F21</f>
        <v>0.28461557894413109</v>
      </c>
      <c r="H23" s="178"/>
      <c r="I23" s="380" t="s">
        <v>299</v>
      </c>
      <c r="J23" s="639">
        <f>[2]EDOMEX!$D$70</f>
        <v>0.71538442105586886</v>
      </c>
      <c r="K23" s="323"/>
      <c r="L23" s="48"/>
    </row>
    <row r="24" spans="1:12" ht="16.5" thickBot="1">
      <c r="A24" s="166"/>
      <c r="B24" s="186" t="s">
        <v>63</v>
      </c>
      <c r="C24" s="187">
        <f>SUM(C17,C20)</f>
        <v>958.02006433934889</v>
      </c>
      <c r="D24" s="188">
        <f>+D17</f>
        <v>0.99878854624040547</v>
      </c>
      <c r="E24" s="189" t="s">
        <v>63</v>
      </c>
      <c r="F24" s="187">
        <f>SUM(F17:F21)</f>
        <v>11837.584564513378</v>
      </c>
      <c r="G24" s="190">
        <f>SUM(G17:G21)</f>
        <v>0.99999999999999989</v>
      </c>
      <c r="H24" s="178"/>
      <c r="I24" s="380" t="s">
        <v>300</v>
      </c>
      <c r="J24" s="639">
        <f>[2]EDOMEX!$D$69</f>
        <v>0.28461557894413109</v>
      </c>
      <c r="K24" s="323"/>
      <c r="L24" s="48"/>
    </row>
    <row r="25" spans="1:12" ht="15.75">
      <c r="A25" s="166"/>
      <c r="B25" s="394" t="s">
        <v>156</v>
      </c>
      <c r="C25" s="440">
        <f>+C24+F24</f>
        <v>12795.604628852727</v>
      </c>
      <c r="D25" s="441" t="str">
        <f>IF(C25='Dato de Actividad'!D83,"Verdadero")</f>
        <v>Verdadero</v>
      </c>
      <c r="E25" s="178"/>
      <c r="F25" s="178"/>
      <c r="G25" s="178"/>
      <c r="H25" s="178"/>
      <c r="I25" s="396" t="s">
        <v>322</v>
      </c>
      <c r="J25" s="178"/>
      <c r="K25" s="178"/>
      <c r="L25" s="48"/>
    </row>
    <row r="26" spans="1:12" ht="15.75">
      <c r="A26" s="166"/>
      <c r="B26" s="178"/>
      <c r="D26" s="178"/>
      <c r="E26" s="178"/>
      <c r="F26" s="178"/>
      <c r="G26" s="178"/>
      <c r="H26" s="178"/>
      <c r="I26" s="178"/>
      <c r="J26" s="178"/>
      <c r="K26" s="178"/>
      <c r="L26" s="48"/>
    </row>
    <row r="27" spans="1:12" ht="31.5">
      <c r="A27" s="166"/>
      <c r="B27" s="389" t="s">
        <v>200</v>
      </c>
      <c r="C27" s="381" t="s">
        <v>73</v>
      </c>
      <c r="D27" s="381" t="s">
        <v>101</v>
      </c>
      <c r="E27" s="178"/>
      <c r="F27" s="178"/>
      <c r="G27" s="178"/>
      <c r="H27" s="178"/>
      <c r="I27" s="178"/>
      <c r="J27" s="178"/>
      <c r="K27" s="178"/>
      <c r="L27" s="48"/>
    </row>
    <row r="28" spans="1:12" ht="15.75">
      <c r="A28" s="166"/>
      <c r="B28" s="173" t="s">
        <v>161</v>
      </c>
      <c r="C28" s="207">
        <f>+C29+C30</f>
        <v>12795.604628852727</v>
      </c>
      <c r="D28" s="208">
        <f>C28/C28</f>
        <v>1</v>
      </c>
      <c r="E28" s="178"/>
      <c r="F28" s="178"/>
      <c r="G28" s="178"/>
      <c r="H28" s="178"/>
      <c r="I28" s="178"/>
      <c r="J28" s="178"/>
      <c r="K28" s="178"/>
      <c r="L28" s="48"/>
    </row>
    <row r="29" spans="1:12" ht="15.75">
      <c r="A29" s="166"/>
      <c r="B29" s="173" t="s">
        <v>199</v>
      </c>
      <c r="C29" s="209">
        <f>+C24</f>
        <v>958.02006433934889</v>
      </c>
      <c r="D29" s="169">
        <f>C29/C28</f>
        <v>7.4871027366625223E-2</v>
      </c>
      <c r="E29" s="178"/>
      <c r="F29" s="178"/>
      <c r="G29" s="178"/>
      <c r="H29" s="178"/>
      <c r="I29" s="178"/>
      <c r="J29" s="178"/>
      <c r="K29" s="178"/>
      <c r="L29" s="48"/>
    </row>
    <row r="30" spans="1:12" ht="15.75">
      <c r="A30" s="166"/>
      <c r="B30" s="173" t="s">
        <v>123</v>
      </c>
      <c r="C30" s="209">
        <f>+F24</f>
        <v>11837.584564513378</v>
      </c>
      <c r="D30" s="169">
        <f>C30/C28</f>
        <v>0.92512897263337479</v>
      </c>
      <c r="E30" s="178"/>
      <c r="F30" s="178"/>
      <c r="G30" s="178"/>
      <c r="H30" s="178"/>
      <c r="I30" s="178"/>
      <c r="J30" s="178"/>
      <c r="K30" s="178"/>
      <c r="L30" s="48"/>
    </row>
    <row r="31" spans="1:12" ht="15.75">
      <c r="A31" s="166"/>
      <c r="B31" s="178"/>
      <c r="C31" s="178"/>
      <c r="D31" s="178"/>
      <c r="E31" s="178"/>
      <c r="F31" s="178"/>
      <c r="G31" s="178"/>
      <c r="H31" s="178"/>
      <c r="I31" s="178"/>
      <c r="J31" s="178"/>
      <c r="K31" s="178"/>
      <c r="L31" s="48"/>
    </row>
    <row r="32" spans="1:12" ht="15.75">
      <c r="A32" s="166"/>
      <c r="B32" s="756" t="s">
        <v>201</v>
      </c>
      <c r="C32" s="756"/>
      <c r="D32" s="756"/>
      <c r="E32" s="756"/>
      <c r="F32" s="756"/>
      <c r="G32" s="756"/>
      <c r="H32" s="756"/>
      <c r="I32" s="178"/>
      <c r="J32" s="178"/>
      <c r="K32" s="178"/>
      <c r="L32" s="48"/>
    </row>
    <row r="33" spans="1:13" ht="15.75">
      <c r="A33" s="166"/>
      <c r="B33" s="756"/>
      <c r="C33" s="756"/>
      <c r="D33" s="756"/>
      <c r="E33" s="756"/>
      <c r="F33" s="756"/>
      <c r="G33" s="756"/>
      <c r="H33" s="756"/>
      <c r="I33" s="178"/>
      <c r="J33" s="178"/>
      <c r="K33" s="178"/>
      <c r="L33" s="48"/>
    </row>
    <row r="34" spans="1:13" ht="15.75">
      <c r="A34" s="166"/>
      <c r="B34" s="234"/>
      <c r="C34" s="234"/>
      <c r="D34" s="234"/>
      <c r="E34" s="234"/>
      <c r="F34" s="234"/>
      <c r="G34" s="234"/>
      <c r="H34" s="234"/>
      <c r="I34" s="178"/>
      <c r="J34" s="178"/>
      <c r="K34" s="178"/>
      <c r="L34" s="48"/>
    </row>
    <row r="35" spans="1:13" ht="15.75">
      <c r="A35" s="166"/>
      <c r="B35" s="394" t="s">
        <v>116</v>
      </c>
      <c r="C35" s="178"/>
      <c r="D35" s="178"/>
      <c r="E35" s="178"/>
      <c r="F35" s="178"/>
      <c r="G35" s="394" t="s">
        <v>117</v>
      </c>
      <c r="H35" s="234"/>
      <c r="I35" s="178"/>
      <c r="J35" s="178"/>
      <c r="K35" s="178"/>
      <c r="L35" s="48"/>
    </row>
    <row r="36" spans="1:13" ht="15.75">
      <c r="A36" s="166"/>
      <c r="B36" s="379"/>
      <c r="C36" s="178"/>
      <c r="D36" s="178"/>
      <c r="E36" s="178"/>
      <c r="F36" s="178"/>
      <c r="G36" s="379"/>
      <c r="H36" s="234"/>
      <c r="I36" s="178"/>
      <c r="J36" s="178"/>
      <c r="K36" s="178"/>
      <c r="L36" s="48"/>
    </row>
    <row r="37" spans="1:13" ht="31.5">
      <c r="A37" s="166"/>
      <c r="B37" s="389" t="s">
        <v>164</v>
      </c>
      <c r="C37" s="389" t="s">
        <v>73</v>
      </c>
      <c r="D37" s="210"/>
      <c r="E37" s="210"/>
      <c r="F37" s="210"/>
      <c r="G37" s="389" t="s">
        <v>165</v>
      </c>
      <c r="H37" s="389" t="s">
        <v>73</v>
      </c>
      <c r="I37" s="178"/>
      <c r="J37" s="178"/>
      <c r="K37" s="178"/>
      <c r="L37" s="48"/>
    </row>
    <row r="38" spans="1:13" ht="30.75">
      <c r="A38" s="166"/>
      <c r="B38" s="211" t="s">
        <v>162</v>
      </c>
      <c r="C38" s="212">
        <f>+C40*D29</f>
        <v>498.68649002148783</v>
      </c>
      <c r="D38" s="210"/>
      <c r="E38" s="210"/>
      <c r="F38" s="210"/>
      <c r="G38" s="211" t="s">
        <v>108</v>
      </c>
      <c r="H38" s="212">
        <f>+H40*D29</f>
        <v>459.33357431786095</v>
      </c>
      <c r="I38" s="178"/>
      <c r="J38" s="178"/>
      <c r="K38" s="178"/>
      <c r="L38" s="48"/>
    </row>
    <row r="39" spans="1:13" ht="30.75">
      <c r="A39" s="166"/>
      <c r="B39" s="211" t="s">
        <v>104</v>
      </c>
      <c r="C39" s="212">
        <f>+C40*D30</f>
        <v>6161.9205239512376</v>
      </c>
      <c r="D39" s="220" t="s">
        <v>167</v>
      </c>
      <c r="E39" s="210"/>
      <c r="F39" s="210"/>
      <c r="G39" s="211" t="s">
        <v>109</v>
      </c>
      <c r="H39" s="212">
        <f>+H40*D30</f>
        <v>5675.6640405621392</v>
      </c>
      <c r="I39" s="220" t="s">
        <v>167</v>
      </c>
      <c r="J39" s="178"/>
      <c r="K39" s="178"/>
      <c r="L39" s="338" t="s">
        <v>34</v>
      </c>
      <c r="M39" s="338" t="s">
        <v>187</v>
      </c>
    </row>
    <row r="40" spans="1:13" ht="15.75">
      <c r="A40" s="166"/>
      <c r="B40" s="213" t="s">
        <v>96</v>
      </c>
      <c r="C40" s="214">
        <f>'Dato de Actividad'!D83-'Dato de Actividad'!P25</f>
        <v>6660.6070139727253</v>
      </c>
      <c r="D40" s="392">
        <f>+C40/C25</f>
        <v>0.5205386698924539</v>
      </c>
      <c r="E40" s="219"/>
      <c r="F40" s="210"/>
      <c r="G40" s="213" t="s">
        <v>96</v>
      </c>
      <c r="H40" s="214">
        <f>+'Dato de Actividad'!P25</f>
        <v>6134.9976148799997</v>
      </c>
      <c r="I40" s="393">
        <f>+H40/C25</f>
        <v>0.47946133010754588</v>
      </c>
      <c r="J40" s="178"/>
      <c r="K40" s="178"/>
      <c r="L40" t="s">
        <v>45</v>
      </c>
      <c r="M40" s="242">
        <f>+(E44+J44)*1000</f>
        <v>3675659.6221388052</v>
      </c>
    </row>
    <row r="41" spans="1:13" ht="15.75">
      <c r="A41" s="166"/>
      <c r="B41" s="210"/>
      <c r="C41" s="210"/>
      <c r="D41" s="210"/>
      <c r="E41" s="210"/>
      <c r="F41" s="210"/>
      <c r="G41" s="519"/>
      <c r="H41" s="520"/>
      <c r="I41" s="178"/>
      <c r="J41" s="178"/>
      <c r="K41" s="178"/>
      <c r="L41" t="s">
        <v>188</v>
      </c>
      <c r="M41" s="242">
        <f>SUM(C44,E45,H44,J45)*1000</f>
        <v>2310177.0117436275</v>
      </c>
    </row>
    <row r="42" spans="1:13" ht="16.5" thickBot="1">
      <c r="A42" s="166"/>
      <c r="B42" s="178"/>
      <c r="C42" s="178"/>
      <c r="D42" s="178"/>
      <c r="E42" s="178"/>
      <c r="F42" s="178"/>
      <c r="G42" s="178"/>
      <c r="H42" s="178"/>
      <c r="I42" s="178"/>
      <c r="J42" s="178"/>
      <c r="K42" s="178"/>
      <c r="L42" t="s">
        <v>62</v>
      </c>
      <c r="M42" s="242">
        <f>+(E48+J48)*1000</f>
        <v>6716903.140745108</v>
      </c>
    </row>
    <row r="43" spans="1:13" ht="16.5" thickBot="1">
      <c r="A43" s="166"/>
      <c r="B43" s="385" t="s">
        <v>35</v>
      </c>
      <c r="C43" s="386" t="s">
        <v>92</v>
      </c>
      <c r="D43" s="386" t="s">
        <v>36</v>
      </c>
      <c r="E43" s="390" t="s">
        <v>92</v>
      </c>
      <c r="F43" s="178"/>
      <c r="G43" s="385" t="s">
        <v>35</v>
      </c>
      <c r="H43" s="386" t="s">
        <v>92</v>
      </c>
      <c r="I43" s="386" t="s">
        <v>36</v>
      </c>
      <c r="J43" s="390" t="s">
        <v>92</v>
      </c>
      <c r="K43" s="178"/>
      <c r="L43" t="s">
        <v>144</v>
      </c>
      <c r="M43" s="242">
        <f>SUM(C47,E46,H47,J46,)*1000</f>
        <v>23884.343768710918</v>
      </c>
    </row>
    <row r="44" spans="1:13" ht="15.75">
      <c r="A44" s="166"/>
      <c r="B44" s="436" t="s">
        <v>157</v>
      </c>
      <c r="C44" s="437">
        <f>+C45+C46</f>
        <v>498.0823543982923</v>
      </c>
      <c r="D44" s="180" t="s">
        <v>45</v>
      </c>
      <c r="E44" s="191">
        <f>+$C$39*G17</f>
        <v>1913.3229706855338</v>
      </c>
      <c r="F44" s="178"/>
      <c r="G44" s="436" t="s">
        <v>157</v>
      </c>
      <c r="H44" s="437">
        <f>+H45+H46</f>
        <v>458.77711293234557</v>
      </c>
      <c r="I44" s="180" t="s">
        <v>45</v>
      </c>
      <c r="J44" s="191">
        <f>+$H$39*G17</f>
        <v>1762.3366514532715</v>
      </c>
      <c r="K44" s="178"/>
      <c r="L44" t="s">
        <v>61</v>
      </c>
      <c r="M44" s="242">
        <f>+(E47+J47)*1000</f>
        <v>68980.510456471879</v>
      </c>
    </row>
    <row r="45" spans="1:13" ht="15.75">
      <c r="A45" s="166"/>
      <c r="B45" s="182" t="s">
        <v>44</v>
      </c>
      <c r="C45" s="171">
        <f>+$C$38*D18</f>
        <v>179.51288336572887</v>
      </c>
      <c r="D45" s="167" t="s">
        <v>60</v>
      </c>
      <c r="E45" s="191">
        <f>+$C$39*G18</f>
        <v>704.45411451085965</v>
      </c>
      <c r="F45" s="178"/>
      <c r="G45" s="182" t="s">
        <v>44</v>
      </c>
      <c r="H45" s="171">
        <f>+$H$38*D18</f>
        <v>165.34695846469106</v>
      </c>
      <c r="I45" s="167" t="s">
        <v>60</v>
      </c>
      <c r="J45" s="191">
        <f>+$H$39*G18</f>
        <v>648.86342990212995</v>
      </c>
      <c r="K45" s="178"/>
      <c r="L45" t="s">
        <v>63</v>
      </c>
      <c r="M45" s="685">
        <f>+SUM(M40:M44)/1000</f>
        <v>12795.604628852723</v>
      </c>
    </row>
    <row r="46" spans="1:13" ht="15.75">
      <c r="A46" s="166"/>
      <c r="B46" s="182" t="s">
        <v>55</v>
      </c>
      <c r="C46" s="171">
        <f t="shared" ref="C46:C47" si="2">+$C$38*D19</f>
        <v>318.56947103256346</v>
      </c>
      <c r="D46" s="167" t="s">
        <v>273</v>
      </c>
      <c r="E46" s="191">
        <f>+$C$39*G19</f>
        <v>11.828588913423362</v>
      </c>
      <c r="F46" s="178"/>
      <c r="G46" s="182" t="s">
        <v>55</v>
      </c>
      <c r="H46" s="171">
        <f t="shared" ref="H46:H47" si="3">+$H$38*D19</f>
        <v>293.43015446765452</v>
      </c>
      <c r="I46" s="167" t="s">
        <v>273</v>
      </c>
      <c r="J46" s="191">
        <f>+$H$39*G19</f>
        <v>10.895157846576639</v>
      </c>
      <c r="K46" s="178"/>
      <c r="M46" t="b">
        <f>M45=C25</f>
        <v>1</v>
      </c>
    </row>
    <row r="47" spans="1:13" ht="15.75">
      <c r="A47" s="166"/>
      <c r="B47" s="436" t="s">
        <v>337</v>
      </c>
      <c r="C47" s="439">
        <f t="shared" si="2"/>
        <v>0.60413562319554071</v>
      </c>
      <c r="D47" s="167" t="s">
        <v>61</v>
      </c>
      <c r="E47" s="191">
        <f>+$C$39*G20</f>
        <v>35.907023161514388</v>
      </c>
      <c r="F47" s="178"/>
      <c r="G47" s="436" t="s">
        <v>337</v>
      </c>
      <c r="H47" s="439">
        <f t="shared" si="3"/>
        <v>0.55646138551537461</v>
      </c>
      <c r="I47" s="167" t="s">
        <v>61</v>
      </c>
      <c r="J47" s="191">
        <f>+$H$39*G20</f>
        <v>33.073487294957495</v>
      </c>
      <c r="K47" s="178"/>
      <c r="L47" s="48"/>
    </row>
    <row r="48" spans="1:13" ht="15.75">
      <c r="A48" s="166"/>
      <c r="B48" s="184"/>
      <c r="C48" s="172"/>
      <c r="D48" s="439" t="s">
        <v>62</v>
      </c>
      <c r="E48" s="442">
        <f>+$C$39*G21</f>
        <v>3496.4078266799056</v>
      </c>
      <c r="F48" s="178"/>
      <c r="G48" s="184"/>
      <c r="H48" s="172"/>
      <c r="I48" s="439" t="s">
        <v>62</v>
      </c>
      <c r="J48" s="442">
        <f>+$H$39*G21</f>
        <v>3220.4953140652028</v>
      </c>
      <c r="K48" s="178"/>
      <c r="L48" s="48"/>
    </row>
    <row r="49" spans="1:12" ht="15.75">
      <c r="A49" s="166"/>
      <c r="B49" s="184"/>
      <c r="C49" s="172"/>
      <c r="D49" s="170" t="s">
        <v>158</v>
      </c>
      <c r="E49" s="193">
        <f>+E48*G22</f>
        <v>2501.2756888646131</v>
      </c>
      <c r="F49" s="178"/>
      <c r="G49" s="184"/>
      <c r="H49" s="172"/>
      <c r="I49" s="170" t="s">
        <v>158</v>
      </c>
      <c r="J49" s="194">
        <f>+J48*G22</f>
        <v>2303.8921757656735</v>
      </c>
      <c r="K49" s="178"/>
      <c r="L49" s="48"/>
    </row>
    <row r="50" spans="1:12" ht="15.75">
      <c r="A50" s="166"/>
      <c r="B50" s="184"/>
      <c r="C50" s="172"/>
      <c r="D50" s="170" t="s">
        <v>159</v>
      </c>
      <c r="E50" s="193">
        <f>+E48*G23</f>
        <v>995.13213781529248</v>
      </c>
      <c r="F50" s="178"/>
      <c r="G50" s="184"/>
      <c r="H50" s="172"/>
      <c r="I50" s="170" t="s">
        <v>159</v>
      </c>
      <c r="J50" s="194">
        <f>+J48*G23</f>
        <v>916.60313829952895</v>
      </c>
      <c r="K50" s="178"/>
      <c r="L50" s="48"/>
    </row>
    <row r="51" spans="1:12" ht="16.5" thickBot="1">
      <c r="A51" s="166"/>
      <c r="B51" s="186" t="s">
        <v>63</v>
      </c>
      <c r="C51" s="187">
        <f>SUM(C44,C47)</f>
        <v>498.68649002148783</v>
      </c>
      <c r="D51" s="189" t="s">
        <v>63</v>
      </c>
      <c r="E51" s="192">
        <f>SUM(E44:E48)</f>
        <v>6161.9205239512366</v>
      </c>
      <c r="F51" s="178"/>
      <c r="G51" s="186" t="s">
        <v>63</v>
      </c>
      <c r="H51" s="187">
        <f>SUM(H44,H47)</f>
        <v>459.33357431786095</v>
      </c>
      <c r="I51" s="189" t="s">
        <v>63</v>
      </c>
      <c r="J51" s="192">
        <f>SUM(J44:J48)</f>
        <v>5675.6640405621383</v>
      </c>
      <c r="K51" s="178"/>
      <c r="L51" s="48"/>
    </row>
    <row r="52" spans="1:12" ht="15.75">
      <c r="A52" s="166"/>
      <c r="B52" s="178"/>
      <c r="C52" s="391">
        <f>+C51+E51</f>
        <v>6660.6070139727244</v>
      </c>
      <c r="D52" s="684">
        <f>C52-C40</f>
        <v>0</v>
      </c>
      <c r="E52" s="178"/>
      <c r="F52" s="178"/>
      <c r="G52" s="178"/>
      <c r="H52" s="391">
        <f>+H51+J51</f>
        <v>6134.9976148799997</v>
      </c>
      <c r="I52" s="178" t="b">
        <f>H52=H40</f>
        <v>1</v>
      </c>
      <c r="J52" s="178"/>
      <c r="K52" s="178"/>
      <c r="L52" s="48"/>
    </row>
    <row r="53" spans="1:12" ht="15.75">
      <c r="A53" s="166"/>
      <c r="B53" s="178"/>
      <c r="C53" s="178"/>
      <c r="D53" s="178"/>
      <c r="E53" s="178"/>
      <c r="F53" s="178"/>
      <c r="G53" s="178"/>
      <c r="H53" s="178"/>
      <c r="I53" s="178"/>
      <c r="J53" s="178"/>
      <c r="K53" s="178"/>
      <c r="L53" s="48"/>
    </row>
    <row r="54" spans="1:12" ht="15.75">
      <c r="A54" s="166"/>
      <c r="B54" s="166"/>
      <c r="C54" s="166"/>
      <c r="D54" s="166"/>
      <c r="E54" s="166"/>
      <c r="F54" s="166"/>
      <c r="G54" s="166"/>
      <c r="H54" s="166"/>
      <c r="I54" s="166"/>
      <c r="J54" s="166"/>
      <c r="K54" s="166"/>
    </row>
    <row r="55" spans="1:12" ht="15.75">
      <c r="A55" s="166"/>
      <c r="B55" s="394" t="s">
        <v>118</v>
      </c>
      <c r="F55" s="166"/>
      <c r="G55" s="166"/>
      <c r="H55" s="166"/>
      <c r="I55" s="166"/>
      <c r="J55" s="166"/>
      <c r="K55" s="166"/>
    </row>
    <row r="56" spans="1:12" ht="15.75">
      <c r="A56" s="166"/>
      <c r="F56" s="166"/>
      <c r="G56" s="166"/>
      <c r="H56" s="166"/>
      <c r="I56" s="178"/>
      <c r="J56" s="178"/>
      <c r="K56" s="178"/>
      <c r="L56" s="48"/>
    </row>
    <row r="57" spans="1:12">
      <c r="B57" s="347" t="s">
        <v>119</v>
      </c>
      <c r="C57" s="348" t="s">
        <v>120</v>
      </c>
      <c r="D57" s="349" t="s">
        <v>73</v>
      </c>
      <c r="E57" s="74"/>
    </row>
    <row r="58" spans="1:12">
      <c r="B58" s="755" t="s">
        <v>161</v>
      </c>
      <c r="C58" s="99" t="s">
        <v>121</v>
      </c>
      <c r="D58" s="596">
        <f>SUM(D60,D62)</f>
        <v>6660.6070139727244</v>
      </c>
      <c r="E58" s="103" t="b">
        <f>+D58=SUM(C51,E51)</f>
        <v>1</v>
      </c>
      <c r="F58" s="6">
        <f>+D58+D59-C28</f>
        <v>0</v>
      </c>
    </row>
    <row r="59" spans="1:12">
      <c r="B59" s="755"/>
      <c r="C59" s="100" t="s">
        <v>122</v>
      </c>
      <c r="D59" s="597">
        <f>SUM(D61,D63)</f>
        <v>6134.9976148799997</v>
      </c>
      <c r="E59" s="103" t="b">
        <f>+D59=SUM(H51,J51)</f>
        <v>1</v>
      </c>
    </row>
    <row r="60" spans="1:12">
      <c r="B60" s="753" t="s">
        <v>124</v>
      </c>
      <c r="C60" s="99" t="s">
        <v>121</v>
      </c>
      <c r="D60" s="597">
        <f>+C51</f>
        <v>498.68649002148783</v>
      </c>
      <c r="E60" s="104"/>
    </row>
    <row r="61" spans="1:12">
      <c r="B61" s="754"/>
      <c r="C61" s="100" t="s">
        <v>122</v>
      </c>
      <c r="D61" s="597">
        <f>+H51</f>
        <v>459.33357431786095</v>
      </c>
      <c r="E61" s="104"/>
    </row>
    <row r="62" spans="1:12">
      <c r="B62" s="753" t="s">
        <v>36</v>
      </c>
      <c r="C62" s="99" t="s">
        <v>121</v>
      </c>
      <c r="D62" s="597">
        <f>+E51</f>
        <v>6161.9205239512366</v>
      </c>
      <c r="E62" s="104"/>
    </row>
    <row r="63" spans="1:12">
      <c r="B63" s="754"/>
      <c r="C63" s="100" t="s">
        <v>122</v>
      </c>
      <c r="D63" s="597">
        <f>+J51</f>
        <v>5675.6640405621383</v>
      </c>
      <c r="E63" s="104"/>
    </row>
  </sheetData>
  <mergeCells count="5">
    <mergeCell ref="B58:B59"/>
    <mergeCell ref="B60:B61"/>
    <mergeCell ref="B62:B63"/>
    <mergeCell ref="B32:H33"/>
    <mergeCell ref="I16:K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1"/>
  <sheetViews>
    <sheetView showGridLines="0" topLeftCell="F36" zoomScale="90" zoomScaleNormal="90" workbookViewId="0">
      <selection activeCell="L55" sqref="L55"/>
    </sheetView>
  </sheetViews>
  <sheetFormatPr baseColWidth="10" defaultRowHeight="15"/>
  <cols>
    <col min="2" max="2" width="30.85546875" customWidth="1"/>
    <col min="3" max="3" width="19.5703125" customWidth="1"/>
    <col min="4" max="4" width="24.42578125" customWidth="1"/>
    <col min="5" max="5" width="19.5703125" customWidth="1"/>
    <col min="6" max="6" width="20.42578125" customWidth="1"/>
    <col min="7" max="7" width="26.42578125" customWidth="1"/>
    <col min="8" max="8" width="16.140625" customWidth="1"/>
    <col min="9" max="9" width="24.85546875" customWidth="1"/>
    <col min="10" max="10" width="14.140625" customWidth="1"/>
    <col min="11" max="11" width="16" customWidth="1"/>
    <col min="13" max="13" width="16.28515625" bestFit="1" customWidth="1"/>
    <col min="14" max="14" width="13.28515625" bestFit="1" customWidth="1"/>
  </cols>
  <sheetData>
    <row r="1" spans="1:11" ht="15.75" customHeight="1">
      <c r="A1" s="166"/>
      <c r="B1" s="166"/>
      <c r="D1" s="306"/>
      <c r="E1" s="306"/>
      <c r="F1" s="306"/>
      <c r="G1" s="306"/>
      <c r="H1" s="306"/>
      <c r="I1" s="306"/>
      <c r="J1" s="306"/>
    </row>
    <row r="2" spans="1:11" ht="15.75" customHeight="1">
      <c r="A2" s="166"/>
      <c r="B2" s="394" t="s">
        <v>287</v>
      </c>
      <c r="C2" s="757"/>
      <c r="D2" s="757"/>
      <c r="E2" s="757"/>
      <c r="F2" s="757"/>
      <c r="G2" s="757"/>
      <c r="H2" s="307"/>
      <c r="I2" s="756" t="s">
        <v>301</v>
      </c>
      <c r="J2" s="756"/>
      <c r="K2" s="756"/>
    </row>
    <row r="3" spans="1:11" ht="15.75">
      <c r="A3" s="166"/>
      <c r="B3" s="270"/>
      <c r="C3" s="757"/>
      <c r="D3" s="757"/>
      <c r="E3" s="757"/>
      <c r="F3" s="757"/>
      <c r="G3" s="757"/>
      <c r="H3" s="307"/>
      <c r="I3" s="756"/>
      <c r="J3" s="756"/>
      <c r="K3" s="756"/>
    </row>
    <row r="4" spans="1:11" ht="15.75">
      <c r="A4" s="166"/>
      <c r="B4" s="270"/>
      <c r="C4" s="307"/>
      <c r="D4" s="307"/>
      <c r="E4" s="307"/>
      <c r="F4" s="307"/>
      <c r="G4" s="307"/>
      <c r="H4" s="307"/>
      <c r="I4" s="756"/>
      <c r="J4" s="756"/>
      <c r="K4" s="756"/>
    </row>
    <row r="5" spans="1:11" ht="16.5" thickBot="1">
      <c r="A5" s="166"/>
      <c r="B5" s="178"/>
      <c r="C5" s="178"/>
      <c r="D5" s="178"/>
      <c r="E5" s="178"/>
      <c r="F5" s="178"/>
      <c r="G5" s="178"/>
    </row>
    <row r="6" spans="1:11" ht="16.5" thickBot="1">
      <c r="A6" s="166"/>
      <c r="B6" s="457" t="s">
        <v>35</v>
      </c>
      <c r="C6" s="458" t="s">
        <v>92</v>
      </c>
      <c r="D6" s="459" t="s">
        <v>37</v>
      </c>
      <c r="E6" s="458" t="s">
        <v>36</v>
      </c>
      <c r="F6" s="458" t="s">
        <v>92</v>
      </c>
      <c r="G6" s="460" t="s">
        <v>37</v>
      </c>
      <c r="I6" s="461" t="s">
        <v>34</v>
      </c>
      <c r="J6" s="461" t="s">
        <v>106</v>
      </c>
      <c r="K6" s="641" t="s">
        <v>306</v>
      </c>
    </row>
    <row r="7" spans="1:11" ht="15.75">
      <c r="A7" s="166"/>
      <c r="B7" s="444" t="s">
        <v>157</v>
      </c>
      <c r="C7" s="445">
        <f>+C8+C9</f>
        <v>13.138315036343036</v>
      </c>
      <c r="D7" s="446">
        <f>+D8+D9</f>
        <v>1</v>
      </c>
      <c r="E7" s="221" t="s">
        <v>45</v>
      </c>
      <c r="F7" s="221">
        <f>+'Dato de Actividad'!D89</f>
        <v>52.523664232073394</v>
      </c>
      <c r="G7" s="228">
        <f>+F7/F13</f>
        <v>0.27238630619871446</v>
      </c>
      <c r="I7" s="81" t="s">
        <v>305</v>
      </c>
      <c r="J7" s="93">
        <f>SUM(J8:J9)</f>
        <v>0.8897893030794165</v>
      </c>
      <c r="K7" s="640">
        <f>SUM(K8:K9)</f>
        <v>1</v>
      </c>
    </row>
    <row r="8" spans="1:11" ht="15.75">
      <c r="A8" s="166"/>
      <c r="B8" s="222" t="s">
        <v>44</v>
      </c>
      <c r="C8" s="223">
        <f>+'Dato de Actividad'!D90</f>
        <v>6.0207257034581954</v>
      </c>
      <c r="D8" s="229">
        <f>+C8/C7</f>
        <v>0.45825706620702444</v>
      </c>
      <c r="E8" s="163" t="s">
        <v>60</v>
      </c>
      <c r="F8" s="163">
        <f>+'Dato de Actividad'!D93*J10</f>
        <v>14.812112103424722</v>
      </c>
      <c r="G8" s="230">
        <f>+F8/F13</f>
        <v>7.681521390104018E-2</v>
      </c>
      <c r="I8" s="70" t="s">
        <v>303</v>
      </c>
      <c r="J8" s="93">
        <f>[2]Tizayuca!$E$33</f>
        <v>0.35048622366288495</v>
      </c>
      <c r="K8" s="640">
        <f>+J8/$J$7</f>
        <v>0.39389799635701278</v>
      </c>
    </row>
    <row r="9" spans="1:11" ht="15.75">
      <c r="A9" s="166"/>
      <c r="B9" s="222" t="s">
        <v>55</v>
      </c>
      <c r="C9" s="223">
        <f>+'Dato de Actividad'!D91</f>
        <v>7.1175893328848403</v>
      </c>
      <c r="D9" s="229">
        <f>+C9/C7</f>
        <v>0.54174293379297556</v>
      </c>
      <c r="E9" s="163" t="s">
        <v>61</v>
      </c>
      <c r="F9" s="163">
        <f>+'Dato de Actividad'!D92</f>
        <v>5.9060452138685156</v>
      </c>
      <c r="G9" s="230">
        <f>+F9/F13</f>
        <v>3.0628591199200427E-2</v>
      </c>
      <c r="I9" s="70" t="s">
        <v>302</v>
      </c>
      <c r="J9" s="93">
        <f>[2]Tizayuca!$E$34</f>
        <v>0.53930307941653155</v>
      </c>
      <c r="K9" s="640">
        <f>+J9/$J$7</f>
        <v>0.60610200364298716</v>
      </c>
    </row>
    <row r="10" spans="1:11" ht="15.75">
      <c r="A10" s="166"/>
      <c r="B10" s="224"/>
      <c r="C10" s="164"/>
      <c r="D10" s="229"/>
      <c r="E10" s="447" t="s">
        <v>62</v>
      </c>
      <c r="F10" s="447">
        <f>+'Dato de Actividad'!D93*J7</f>
        <v>119.58602271735548</v>
      </c>
      <c r="G10" s="448">
        <f>+F10/F13</f>
        <v>0.62016988870104495</v>
      </c>
      <c r="I10" s="70" t="s">
        <v>304</v>
      </c>
      <c r="J10" s="93">
        <f>[2]Tizayuca!$E$35</f>
        <v>0.11021069692058347</v>
      </c>
      <c r="K10" s="5"/>
    </row>
    <row r="11" spans="1:11" ht="15.75">
      <c r="A11" s="166"/>
      <c r="B11" s="224"/>
      <c r="C11" s="164"/>
      <c r="D11" s="229"/>
      <c r="E11" s="217" t="s">
        <v>158</v>
      </c>
      <c r="F11" s="231">
        <f>+F10*K9</f>
        <v>72.481327976684938</v>
      </c>
      <c r="G11" s="456">
        <f>+Consumo_EDOMEX!G9</f>
        <v>0.67716149016463223</v>
      </c>
      <c r="I11" s="70"/>
      <c r="J11" s="93"/>
      <c r="K11" s="5"/>
    </row>
    <row r="12" spans="1:11" ht="15.75">
      <c r="A12" s="166"/>
      <c r="B12" s="224"/>
      <c r="C12" s="164"/>
      <c r="D12" s="229"/>
      <c r="E12" s="217" t="s">
        <v>159</v>
      </c>
      <c r="F12" s="231">
        <f>+F10*K8</f>
        <v>47.104694740670539</v>
      </c>
      <c r="G12" s="456">
        <f>+Consumo_EDOMEX!G10</f>
        <v>0.32283850983536783</v>
      </c>
      <c r="I12" s="70"/>
      <c r="J12" s="93"/>
      <c r="K12" s="5"/>
    </row>
    <row r="13" spans="1:11" ht="16.5" thickBot="1">
      <c r="A13" s="166"/>
      <c r="B13" s="225" t="s">
        <v>63</v>
      </c>
      <c r="C13" s="226">
        <f>+C7</f>
        <v>13.138315036343036</v>
      </c>
      <c r="D13" s="232">
        <f>+D7</f>
        <v>1</v>
      </c>
      <c r="E13" s="227" t="s">
        <v>63</v>
      </c>
      <c r="F13" s="226">
        <f>+F10+F9+F8+F7</f>
        <v>192.82784426672211</v>
      </c>
      <c r="G13" s="233">
        <f>+G10+G9+G8+G7</f>
        <v>1</v>
      </c>
      <c r="I13" s="653" t="s">
        <v>323</v>
      </c>
      <c r="J13" s="308"/>
    </row>
    <row r="14" spans="1:11" ht="15.75">
      <c r="A14" s="166"/>
      <c r="B14" s="396" t="s">
        <v>156</v>
      </c>
      <c r="C14" s="443">
        <f>+C13+F13</f>
        <v>205.96615930306515</v>
      </c>
      <c r="D14" s="63">
        <f>+C14-'Dato de Actividad'!D94</f>
        <v>0</v>
      </c>
      <c r="E14" s="48"/>
      <c r="F14" s="48"/>
      <c r="G14" s="48"/>
    </row>
    <row r="15" spans="1:11" ht="15.75">
      <c r="A15" s="166"/>
      <c r="B15" s="166"/>
      <c r="C15" s="166"/>
      <c r="D15" s="166"/>
      <c r="E15" s="166"/>
      <c r="F15" s="166"/>
      <c r="G15" s="166"/>
    </row>
    <row r="16" spans="1:11" ht="15.75">
      <c r="A16" s="166"/>
      <c r="B16" s="166"/>
      <c r="C16" s="166"/>
      <c r="D16" s="166"/>
      <c r="E16" s="166"/>
      <c r="F16" s="166"/>
      <c r="G16" s="166"/>
    </row>
    <row r="17" spans="1:7" ht="31.5">
      <c r="A17" s="166"/>
      <c r="B17" s="389" t="s">
        <v>202</v>
      </c>
      <c r="C17" s="381" t="s">
        <v>73</v>
      </c>
      <c r="D17" s="381" t="s">
        <v>101</v>
      </c>
      <c r="E17" s="166"/>
      <c r="F17" s="166"/>
      <c r="G17" s="166"/>
    </row>
    <row r="18" spans="1:7" ht="15.75">
      <c r="A18" s="166"/>
      <c r="B18" s="173" t="s">
        <v>166</v>
      </c>
      <c r="C18" s="207">
        <f>+C19+C20</f>
        <v>205.96615930306515</v>
      </c>
      <c r="D18" s="208">
        <f>SUM(D19:D20)</f>
        <v>1</v>
      </c>
      <c r="E18" s="166"/>
      <c r="F18" s="166"/>
      <c r="G18" s="166"/>
    </row>
    <row r="19" spans="1:7" ht="15.75">
      <c r="A19" s="166"/>
      <c r="B19" s="173" t="s">
        <v>100</v>
      </c>
      <c r="C19" s="209">
        <f>+C13</f>
        <v>13.138315036343036</v>
      </c>
      <c r="D19" s="169">
        <f>C19/C18</f>
        <v>6.3788707236177092E-2</v>
      </c>
      <c r="E19" s="166"/>
      <c r="F19" s="166"/>
      <c r="G19" s="166"/>
    </row>
    <row r="20" spans="1:7" ht="15.75">
      <c r="A20" s="166"/>
      <c r="B20" s="173" t="s">
        <v>123</v>
      </c>
      <c r="C20" s="209">
        <f>+F13</f>
        <v>192.82784426672211</v>
      </c>
      <c r="D20" s="169">
        <f>C20/C18</f>
        <v>0.93621129276382287</v>
      </c>
      <c r="E20" s="166"/>
      <c r="F20" s="166"/>
      <c r="G20" s="166"/>
    </row>
    <row r="21" spans="1:7" ht="15.75">
      <c r="A21" s="166"/>
      <c r="B21" s="166"/>
      <c r="C21" s="166"/>
      <c r="D21" s="166"/>
      <c r="E21" s="166"/>
      <c r="F21" s="166"/>
      <c r="G21" s="166"/>
    </row>
    <row r="23" spans="1:7" ht="15.75">
      <c r="B23" s="178" t="s">
        <v>324</v>
      </c>
    </row>
    <row r="27" spans="1:7">
      <c r="B27" s="758"/>
      <c r="C27" s="758"/>
      <c r="D27" s="758"/>
      <c r="E27" s="758"/>
      <c r="F27" s="758"/>
      <c r="G27" s="758"/>
    </row>
    <row r="28" spans="1:7" ht="15.75">
      <c r="B28" s="162" t="s">
        <v>116</v>
      </c>
      <c r="C28" s="178"/>
      <c r="D28" s="178"/>
      <c r="E28" s="178"/>
      <c r="F28" s="178"/>
      <c r="G28" s="162" t="s">
        <v>117</v>
      </c>
    </row>
    <row r="29" spans="1:7" ht="15.75">
      <c r="B29" s="570"/>
      <c r="C29" s="178"/>
      <c r="D29" s="178"/>
      <c r="E29" s="178"/>
      <c r="F29" s="178"/>
      <c r="G29" s="178"/>
    </row>
    <row r="30" spans="1:7" ht="15.75">
      <c r="B30" s="575" t="s">
        <v>235</v>
      </c>
      <c r="C30" s="575"/>
      <c r="D30" s="178"/>
      <c r="E30" s="178"/>
      <c r="F30" s="178"/>
      <c r="G30" s="178"/>
    </row>
    <row r="31" spans="1:7" ht="15.75">
      <c r="B31" s="49" t="s">
        <v>121</v>
      </c>
      <c r="C31" s="176">
        <v>0</v>
      </c>
      <c r="D31" s="178"/>
      <c r="E31" s="178"/>
      <c r="F31" s="178"/>
      <c r="G31" s="178"/>
    </row>
    <row r="32" spans="1:7" ht="15.75">
      <c r="B32" s="49" t="s">
        <v>122</v>
      </c>
      <c r="C32" s="176">
        <v>1</v>
      </c>
      <c r="D32" s="178"/>
      <c r="E32" s="178"/>
      <c r="F32" s="178"/>
      <c r="G32" s="178"/>
    </row>
    <row r="34" spans="2:13" ht="15.75">
      <c r="B34" s="394" t="s">
        <v>116</v>
      </c>
      <c r="C34" s="178"/>
      <c r="D34" s="178"/>
      <c r="E34" s="178"/>
      <c r="F34" s="178"/>
      <c r="G34" s="394" t="s">
        <v>117</v>
      </c>
      <c r="H34" s="234"/>
      <c r="I34" s="178"/>
      <c r="J34" s="178"/>
    </row>
    <row r="35" spans="2:13" ht="15.75">
      <c r="B35" s="379"/>
      <c r="C35" s="178"/>
      <c r="D35" s="178"/>
      <c r="E35" s="178"/>
      <c r="F35" s="178"/>
      <c r="G35" s="379"/>
      <c r="H35" s="234"/>
      <c r="I35" s="178"/>
      <c r="J35" s="178"/>
    </row>
    <row r="36" spans="2:13" ht="31.5">
      <c r="B36" s="389" t="s">
        <v>270</v>
      </c>
      <c r="C36" s="389" t="s">
        <v>73</v>
      </c>
      <c r="D36" s="210"/>
      <c r="E36" s="210"/>
      <c r="F36" s="210"/>
      <c r="G36" s="389" t="s">
        <v>271</v>
      </c>
      <c r="H36" s="389" t="s">
        <v>73</v>
      </c>
      <c r="I36" s="178"/>
      <c r="J36" s="178"/>
    </row>
    <row r="37" spans="2:13" ht="30.75">
      <c r="B37" s="211" t="s">
        <v>162</v>
      </c>
      <c r="C37" s="212">
        <f>+C39*D19</f>
        <v>0</v>
      </c>
      <c r="D37" s="210"/>
      <c r="E37" s="210"/>
      <c r="F37" s="210"/>
      <c r="G37" s="211" t="s">
        <v>108</v>
      </c>
      <c r="H37" s="212">
        <f>+H39*D19</f>
        <v>13.138315036343036</v>
      </c>
      <c r="I37" s="178"/>
      <c r="J37" s="178"/>
    </row>
    <row r="38" spans="2:13" ht="30.75">
      <c r="B38" s="211" t="s">
        <v>104</v>
      </c>
      <c r="C38" s="212">
        <f>+C39*D20</f>
        <v>0</v>
      </c>
      <c r="D38" s="220"/>
      <c r="E38" s="210"/>
      <c r="F38" s="210"/>
      <c r="G38" s="211" t="s">
        <v>109</v>
      </c>
      <c r="H38" s="212">
        <f>+H39*D20</f>
        <v>192.82784426672211</v>
      </c>
      <c r="I38" s="220"/>
      <c r="J38" s="178"/>
    </row>
    <row r="39" spans="2:13" ht="15.75">
      <c r="B39" s="213" t="s">
        <v>96</v>
      </c>
      <c r="C39" s="214">
        <f>+C14*C31</f>
        <v>0</v>
      </c>
      <c r="D39" s="392"/>
      <c r="E39" s="219"/>
      <c r="F39" s="210"/>
      <c r="G39" s="213" t="s">
        <v>96</v>
      </c>
      <c r="H39" s="214">
        <f>+C14*C32</f>
        <v>205.96615930306515</v>
      </c>
      <c r="I39" s="393"/>
      <c r="J39" s="178"/>
    </row>
    <row r="40" spans="2:13" ht="15.75">
      <c r="B40" s="210"/>
      <c r="C40" s="210"/>
      <c r="D40" s="210"/>
      <c r="E40" s="210"/>
      <c r="F40" s="210"/>
      <c r="G40" s="519"/>
      <c r="H40" s="520"/>
      <c r="I40" s="178"/>
      <c r="J40" s="178"/>
    </row>
    <row r="41" spans="2:13" ht="16.5" thickBot="1">
      <c r="B41" s="178"/>
      <c r="C41" s="178"/>
      <c r="D41" s="178"/>
      <c r="E41" s="178"/>
      <c r="F41" s="178"/>
      <c r="G41" s="178"/>
      <c r="H41" s="178"/>
      <c r="I41" s="178"/>
      <c r="J41" s="178"/>
    </row>
    <row r="42" spans="2:13" ht="16.5" thickBot="1">
      <c r="B42" s="385" t="s">
        <v>35</v>
      </c>
      <c r="C42" s="386" t="s">
        <v>92</v>
      </c>
      <c r="D42" s="386" t="s">
        <v>36</v>
      </c>
      <c r="E42" s="390" t="s">
        <v>92</v>
      </c>
      <c r="F42" s="178"/>
      <c r="G42" s="385" t="s">
        <v>35</v>
      </c>
      <c r="H42" s="386" t="s">
        <v>92</v>
      </c>
      <c r="I42" s="386" t="s">
        <v>36</v>
      </c>
      <c r="J42" s="390" t="s">
        <v>92</v>
      </c>
      <c r="L42" s="338" t="s">
        <v>34</v>
      </c>
      <c r="M42" s="338" t="s">
        <v>187</v>
      </c>
    </row>
    <row r="43" spans="2:13" ht="15.75">
      <c r="B43" s="436" t="s">
        <v>157</v>
      </c>
      <c r="C43" s="437">
        <f>+C44+C45</f>
        <v>0</v>
      </c>
      <c r="D43" s="180" t="s">
        <v>45</v>
      </c>
      <c r="E43" s="191">
        <f>+$C$38*G7</f>
        <v>0</v>
      </c>
      <c r="F43" s="178"/>
      <c r="G43" s="436" t="s">
        <v>157</v>
      </c>
      <c r="H43" s="437">
        <f>+H44+H45</f>
        <v>13.138315036343036</v>
      </c>
      <c r="I43" s="180" t="s">
        <v>45</v>
      </c>
      <c r="J43" s="191">
        <f>+$H$38*G7</f>
        <v>52.523664232073394</v>
      </c>
      <c r="L43" t="s">
        <v>45</v>
      </c>
      <c r="M43" s="242">
        <f>+(E43+J43)*1000</f>
        <v>52523.664232073395</v>
      </c>
    </row>
    <row r="44" spans="2:13" ht="15.75">
      <c r="B44" s="182" t="s">
        <v>44</v>
      </c>
      <c r="C44" s="171">
        <f>+C37*D8</f>
        <v>0</v>
      </c>
      <c r="D44" s="167" t="s">
        <v>60</v>
      </c>
      <c r="E44" s="191">
        <f t="shared" ref="E44:E45" si="0">+$C$38*G8</f>
        <v>0</v>
      </c>
      <c r="F44" s="178"/>
      <c r="G44" s="182" t="s">
        <v>44</v>
      </c>
      <c r="H44" s="171">
        <f>+H37*D8</f>
        <v>6.0207257034581954</v>
      </c>
      <c r="I44" s="167" t="s">
        <v>60</v>
      </c>
      <c r="J44" s="191">
        <f t="shared" ref="J44:J45" si="1">+$H$38*G8</f>
        <v>14.812112103424724</v>
      </c>
      <c r="L44" t="s">
        <v>188</v>
      </c>
      <c r="M44" s="242">
        <f>+(E44+J44+C43+H43)*1000</f>
        <v>27950.427139767762</v>
      </c>
    </row>
    <row r="45" spans="2:13" ht="15.75">
      <c r="B45" s="182" t="s">
        <v>55</v>
      </c>
      <c r="C45" s="171">
        <f>+C37*D9</f>
        <v>0</v>
      </c>
      <c r="D45" s="167" t="s">
        <v>61</v>
      </c>
      <c r="E45" s="191">
        <f t="shared" si="0"/>
        <v>0</v>
      </c>
      <c r="F45" s="178"/>
      <c r="G45" s="182" t="s">
        <v>55</v>
      </c>
      <c r="H45" s="171">
        <f>+H37*D9</f>
        <v>7.1175893328848403</v>
      </c>
      <c r="I45" s="167" t="s">
        <v>61</v>
      </c>
      <c r="J45" s="191">
        <f t="shared" si="1"/>
        <v>5.9060452138685156</v>
      </c>
      <c r="L45" t="s">
        <v>62</v>
      </c>
      <c r="M45" s="242">
        <f>+(E46+J46)*1000</f>
        <v>119586.02271735547</v>
      </c>
    </row>
    <row r="46" spans="2:13" ht="15.75">
      <c r="B46" s="184"/>
      <c r="C46" s="172"/>
      <c r="D46" s="439" t="s">
        <v>62</v>
      </c>
      <c r="E46" s="442">
        <f>+$C$38*G10</f>
        <v>0</v>
      </c>
      <c r="F46" s="178"/>
      <c r="G46" s="184"/>
      <c r="H46" s="172"/>
      <c r="I46" s="439" t="s">
        <v>62</v>
      </c>
      <c r="J46" s="442">
        <f>+$H$38*G10</f>
        <v>119.58602271735548</v>
      </c>
      <c r="L46" t="s">
        <v>144</v>
      </c>
      <c r="M46" s="242" t="s">
        <v>12</v>
      </c>
    </row>
    <row r="47" spans="2:13" ht="15.75">
      <c r="B47" s="184"/>
      <c r="C47" s="172"/>
      <c r="D47" s="170" t="s">
        <v>158</v>
      </c>
      <c r="E47" s="193">
        <f>+E46*G11</f>
        <v>0</v>
      </c>
      <c r="F47" s="178"/>
      <c r="G47" s="184"/>
      <c r="H47" s="172"/>
      <c r="I47" s="170" t="s">
        <v>158</v>
      </c>
      <c r="J47" s="194">
        <f>+J46*G11</f>
        <v>80.979049346145999</v>
      </c>
      <c r="L47" t="s">
        <v>61</v>
      </c>
      <c r="M47" s="242">
        <f>J45*1000</f>
        <v>5906.0452138685159</v>
      </c>
    </row>
    <row r="48" spans="2:13" ht="15.75">
      <c r="B48" s="184"/>
      <c r="C48" s="172"/>
      <c r="D48" s="170" t="s">
        <v>159</v>
      </c>
      <c r="E48" s="193">
        <f>+E47*G12</f>
        <v>0</v>
      </c>
      <c r="F48" s="178"/>
      <c r="G48" s="184"/>
      <c r="H48" s="172"/>
      <c r="I48" s="170" t="s">
        <v>159</v>
      </c>
      <c r="J48" s="194">
        <f>+J47*G12</f>
        <v>26.143155618794491</v>
      </c>
      <c r="L48" t="s">
        <v>63</v>
      </c>
      <c r="M48" t="b">
        <f>+SUM(M43:M47)/1000=SUM(C49,E49,H49,J49)</f>
        <v>1</v>
      </c>
    </row>
    <row r="49" spans="2:10" ht="16.5" thickBot="1">
      <c r="B49" s="186" t="s">
        <v>63</v>
      </c>
      <c r="C49" s="187">
        <f>+C43</f>
        <v>0</v>
      </c>
      <c r="D49" s="189" t="s">
        <v>63</v>
      </c>
      <c r="E49" s="192">
        <f>+E46+E45+E44+E43</f>
        <v>0</v>
      </c>
      <c r="F49" s="178"/>
      <c r="G49" s="186" t="s">
        <v>63</v>
      </c>
      <c r="H49" s="187">
        <f>+H43</f>
        <v>13.138315036343036</v>
      </c>
      <c r="I49" s="189" t="s">
        <v>63</v>
      </c>
      <c r="J49" s="192">
        <f>+J46+J45+J44+J43</f>
        <v>192.82784426672211</v>
      </c>
    </row>
    <row r="50" spans="2:10" ht="15.75">
      <c r="B50" s="178"/>
      <c r="C50" s="391">
        <f>+C49+E49</f>
        <v>0</v>
      </c>
      <c r="D50" s="178"/>
      <c r="E50" s="178"/>
      <c r="F50" s="178"/>
      <c r="G50" s="178"/>
      <c r="H50" s="391">
        <f>+H49+J49</f>
        <v>205.96615930306515</v>
      </c>
      <c r="I50" s="178"/>
      <c r="J50" s="178"/>
    </row>
    <row r="53" spans="2:10" ht="15.75">
      <c r="B53" s="270" t="s">
        <v>118</v>
      </c>
    </row>
    <row r="55" spans="2:10">
      <c r="B55" s="301" t="s">
        <v>119</v>
      </c>
      <c r="C55" s="302" t="s">
        <v>120</v>
      </c>
      <c r="D55" s="303" t="s">
        <v>73</v>
      </c>
      <c r="E55" s="74"/>
    </row>
    <row r="56" spans="2:10">
      <c r="B56" s="755" t="s">
        <v>166</v>
      </c>
      <c r="C56" s="99" t="s">
        <v>121</v>
      </c>
      <c r="D56" s="102">
        <f>SUM(D58,D60)</f>
        <v>0</v>
      </c>
      <c r="E56" s="103" t="b">
        <f>+D56=SUM(D58,D60)</f>
        <v>1</v>
      </c>
    </row>
    <row r="57" spans="2:10">
      <c r="B57" s="755"/>
      <c r="C57" s="100" t="s">
        <v>122</v>
      </c>
      <c r="D57" s="102">
        <f>SUM(D59,D61)</f>
        <v>205.96615930306515</v>
      </c>
      <c r="E57" s="103" t="b">
        <f>+D57=SUM(D59,D61)</f>
        <v>1</v>
      </c>
    </row>
    <row r="58" spans="2:10">
      <c r="B58" s="753" t="s">
        <v>124</v>
      </c>
      <c r="C58" s="99" t="s">
        <v>121</v>
      </c>
      <c r="D58" s="102">
        <f>+C49</f>
        <v>0</v>
      </c>
      <c r="E58" s="104"/>
    </row>
    <row r="59" spans="2:10">
      <c r="B59" s="754"/>
      <c r="C59" s="100" t="s">
        <v>122</v>
      </c>
      <c r="D59" s="102">
        <f>+H49</f>
        <v>13.138315036343036</v>
      </c>
      <c r="E59" s="104"/>
    </row>
    <row r="60" spans="2:10">
      <c r="B60" s="753" t="s">
        <v>36</v>
      </c>
      <c r="C60" s="99" t="s">
        <v>121</v>
      </c>
      <c r="D60" s="102">
        <f>+E49</f>
        <v>0</v>
      </c>
      <c r="E60" s="104"/>
    </row>
    <row r="61" spans="2:10">
      <c r="B61" s="754"/>
      <c r="C61" s="100" t="s">
        <v>122</v>
      </c>
      <c r="D61" s="102">
        <f>+J49</f>
        <v>192.82784426672211</v>
      </c>
      <c r="E61" s="104"/>
    </row>
  </sheetData>
  <mergeCells count="6">
    <mergeCell ref="B60:B61"/>
    <mergeCell ref="C2:G3"/>
    <mergeCell ref="I2:K4"/>
    <mergeCell ref="B56:B57"/>
    <mergeCell ref="B58:B59"/>
    <mergeCell ref="B27:G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95"/>
  <sheetViews>
    <sheetView showGridLines="0" topLeftCell="A101" zoomScaleNormal="100" workbookViewId="0">
      <selection activeCell="G131" sqref="G131"/>
    </sheetView>
  </sheetViews>
  <sheetFormatPr baseColWidth="10" defaultRowHeight="15"/>
  <cols>
    <col min="2" max="2" width="34.5703125" customWidth="1"/>
    <col min="3" max="3" width="21.28515625" customWidth="1"/>
    <col min="4" max="4" width="19.85546875" customWidth="1"/>
    <col min="5" max="5" width="19.5703125" customWidth="1"/>
    <col min="6" max="6" width="18.5703125" customWidth="1"/>
    <col min="7" max="7" width="34.42578125" customWidth="1"/>
    <col min="8" max="8" width="19.5703125" bestFit="1" customWidth="1"/>
    <col min="9" max="9" width="18.7109375" customWidth="1"/>
    <col min="10" max="10" width="17.42578125" customWidth="1"/>
    <col min="11" max="11" width="19" customWidth="1"/>
    <col min="12" max="12" width="13.42578125" customWidth="1"/>
    <col min="13" max="13" width="10.7109375" customWidth="1"/>
    <col min="14" max="14" width="14" customWidth="1"/>
    <col min="15" max="15" width="28.140625" customWidth="1"/>
    <col min="16" max="16" width="20.7109375" customWidth="1"/>
    <col min="17" max="17" width="17.7109375" customWidth="1"/>
    <col min="18" max="18" width="17.42578125" customWidth="1"/>
    <col min="19" max="19" width="16.28515625" customWidth="1"/>
    <col min="20" max="20" width="34.28515625" customWidth="1"/>
    <col min="21" max="21" width="20.28515625" customWidth="1"/>
    <col min="22" max="22" width="17.85546875" bestFit="1" customWidth="1"/>
    <col min="23" max="23" width="17.42578125" bestFit="1" customWidth="1"/>
    <col min="24" max="24" width="18.28515625" bestFit="1" customWidth="1"/>
  </cols>
  <sheetData>
    <row r="1" spans="1:27">
      <c r="A1" s="48"/>
      <c r="B1" s="48"/>
      <c r="C1" s="48"/>
      <c r="D1" s="34"/>
      <c r="E1" s="759"/>
      <c r="F1" s="759"/>
      <c r="G1" s="759"/>
      <c r="H1" s="48"/>
      <c r="I1" s="48"/>
      <c r="J1" s="48"/>
      <c r="K1" s="48"/>
      <c r="L1" s="48"/>
      <c r="M1" s="48"/>
      <c r="N1" s="48"/>
      <c r="O1" s="48"/>
      <c r="P1" s="48"/>
    </row>
    <row r="2" spans="1:27">
      <c r="A2" s="48"/>
      <c r="B2" s="48"/>
      <c r="C2" s="48"/>
      <c r="D2" s="48"/>
      <c r="E2" s="761"/>
      <c r="F2" s="761"/>
      <c r="G2" s="761"/>
      <c r="H2" s="48"/>
      <c r="I2" s="48"/>
      <c r="J2" s="48"/>
      <c r="K2" s="48"/>
      <c r="L2" s="48"/>
      <c r="M2" s="48"/>
      <c r="N2" s="48"/>
      <c r="O2" s="48"/>
      <c r="P2" s="48"/>
    </row>
    <row r="3" spans="1:27" ht="20.25">
      <c r="A3" s="48"/>
      <c r="B3" s="435" t="s">
        <v>213</v>
      </c>
      <c r="C3" s="48"/>
      <c r="D3" s="48"/>
      <c r="E3" s="108"/>
      <c r="F3" s="108"/>
      <c r="G3" s="108"/>
      <c r="H3" s="48"/>
      <c r="I3" s="48"/>
      <c r="J3" s="48"/>
      <c r="K3" s="48"/>
      <c r="L3" s="48"/>
      <c r="M3" s="48"/>
      <c r="N3" s="48"/>
      <c r="O3" s="48"/>
      <c r="P3" s="48"/>
    </row>
    <row r="4" spans="1:27">
      <c r="A4" s="48"/>
      <c r="B4" s="48"/>
      <c r="C4" s="48"/>
      <c r="D4" s="48"/>
      <c r="E4" s="108"/>
      <c r="F4" s="108"/>
      <c r="G4" s="108"/>
      <c r="H4" s="48"/>
      <c r="I4" s="48"/>
      <c r="J4" s="48"/>
      <c r="K4" s="48"/>
      <c r="L4" s="48"/>
      <c r="M4" s="48"/>
      <c r="N4" s="48"/>
      <c r="O4" s="48"/>
      <c r="P4" s="48"/>
    </row>
    <row r="5" spans="1:27" ht="15.75">
      <c r="A5" s="48"/>
      <c r="B5" s="394" t="s">
        <v>11</v>
      </c>
      <c r="C5" s="48"/>
      <c r="D5" s="48"/>
      <c r="E5" s="762"/>
      <c r="F5" s="762"/>
      <c r="G5" s="761"/>
      <c r="H5" s="63"/>
      <c r="I5" s="48"/>
      <c r="J5" s="48"/>
      <c r="K5" s="48"/>
      <c r="L5" s="48"/>
      <c r="M5" s="48"/>
      <c r="N5" s="48"/>
      <c r="O5" s="206" t="s">
        <v>11</v>
      </c>
      <c r="Q5" s="21"/>
      <c r="R5" s="21"/>
      <c r="S5" s="21"/>
      <c r="T5" s="21"/>
      <c r="U5" s="21"/>
      <c r="V5" s="21"/>
      <c r="W5" s="21"/>
      <c r="X5" s="21"/>
    </row>
    <row r="6" spans="1:27">
      <c r="A6" s="48"/>
      <c r="B6" s="300" t="s">
        <v>35</v>
      </c>
      <c r="C6" s="463" t="s">
        <v>41</v>
      </c>
      <c r="D6" s="463" t="s">
        <v>42</v>
      </c>
      <c r="E6" s="463" t="s">
        <v>43</v>
      </c>
      <c r="F6" s="463" t="s">
        <v>126</v>
      </c>
      <c r="G6" s="300" t="s">
        <v>36</v>
      </c>
      <c r="H6" s="463" t="s">
        <v>41</v>
      </c>
      <c r="I6" s="463" t="s">
        <v>42</v>
      </c>
      <c r="J6" s="463" t="s">
        <v>43</v>
      </c>
      <c r="K6" s="463" t="s">
        <v>126</v>
      </c>
      <c r="L6" s="112"/>
      <c r="M6" s="48"/>
      <c r="N6" s="48"/>
      <c r="O6" s="300" t="s">
        <v>35</v>
      </c>
      <c r="P6" s="463" t="s">
        <v>41</v>
      </c>
      <c r="Q6" s="463" t="s">
        <v>42</v>
      </c>
      <c r="R6" s="463" t="s">
        <v>43</v>
      </c>
      <c r="S6" s="463" t="s">
        <v>179</v>
      </c>
      <c r="T6" s="300" t="s">
        <v>36</v>
      </c>
      <c r="U6" s="463" t="s">
        <v>41</v>
      </c>
      <c r="V6" s="463" t="s">
        <v>42</v>
      </c>
      <c r="W6" s="463" t="s">
        <v>43</v>
      </c>
      <c r="X6" s="463" t="s">
        <v>179</v>
      </c>
    </row>
    <row r="7" spans="1:27">
      <c r="A7" s="48"/>
      <c r="B7" s="401" t="s">
        <v>44</v>
      </c>
      <c r="C7" s="398">
        <f>SUM(C8:C9)</f>
        <v>19085.120388927928</v>
      </c>
      <c r="D7" s="398">
        <f>SUM(D8:D9)</f>
        <v>0.38256663896744281</v>
      </c>
      <c r="E7" s="398">
        <f>SUM(E8:E9)</f>
        <v>4.5826307390838601E-2</v>
      </c>
      <c r="F7" s="398">
        <f>SUM(F8:F9)</f>
        <v>0.29237493610036192</v>
      </c>
      <c r="G7" s="429" t="s">
        <v>45</v>
      </c>
      <c r="H7" s="398">
        <f>SUM(H8:H13)</f>
        <v>141608.33168340643</v>
      </c>
      <c r="I7" s="398">
        <f t="shared" ref="I7:K7" si="0">SUM(I8:I13)</f>
        <v>2.8385790813945606</v>
      </c>
      <c r="J7" s="398">
        <f t="shared" si="0"/>
        <v>0.34002336923126636</v>
      </c>
      <c r="K7" s="398">
        <f t="shared" si="0"/>
        <v>2.1693720596719031</v>
      </c>
      <c r="L7" s="112"/>
      <c r="M7" s="48"/>
      <c r="N7" s="48"/>
      <c r="O7" s="468" t="s">
        <v>44</v>
      </c>
      <c r="P7" s="529">
        <f>+SUM(P8:P9)</f>
        <v>19085.120388927928</v>
      </c>
      <c r="Q7" s="529">
        <f t="shared" ref="Q7:S7" si="1">+SUM(Q8:Q9)</f>
        <v>11.400485841229797</v>
      </c>
      <c r="R7" s="529">
        <f t="shared" si="1"/>
        <v>12.510581917698939</v>
      </c>
      <c r="S7" s="529">
        <f t="shared" si="1"/>
        <v>19109.031456686855</v>
      </c>
      <c r="T7" s="469" t="s">
        <v>45</v>
      </c>
      <c r="U7" s="533">
        <f>+SUM(U8:U13)</f>
        <v>141608.33168340643</v>
      </c>
      <c r="V7" s="533">
        <f t="shared" ref="V7:X7" si="2">+SUM(V8:V13)</f>
        <v>84.589656625557907</v>
      </c>
      <c r="W7" s="533">
        <f t="shared" si="2"/>
        <v>92.82637980013574</v>
      </c>
      <c r="X7" s="533">
        <f t="shared" si="2"/>
        <v>141785.74771983208</v>
      </c>
    </row>
    <row r="8" spans="1:27" ht="15" customHeight="1">
      <c r="A8" s="48"/>
      <c r="B8" s="47" t="s">
        <v>46</v>
      </c>
      <c r="C8" s="89">
        <f>+Consumo_CDMX!H80*'Metodología y FE'!$C$23</f>
        <v>19084.627992540361</v>
      </c>
      <c r="D8" s="89">
        <f>+'Metodología y FE'!$D$23*Consumo_CDMX!H80</f>
        <v>0.3825567687425141</v>
      </c>
      <c r="E8" s="89">
        <f>+'Metodología y FE'!$E$23*Consumo_CDMX!H80</f>
        <v>4.5825125071431917E-2</v>
      </c>
      <c r="F8" s="89">
        <f>+'Metodología y FE'!$F$23*Consumo_CDMX!H80</f>
        <v>0.29236739282269758</v>
      </c>
      <c r="G8" s="70" t="s">
        <v>47</v>
      </c>
      <c r="H8" s="89">
        <f>+'Metodología y FE'!$C$23*Consumo_CDMX!J80</f>
        <v>95191.819021992516</v>
      </c>
      <c r="I8" s="89">
        <f>+'Metodología y FE'!$D$23*Consumo_CDMX!J80</f>
        <v>1.908146949996077</v>
      </c>
      <c r="J8" s="89">
        <f>+'Metodología y FE'!$E$23*Consumo_CDMX!J80</f>
        <v>0.2285701882250453</v>
      </c>
      <c r="K8" s="89">
        <f>+'Metodología y FE'!$F$23*Consumo_CDMX!J80</f>
        <v>1.4582932376983382</v>
      </c>
      <c r="L8" s="48"/>
      <c r="M8" s="48"/>
      <c r="N8" s="48"/>
      <c r="O8" s="47" t="s">
        <v>46</v>
      </c>
      <c r="P8" s="530">
        <f>+C8</f>
        <v>19084.627992540361</v>
      </c>
      <c r="Q8" s="530">
        <f>+D8*$Q$81</f>
        <v>11.40019170852692</v>
      </c>
      <c r="R8" s="530">
        <f>+E8*$Q$82</f>
        <v>12.510259144500914</v>
      </c>
      <c r="S8" s="530">
        <f>+SUM(P8:R8)</f>
        <v>19108.538443393387</v>
      </c>
      <c r="T8" s="277" t="s">
        <v>47</v>
      </c>
      <c r="U8" s="534">
        <f>+H8</f>
        <v>95191.819021992516</v>
      </c>
      <c r="V8" s="534">
        <f t="shared" ref="V8:V18" si="3">+I8*$Q$81</f>
        <v>56.8627791098831</v>
      </c>
      <c r="W8" s="534">
        <f t="shared" ref="W8:W18" si="4">+J8*$Q$82</f>
        <v>62.399661385437369</v>
      </c>
      <c r="X8" s="534">
        <f>+SUM(U8:W8)</f>
        <v>95311.08146248784</v>
      </c>
    </row>
    <row r="9" spans="1:27" s="10" customFormat="1" ht="15" customHeight="1">
      <c r="A9" s="113"/>
      <c r="B9" s="47" t="s">
        <v>48</v>
      </c>
      <c r="C9" s="89">
        <f>+Consumo_CDMX!H81*'Metodología y FE'!$C$23</f>
        <v>0.49239638756541132</v>
      </c>
      <c r="D9" s="662">
        <f>+'Metodología y FE'!$D$23*Consumo_CDMX!H81</f>
        <v>9.8702249287300083E-6</v>
      </c>
      <c r="E9" s="663">
        <f>+'Metodología y FE'!$E$23*Consumo_CDMX!H81</f>
        <v>1.1823194066830075E-6</v>
      </c>
      <c r="F9" s="662">
        <f>+'Metodología y FE'!$F$23*Consumo_CDMX!H81</f>
        <v>7.5432776643109828E-6</v>
      </c>
      <c r="G9" s="70" t="s">
        <v>49</v>
      </c>
      <c r="H9" s="89">
        <f>+'Metodología y FE'!$C$23*Consumo_CDMX!J81</f>
        <v>42800.195397207957</v>
      </c>
      <c r="I9" s="89">
        <f>+'Metodología y FE'!$D$23*Consumo_CDMX!J81</f>
        <v>0.85794202847988643</v>
      </c>
      <c r="J9" s="89">
        <f>+'Metodología y FE'!$E$23*Consumo_CDMX!J81</f>
        <v>0.10276984743561179</v>
      </c>
      <c r="K9" s="89">
        <f>+'Metodología y FE'!$F$23*Consumo_CDMX!J81</f>
        <v>0.65567856735142205</v>
      </c>
      <c r="L9" s="114"/>
      <c r="M9" s="115"/>
      <c r="N9" s="115"/>
      <c r="O9" s="47" t="s">
        <v>48</v>
      </c>
      <c r="P9" s="530">
        <f>+C9</f>
        <v>0.49239638756541132</v>
      </c>
      <c r="Q9" s="535">
        <f>+D9*$Q$81</f>
        <v>2.9413270287615426E-4</v>
      </c>
      <c r="R9" s="535">
        <f>+E9*$Q$82</f>
        <v>3.2277319802446108E-4</v>
      </c>
      <c r="S9" s="530">
        <f>+SUM(P9:R9)</f>
        <v>0.49301329346631195</v>
      </c>
      <c r="T9" s="277" t="s">
        <v>49</v>
      </c>
      <c r="U9" s="534">
        <f t="shared" ref="U9:U18" si="5">+H9</f>
        <v>42800.195397207957</v>
      </c>
      <c r="V9" s="534">
        <f t="shared" si="3"/>
        <v>25.566672448700615</v>
      </c>
      <c r="W9" s="534">
        <f t="shared" si="4"/>
        <v>28.056168349922018</v>
      </c>
      <c r="X9" s="534">
        <f t="shared" ref="X9:X18" si="6">+SUM(U9:W9)</f>
        <v>42853.818238006585</v>
      </c>
      <c r="Y9" s="21"/>
      <c r="Z9" s="21"/>
      <c r="AA9" s="21"/>
    </row>
    <row r="10" spans="1:27" ht="15" customHeight="1">
      <c r="A10" s="48"/>
      <c r="B10" s="401" t="s">
        <v>94</v>
      </c>
      <c r="C10" s="398">
        <f>SUM(C11:C12)</f>
        <v>9190.2350758949578</v>
      </c>
      <c r="D10" s="398">
        <f t="shared" ref="D10:F10" si="7">SUM(D11:D12)</f>
        <v>0.18422086277986185</v>
      </c>
      <c r="E10" s="398">
        <f t="shared" si="7"/>
        <v>2.2067166934213237E-2</v>
      </c>
      <c r="F10" s="398">
        <f t="shared" si="7"/>
        <v>0.14079001537873084</v>
      </c>
      <c r="G10" s="70" t="s">
        <v>51</v>
      </c>
      <c r="H10" s="89">
        <f>+'Metodología y FE'!$C$23*Consumo_CDMX!J82</f>
        <v>3021.8398727622866</v>
      </c>
      <c r="I10" s="89">
        <f>+'Metodología y FE'!$D$23*Consumo_CDMX!J82</f>
        <v>6.0573635379903019E-2</v>
      </c>
      <c r="J10" s="89">
        <f>+'Metodología y FE'!$E$23*Consumo_CDMX!J82</f>
        <v>7.2559019840102781E-3</v>
      </c>
      <c r="K10" s="89">
        <f>+'Metodología y FE'!$F$23*Consumo_CDMX!J82</f>
        <v>4.6293144695956981E-2</v>
      </c>
      <c r="L10" s="114"/>
      <c r="M10" s="115"/>
      <c r="N10" s="115"/>
      <c r="O10" s="401" t="s">
        <v>94</v>
      </c>
      <c r="P10" s="529">
        <f>+SUM(P11:P12)</f>
        <v>9190.2350758949578</v>
      </c>
      <c r="Q10" s="529">
        <f t="shared" ref="Q10:S10" si="8">+SUM(Q11:Q12)</f>
        <v>5.4897817108398828</v>
      </c>
      <c r="R10" s="529">
        <f t="shared" si="8"/>
        <v>6.0243365730402134</v>
      </c>
      <c r="S10" s="529">
        <f t="shared" si="8"/>
        <v>9201.7491941788376</v>
      </c>
      <c r="T10" s="277" t="s">
        <v>51</v>
      </c>
      <c r="U10" s="534">
        <f t="shared" si="5"/>
        <v>3021.8398727622866</v>
      </c>
      <c r="V10" s="534">
        <f t="shared" si="3"/>
        <v>1.8050943343211101</v>
      </c>
      <c r="W10" s="534">
        <f t="shared" si="4"/>
        <v>1.9808612416348059</v>
      </c>
      <c r="X10" s="534">
        <f t="shared" si="6"/>
        <v>3025.6258283382426</v>
      </c>
      <c r="Y10" s="21"/>
      <c r="Z10" s="21"/>
      <c r="AA10" s="21"/>
    </row>
    <row r="11" spans="1:27">
      <c r="A11" s="48"/>
      <c r="B11" s="47" t="s">
        <v>93</v>
      </c>
      <c r="C11" s="89">
        <f>+Consumo_CDMX!H83*'Metodología y FE'!$C$23</f>
        <v>8930.3794179347296</v>
      </c>
      <c r="D11" s="89">
        <f>+'Metodología y FE'!$D$23*Consumo_CDMX!H83</f>
        <v>0.17901198258122339</v>
      </c>
      <c r="E11" s="89">
        <f>+'Metodología y FE'!$E$23*Consumo_CDMX!H83</f>
        <v>2.1443213560262162E-2</v>
      </c>
      <c r="F11" s="89">
        <f>+'Metodología y FE'!$F$23*Consumo_CDMX!H83</f>
        <v>0.1368091507133177</v>
      </c>
      <c r="G11" s="70" t="s">
        <v>53</v>
      </c>
      <c r="H11" s="89">
        <f>+'Metodología y FE'!$C$23*Consumo_CDMX!J83</f>
        <v>192.047776173442</v>
      </c>
      <c r="I11" s="660">
        <f>+'Metodología y FE'!$D$23*Consumo_CDMX!J83</f>
        <v>3.8496520197205085E-3</v>
      </c>
      <c r="J11" s="661">
        <f>+'Metodología y FE'!$E$23*Consumo_CDMX!J83</f>
        <v>4.6113622787293792E-4</v>
      </c>
      <c r="K11" s="660">
        <f>+'Metodología y FE'!$F$23*Consumo_CDMX!J83</f>
        <v>2.9420802773401228E-3</v>
      </c>
      <c r="L11" s="114"/>
      <c r="M11" s="115"/>
      <c r="N11" s="115"/>
      <c r="O11" s="47" t="s">
        <v>93</v>
      </c>
      <c r="P11" s="530">
        <f>+C11</f>
        <v>8930.3794179347296</v>
      </c>
      <c r="Q11" s="530">
        <f>+D11*$Q$81</f>
        <v>5.3345570809204572</v>
      </c>
      <c r="R11" s="530">
        <f>+E11*$Q$82</f>
        <v>5.8539973019515701</v>
      </c>
      <c r="S11" s="530">
        <f>+SUM(P11:R11)</f>
        <v>8941.5679723176017</v>
      </c>
      <c r="T11" s="277" t="s">
        <v>53</v>
      </c>
      <c r="U11" s="534">
        <f t="shared" si="5"/>
        <v>192.047776173442</v>
      </c>
      <c r="V11" s="534">
        <f t="shared" si="3"/>
        <v>0.11471963018767116</v>
      </c>
      <c r="W11" s="534">
        <f t="shared" si="4"/>
        <v>0.12589019020931205</v>
      </c>
      <c r="X11" s="534">
        <f t="shared" si="6"/>
        <v>192.28838599383897</v>
      </c>
      <c r="Y11" s="21"/>
      <c r="Z11" s="21"/>
      <c r="AA11" s="21"/>
    </row>
    <row r="12" spans="1:27">
      <c r="A12" s="48"/>
      <c r="B12" s="47" t="s">
        <v>54</v>
      </c>
      <c r="C12" s="89">
        <f>+Consumo_CDMX!H84*'Metodología y FE'!$C$23</f>
        <v>259.85565796022752</v>
      </c>
      <c r="D12" s="89">
        <f>+'Metodología y FE'!$D$23*Consumo_CDMX!H84</f>
        <v>5.2088801986384528E-3</v>
      </c>
      <c r="E12" s="660">
        <f>+'Metodología y FE'!$E$23*Consumo_CDMX!H84</f>
        <v>6.2395337395107346E-4</v>
      </c>
      <c r="F12" s="660">
        <f>+'Metodología y FE'!$F$23*Consumo_CDMX!H84</f>
        <v>3.9808646654131375E-3</v>
      </c>
      <c r="G12" s="70" t="s">
        <v>56</v>
      </c>
      <c r="H12" s="89">
        <f>+'Metodología y FE'!$C$23*Consumo_CDMX!J84</f>
        <v>0</v>
      </c>
      <c r="I12" s="89">
        <f>+'Metodología y FE'!$D$23*Consumo_CDMX!J84</f>
        <v>0</v>
      </c>
      <c r="J12" s="89">
        <f>+'Metodología y FE'!$E$23*Consumo_CDMX!J84</f>
        <v>0</v>
      </c>
      <c r="K12" s="89">
        <f>+'Metodología y FE'!$F$23*Consumo_CDMX!J84</f>
        <v>0</v>
      </c>
      <c r="L12" s="114"/>
      <c r="M12" s="115"/>
      <c r="N12" s="115"/>
      <c r="O12" s="47" t="s">
        <v>54</v>
      </c>
      <c r="P12" s="530">
        <f>+C12</f>
        <v>259.85565796022752</v>
      </c>
      <c r="Q12" s="530">
        <f>+D12*$Q$81</f>
        <v>0.1552246299194259</v>
      </c>
      <c r="R12" s="530">
        <f>+E12*$Q$82</f>
        <v>0.17033927108864305</v>
      </c>
      <c r="S12" s="530">
        <f>+SUM(P12:R12)</f>
        <v>260.1812218612356</v>
      </c>
      <c r="T12" s="277" t="s">
        <v>56</v>
      </c>
      <c r="U12" s="534">
        <f t="shared" si="5"/>
        <v>0</v>
      </c>
      <c r="V12" s="534">
        <f t="shared" si="3"/>
        <v>0</v>
      </c>
      <c r="W12" s="534">
        <f t="shared" si="4"/>
        <v>0</v>
      </c>
      <c r="X12" s="534">
        <f t="shared" si="6"/>
        <v>0</v>
      </c>
      <c r="Y12" s="21"/>
      <c r="Z12" s="21"/>
      <c r="AA12" s="21"/>
    </row>
    <row r="13" spans="1:27">
      <c r="A13" s="48"/>
      <c r="B13" s="401" t="s">
        <v>55</v>
      </c>
      <c r="C13" s="398">
        <f>+Consumo_CDMX!H85*'Metodología y FE'!$C$23</f>
        <v>17029.819437828995</v>
      </c>
      <c r="D13" s="398">
        <f>+'Metodología y FE'!$D$23*Consumo_CDMX!H85</f>
        <v>0.3413675497867078</v>
      </c>
      <c r="E13" s="398">
        <f>+'Metodología y FE'!$E$23*Consumo_CDMX!H85</f>
        <v>4.0891213912445649E-2</v>
      </c>
      <c r="F13" s="398">
        <f>+'Metodología y FE'!$F$23*Consumo_CDMX!H85</f>
        <v>0.26088870640944622</v>
      </c>
      <c r="G13" s="70" t="s">
        <v>58</v>
      </c>
      <c r="H13" s="89">
        <f>+'Metodología y FE'!$C$23*Consumo_CDMX!J85</f>
        <v>402.42961527021072</v>
      </c>
      <c r="I13" s="89">
        <f>+'Metodología y FE'!$D$23*Consumo_CDMX!J85</f>
        <v>8.0668155189737231E-3</v>
      </c>
      <c r="J13" s="89">
        <f>+'Metodología y FE'!$E$23*Consumo_CDMX!J85</f>
        <v>9.6629535872608295E-4</v>
      </c>
      <c r="K13" s="89">
        <f>+'Metodología y FE'!$F$23*Consumo_CDMX!J85</f>
        <v>6.1650296488452196E-3</v>
      </c>
      <c r="L13" s="114"/>
      <c r="M13" s="115"/>
      <c r="N13" s="115"/>
      <c r="O13" s="468" t="s">
        <v>55</v>
      </c>
      <c r="P13" s="529">
        <f>+C13</f>
        <v>17029.819437828995</v>
      </c>
      <c r="Q13" s="529">
        <f>+D13*$Q$81</f>
        <v>10.172752983643893</v>
      </c>
      <c r="R13" s="529">
        <f>+E13*$Q$82</f>
        <v>11.163301398097662</v>
      </c>
      <c r="S13" s="529">
        <f>+SUM(P13:R13)</f>
        <v>17051.155492210735</v>
      </c>
      <c r="T13" s="277" t="s">
        <v>58</v>
      </c>
      <c r="U13" s="534">
        <f t="shared" si="5"/>
        <v>402.42961527021072</v>
      </c>
      <c r="V13" s="534">
        <f t="shared" si="3"/>
        <v>0.24039110246541695</v>
      </c>
      <c r="W13" s="534">
        <f t="shared" si="4"/>
        <v>0.26379863293222067</v>
      </c>
      <c r="X13" s="534">
        <f t="shared" si="6"/>
        <v>402.93380500560835</v>
      </c>
      <c r="Y13" s="21"/>
      <c r="Z13" s="21"/>
      <c r="AA13" s="21"/>
    </row>
    <row r="14" spans="1:27">
      <c r="A14" s="48"/>
      <c r="B14" s="401" t="s">
        <v>57</v>
      </c>
      <c r="C14" s="398">
        <f>+Consumo_CDMX!H86*'Metodología y FE'!$C$23</f>
        <v>31052.744292780731</v>
      </c>
      <c r="D14" s="398">
        <f>+'Metodología y FE'!$D$23*Consumo_CDMX!H86</f>
        <v>0.6224610467585262</v>
      </c>
      <c r="E14" s="398">
        <f>+'Metodología y FE'!$E$23*Consumo_CDMX!H86</f>
        <v>7.4562411778950025E-2</v>
      </c>
      <c r="F14" s="398">
        <f>+'Metodología y FE'!$F$23*Consumo_CDMX!H86</f>
        <v>0.47571322283142503</v>
      </c>
      <c r="G14" s="416" t="s">
        <v>60</v>
      </c>
      <c r="H14" s="398">
        <f>+'Metodología y FE'!$C$23*Consumo_CDMX!J86</f>
        <v>73089.356312165532</v>
      </c>
      <c r="I14" s="398">
        <f>+'Metodología y FE'!$D$23*Consumo_CDMX!J86</f>
        <v>1.4650968303485619</v>
      </c>
      <c r="J14" s="398">
        <f>+'Metodología y FE'!$E$23*Consumo_CDMX!J86</f>
        <v>0.17549877816348292</v>
      </c>
      <c r="K14" s="398">
        <f>+'Metodología y FE'!$F$23*Consumo_CDMX!J86</f>
        <v>1.1196940572501346</v>
      </c>
      <c r="L14" s="114"/>
      <c r="M14" s="115"/>
      <c r="N14" s="115"/>
      <c r="O14" s="468" t="s">
        <v>57</v>
      </c>
      <c r="P14" s="529">
        <f>+C14</f>
        <v>31052.744292780731</v>
      </c>
      <c r="Q14" s="529">
        <f>+D14*$Q$81</f>
        <v>18.54933919340408</v>
      </c>
      <c r="R14" s="529">
        <f>+E14*$Q$82</f>
        <v>20.355538415653356</v>
      </c>
      <c r="S14" s="529">
        <f>+SUM(P14:R14)</f>
        <v>31091.649170389788</v>
      </c>
      <c r="T14" s="468" t="s">
        <v>60</v>
      </c>
      <c r="U14" s="533">
        <f t="shared" si="5"/>
        <v>73089.356312165532</v>
      </c>
      <c r="V14" s="533">
        <f t="shared" si="3"/>
        <v>43.659885544387144</v>
      </c>
      <c r="W14" s="533">
        <f t="shared" si="4"/>
        <v>47.911166438630836</v>
      </c>
      <c r="X14" s="533">
        <f t="shared" si="6"/>
        <v>73180.927364148549</v>
      </c>
      <c r="Y14" s="21"/>
      <c r="Z14" s="21"/>
      <c r="AA14" s="21"/>
    </row>
    <row r="15" spans="1:27">
      <c r="A15" s="48"/>
      <c r="B15" s="401" t="s">
        <v>290</v>
      </c>
      <c r="C15" s="398">
        <f>+Consumo_CDMX!H87*'Metodología y FE'!$C$23</f>
        <v>1388.4130196043193</v>
      </c>
      <c r="D15" s="398">
        <f>+'Metodología y FE'!$D$23*Consumo_CDMX!H87</f>
        <v>2.7831131875741849E-2</v>
      </c>
      <c r="E15" s="664">
        <f>+'Metodología y FE'!$E$23*Consumo_CDMX!H87</f>
        <v>3.3337930558060276E-3</v>
      </c>
      <c r="F15" s="398">
        <f>+'Metodología y FE'!$F$23*Consumo_CDMX!H87</f>
        <v>2.1269824848640956E-2</v>
      </c>
      <c r="G15" s="416" t="s">
        <v>273</v>
      </c>
      <c r="H15" s="398">
        <f>+'Metodología y FE'!$C$23*Consumo_CDMX!J87</f>
        <v>309.87418447518434</v>
      </c>
      <c r="I15" s="398">
        <f>+'Metodología y FE'!$D$23*Consumo_CDMX!J87</f>
        <v>6.2115157170411659E-3</v>
      </c>
      <c r="J15" s="664">
        <f>+'Metodología y FE'!$E$23*Consumo_CDMX!J87</f>
        <v>7.4405554384050212E-4</v>
      </c>
      <c r="K15" s="664">
        <f>+'Metodología y FE'!$F$23*Consumo_CDMX!J87</f>
        <v>4.7471246205837026E-3</v>
      </c>
      <c r="L15" s="114"/>
      <c r="M15" s="115"/>
      <c r="N15" s="115"/>
      <c r="O15" s="468" t="s">
        <v>59</v>
      </c>
      <c r="P15" s="529">
        <f>+C15</f>
        <v>1388.4130196043193</v>
      </c>
      <c r="Q15" s="529">
        <f>+D15*$Q$81</f>
        <v>0.82936772989710716</v>
      </c>
      <c r="R15" s="529">
        <f>+E15*$Q$82</f>
        <v>0.91012550423504557</v>
      </c>
      <c r="S15" s="529">
        <f>+SUM(P15:R15)</f>
        <v>1390.1525128384515</v>
      </c>
      <c r="T15" s="468" t="s">
        <v>273</v>
      </c>
      <c r="U15" s="533">
        <f t="shared" ref="U15" si="9">+H15</f>
        <v>309.87418447518434</v>
      </c>
      <c r="V15" s="533">
        <f t="shared" si="3"/>
        <v>0.18510316836782675</v>
      </c>
      <c r="W15" s="533">
        <f t="shared" si="4"/>
        <v>0.20312716346845708</v>
      </c>
      <c r="X15" s="533">
        <f t="shared" ref="X15" si="10">+SUM(U15:W15)</f>
        <v>310.26241480702066</v>
      </c>
      <c r="Y15" s="21"/>
      <c r="Z15" s="21"/>
      <c r="AA15" s="21"/>
    </row>
    <row r="16" spans="1:27">
      <c r="A16" s="48"/>
      <c r="B16" s="116"/>
      <c r="C16" s="117"/>
      <c r="D16" s="117"/>
      <c r="E16" s="117"/>
      <c r="F16" s="117"/>
      <c r="G16" s="408" t="s">
        <v>61</v>
      </c>
      <c r="H16" s="398">
        <f>+'Metodología y FE'!$C$23*Consumo_CDMX!J88</f>
        <v>24.854620044826603</v>
      </c>
      <c r="I16" s="665">
        <f>+'Metodología y FE'!$D$23*Consumo_CDMX!J88</f>
        <v>4.9821789224229634E-4</v>
      </c>
      <c r="J16" s="665">
        <f>+'Metodología y FE'!$E$23*Consumo_CDMX!J88</f>
        <v>5.9679762822848171E-5</v>
      </c>
      <c r="K16" s="665">
        <f>+'Metodología y FE'!$F$23*Consumo_CDMX!J88</f>
        <v>3.807609173699928E-4</v>
      </c>
      <c r="L16" s="114"/>
      <c r="M16" s="115"/>
      <c r="N16" s="115"/>
      <c r="O16" s="116"/>
      <c r="P16" s="531"/>
      <c r="Q16" s="531"/>
      <c r="R16" s="531"/>
      <c r="S16" s="531"/>
      <c r="T16" s="468" t="s">
        <v>61</v>
      </c>
      <c r="U16" s="533">
        <f t="shared" si="5"/>
        <v>24.854620044826603</v>
      </c>
      <c r="V16" s="536">
        <f t="shared" si="3"/>
        <v>1.4846893188820431E-2</v>
      </c>
      <c r="W16" s="536">
        <f t="shared" si="4"/>
        <v>1.6292575250637552E-2</v>
      </c>
      <c r="X16" s="533">
        <f t="shared" si="6"/>
        <v>24.885759513266063</v>
      </c>
      <c r="Y16" s="21"/>
      <c r="Z16" s="21"/>
      <c r="AA16" s="21"/>
    </row>
    <row r="17" spans="1:27">
      <c r="A17" s="48"/>
      <c r="B17" s="116"/>
      <c r="C17" s="117"/>
      <c r="D17" s="117"/>
      <c r="E17" s="117"/>
      <c r="F17" s="117"/>
      <c r="G17" s="408" t="s">
        <v>62</v>
      </c>
      <c r="H17" s="398">
        <f>+'Metodología y FE'!$C$23*Consumo_CDMX!J89</f>
        <v>195998.39582759651</v>
      </c>
      <c r="I17" s="398">
        <f>+'Metodología y FE'!$D$23*Consumo_CDMX!J89</f>
        <v>3.9288433086476369</v>
      </c>
      <c r="J17" s="398">
        <f>+'Metodología y FE'!$E$23*Consumo_CDMX!J89</f>
        <v>0.47062227286328573</v>
      </c>
      <c r="K17" s="398">
        <f>+'Metodología y FE'!$F$23*Consumo_CDMX!J89</f>
        <v>3.0026018850324885</v>
      </c>
      <c r="L17" s="114"/>
      <c r="M17" s="115"/>
      <c r="N17" s="115"/>
      <c r="O17" s="116"/>
      <c r="P17" s="531"/>
      <c r="Q17" s="531"/>
      <c r="R17" s="531"/>
      <c r="S17" s="531"/>
      <c r="T17" s="468" t="s">
        <v>62</v>
      </c>
      <c r="U17" s="533">
        <f t="shared" si="5"/>
        <v>195998.39582759651</v>
      </c>
      <c r="V17" s="533">
        <f t="shared" si="3"/>
        <v>117.07953059769959</v>
      </c>
      <c r="W17" s="533">
        <f t="shared" si="4"/>
        <v>128.47988049167699</v>
      </c>
      <c r="X17" s="533">
        <f t="shared" si="6"/>
        <v>196243.95523868588</v>
      </c>
      <c r="Y17" s="21"/>
      <c r="Z17" s="21"/>
      <c r="AA17" s="21"/>
    </row>
    <row r="18" spans="1:27">
      <c r="A18" s="48"/>
      <c r="B18" s="45"/>
      <c r="C18" s="88"/>
      <c r="D18" s="88"/>
      <c r="E18" s="88"/>
      <c r="F18" s="88"/>
      <c r="G18" s="401"/>
      <c r="H18" s="398"/>
      <c r="I18" s="398"/>
      <c r="J18" s="398"/>
      <c r="K18" s="398"/>
      <c r="L18" s="114"/>
      <c r="M18" s="115"/>
      <c r="N18" s="115"/>
      <c r="O18" s="45"/>
      <c r="P18" s="531"/>
      <c r="Q18" s="531"/>
      <c r="R18" s="531"/>
      <c r="S18" s="531"/>
      <c r="T18" s="468" t="s">
        <v>67</v>
      </c>
      <c r="U18" s="533">
        <f t="shared" si="5"/>
        <v>0</v>
      </c>
      <c r="V18" s="533">
        <f t="shared" si="3"/>
        <v>0</v>
      </c>
      <c r="W18" s="533">
        <f t="shared" si="4"/>
        <v>0</v>
      </c>
      <c r="X18" s="533">
        <f t="shared" si="6"/>
        <v>0</v>
      </c>
      <c r="Y18" s="21"/>
      <c r="Z18" s="21"/>
      <c r="AA18" s="21"/>
    </row>
    <row r="19" spans="1:27">
      <c r="A19" s="48"/>
      <c r="B19" s="118" t="s">
        <v>63</v>
      </c>
      <c r="C19" s="90">
        <f>SUM(C7,C10,C13:C15)</f>
        <v>77746.332215036935</v>
      </c>
      <c r="D19" s="90">
        <f t="shared" ref="D19:F19" si="11">SUM(D7,D10,D13:D15)</f>
        <v>1.5584472301682806</v>
      </c>
      <c r="E19" s="90">
        <f t="shared" si="11"/>
        <v>0.18668089307225352</v>
      </c>
      <c r="F19" s="90">
        <f t="shared" si="11"/>
        <v>1.1910367055686051</v>
      </c>
      <c r="G19" s="118" t="s">
        <v>63</v>
      </c>
      <c r="H19" s="90">
        <f>SUM(H7,H14:H18)</f>
        <v>411030.81262768852</v>
      </c>
      <c r="I19" s="90">
        <f t="shared" ref="I19:K19" si="12">SUM(I7,I14:I18)</f>
        <v>8.2392289540000423</v>
      </c>
      <c r="J19" s="90">
        <f t="shared" si="12"/>
        <v>0.98694815556469839</v>
      </c>
      <c r="K19" s="90">
        <f t="shared" si="12"/>
        <v>6.296795887492479</v>
      </c>
      <c r="L19" s="114"/>
      <c r="M19" s="115"/>
      <c r="N19" s="115"/>
      <c r="O19" s="118" t="s">
        <v>63</v>
      </c>
      <c r="P19" s="532">
        <f>+SUM(P13:P15,P10,P7)</f>
        <v>77746.332215036935</v>
      </c>
      <c r="Q19" s="532">
        <f>+SUM(Q13:Q15,Q10,Q7)</f>
        <v>46.441727459014757</v>
      </c>
      <c r="R19" s="532">
        <f>+SUM(R13:R15,R10,R7)</f>
        <v>50.963883808725214</v>
      </c>
      <c r="S19" s="532">
        <f>+SUM(S13:S15,S10,S7)</f>
        <v>77843.73782630467</v>
      </c>
      <c r="T19" s="118" t="s">
        <v>63</v>
      </c>
      <c r="U19" s="532">
        <f>+SUM(U14:U18,U7)</f>
        <v>411030.81262768846</v>
      </c>
      <c r="V19" s="532">
        <f t="shared" ref="V19:X19" si="13">+SUM(V14:V18,V7)</f>
        <v>245.52902282920127</v>
      </c>
      <c r="W19" s="532">
        <f t="shared" si="13"/>
        <v>269.43684646916267</v>
      </c>
      <c r="X19" s="532">
        <f t="shared" si="13"/>
        <v>411545.77849698684</v>
      </c>
      <c r="Y19" s="21"/>
      <c r="Z19" s="21"/>
      <c r="AA19" s="21"/>
    </row>
    <row r="20" spans="1:27">
      <c r="A20" s="48"/>
      <c r="B20" s="215"/>
      <c r="C20" s="216"/>
      <c r="D20" s="216"/>
      <c r="E20" s="216"/>
      <c r="F20" s="216"/>
      <c r="G20" s="215"/>
      <c r="H20" s="216"/>
      <c r="I20" s="216"/>
      <c r="J20" s="216"/>
      <c r="K20" s="216"/>
      <c r="L20" s="114"/>
      <c r="M20" s="115"/>
      <c r="N20" s="115"/>
      <c r="O20" s="21"/>
      <c r="P20" s="21" t="b">
        <f>+P19=C19</f>
        <v>1</v>
      </c>
      <c r="Q20" s="21" t="b">
        <f>+Q19=D19*$Q$81</f>
        <v>1</v>
      </c>
      <c r="R20" s="21" t="b">
        <f>+R19=E19*$Q$82</f>
        <v>1</v>
      </c>
      <c r="S20" s="21"/>
      <c r="T20" s="21"/>
      <c r="U20" s="21" t="b">
        <f>+U19=H19</f>
        <v>0</v>
      </c>
      <c r="V20" s="21" t="b">
        <f>+V19=I19*$Q$81</f>
        <v>1</v>
      </c>
      <c r="W20" s="21" t="b">
        <f>+W19=J19*$Q$82</f>
        <v>1</v>
      </c>
      <c r="X20" s="21"/>
      <c r="Y20" s="21"/>
      <c r="Z20" s="21"/>
      <c r="AA20" s="21"/>
    </row>
    <row r="21" spans="1:27" ht="15.75">
      <c r="A21" s="48"/>
      <c r="B21" s="462" t="s">
        <v>13</v>
      </c>
      <c r="C21" s="216"/>
      <c r="D21" s="216"/>
      <c r="E21" s="216"/>
      <c r="F21" s="216"/>
      <c r="G21" s="215"/>
      <c r="H21" s="216"/>
      <c r="I21" s="216"/>
      <c r="J21" s="216"/>
      <c r="K21" s="216"/>
      <c r="L21" s="114"/>
      <c r="M21" s="115"/>
      <c r="N21" s="115"/>
      <c r="P21" s="21"/>
      <c r="Q21" s="21"/>
      <c r="R21" s="21"/>
      <c r="S21" s="21"/>
      <c r="T21" s="21"/>
      <c r="U21" s="21"/>
      <c r="V21" s="21"/>
      <c r="W21" s="21"/>
      <c r="X21" s="21"/>
      <c r="Y21" s="21"/>
      <c r="Z21" s="21"/>
      <c r="AA21" s="21"/>
    </row>
    <row r="22" spans="1:27" ht="15.75">
      <c r="A22" s="48"/>
      <c r="B22" s="357" t="s">
        <v>35</v>
      </c>
      <c r="C22" s="463" t="s">
        <v>41</v>
      </c>
      <c r="D22" s="463" t="s">
        <v>42</v>
      </c>
      <c r="E22" s="463" t="s">
        <v>43</v>
      </c>
      <c r="F22" s="463" t="s">
        <v>126</v>
      </c>
      <c r="G22" s="381" t="s">
        <v>36</v>
      </c>
      <c r="H22" s="463" t="s">
        <v>41</v>
      </c>
      <c r="I22" s="463" t="s">
        <v>42</v>
      </c>
      <c r="J22" s="463" t="s">
        <v>43</v>
      </c>
      <c r="K22" s="463" t="s">
        <v>126</v>
      </c>
      <c r="L22" s="114"/>
      <c r="M22" s="115"/>
      <c r="N22" s="115"/>
      <c r="O22" s="585" t="s">
        <v>247</v>
      </c>
      <c r="P22" s="586">
        <f>+P7+P10+P13</f>
        <v>45305.174902651881</v>
      </c>
      <c r="Q22" s="586">
        <f t="shared" ref="Q22:S22" si="14">+Q7+Q10+Q13</f>
        <v>27.063020535713573</v>
      </c>
      <c r="R22" s="586">
        <f t="shared" si="14"/>
        <v>29.698219888836814</v>
      </c>
      <c r="S22" s="586">
        <f t="shared" si="14"/>
        <v>45361.936143076426</v>
      </c>
      <c r="T22" s="21"/>
      <c r="U22" s="21"/>
      <c r="V22" s="21"/>
      <c r="W22" s="21"/>
      <c r="X22" s="21"/>
      <c r="Y22" s="21"/>
      <c r="Z22" s="21"/>
      <c r="AA22" s="21"/>
    </row>
    <row r="23" spans="1:27" ht="15.75">
      <c r="A23" s="48"/>
      <c r="B23" s="447" t="s">
        <v>157</v>
      </c>
      <c r="C23" s="398">
        <f>+C24+C25</f>
        <v>216412.42640038283</v>
      </c>
      <c r="D23" s="398">
        <f>+D24+D25</f>
        <v>4.3380483283099824</v>
      </c>
      <c r="E23" s="398">
        <f>+E24+E25</f>
        <v>0.51963949785586183</v>
      </c>
      <c r="F23" s="398">
        <f>+F24+F25</f>
        <v>3.315335090935231</v>
      </c>
      <c r="G23" s="167" t="s">
        <v>45</v>
      </c>
      <c r="H23" s="88">
        <f>+Consumo_EDOMEX!$J$44*'Metodología y FE'!C$23</f>
        <v>831322.09546724032</v>
      </c>
      <c r="I23" s="88">
        <f>+Consumo_EDOMEX!$J$44*'Metodología y FE'!D$23</f>
        <v>16.66408665395581</v>
      </c>
      <c r="J23" s="88">
        <f>+Consumo_EDOMEX!$J$44*'Metodología y FE'!E$23</f>
        <v>1.9961321234200413</v>
      </c>
      <c r="K23" s="88">
        <f>+Consumo_EDOMEX!$J$44*'Metodología y FE'!F$23</f>
        <v>12.735457759127433</v>
      </c>
      <c r="L23" s="114"/>
      <c r="M23" s="115"/>
      <c r="N23" s="115"/>
      <c r="O23" s="115"/>
      <c r="P23" s="115"/>
      <c r="Q23" s="21"/>
      <c r="R23" s="21"/>
      <c r="S23" s="21"/>
      <c r="T23" s="21"/>
      <c r="U23" s="21"/>
      <c r="V23" s="21"/>
      <c r="W23" s="21"/>
      <c r="X23" s="21"/>
      <c r="Y23" s="21"/>
      <c r="Z23" s="21"/>
      <c r="AA23" s="21"/>
    </row>
    <row r="24" spans="1:27" ht="15.75">
      <c r="A24" s="48"/>
      <c r="B24" s="217" t="s">
        <v>44</v>
      </c>
      <c r="C24" s="89">
        <f>+Consumo_EDOMEX!$H$45*'Metodología y FE'!C$23</f>
        <v>77996.777673920136</v>
      </c>
      <c r="D24" s="89">
        <f>+Consumo_EDOMEX!$H$45*'Metodología y FE'!D$23</f>
        <v>1.5634674802634905</v>
      </c>
      <c r="E24" s="89">
        <f>+Consumo_EDOMEX!$H$45*'Metodología y FE'!E$23</f>
        <v>0.18728225111189578</v>
      </c>
      <c r="F24" s="89">
        <f>+Consumo_EDOMEX!$H$45*'Metodología y FE'!F$23</f>
        <v>1.1948734104751186</v>
      </c>
      <c r="G24" s="167" t="s">
        <v>60</v>
      </c>
      <c r="H24" s="88">
        <f>+Consumo_EDOMEX!$J$45*'Metodología y FE'!C$23</f>
        <v>306079.15109379549</v>
      </c>
      <c r="I24" s="88">
        <f>+Consumo_EDOMEX!$J$45*'Metodología y FE'!D$23</f>
        <v>6.1354431989799503</v>
      </c>
      <c r="J24" s="88">
        <f>+Consumo_EDOMEX!$J$45*'Metodología y FE'!E$23</f>
        <v>0.73494308540429998</v>
      </c>
      <c r="K24" s="88">
        <f>+Consumo_EDOMEX!$J$45*'Metodología y FE'!F$23</f>
        <v>4.6889865203375019</v>
      </c>
      <c r="L24" s="114"/>
      <c r="M24" s="115"/>
      <c r="N24" s="115"/>
      <c r="O24" s="115"/>
      <c r="P24" s="115"/>
      <c r="Q24" s="21"/>
      <c r="R24" s="21"/>
      <c r="S24" s="21"/>
      <c r="T24" s="21"/>
      <c r="U24" s="21"/>
      <c r="V24" s="21"/>
      <c r="W24" s="21"/>
      <c r="X24" s="21"/>
      <c r="Y24" s="21"/>
      <c r="Z24" s="21"/>
      <c r="AA24" s="21"/>
    </row>
    <row r="25" spans="1:27" ht="15.75">
      <c r="A25" s="48"/>
      <c r="B25" s="217" t="s">
        <v>55</v>
      </c>
      <c r="C25" s="89">
        <f>+Consumo_EDOMEX!$H46*'Metodología y FE'!C$23</f>
        <v>138415.64872646271</v>
      </c>
      <c r="D25" s="89">
        <f>+Consumo_EDOMEX!$H46*'Metodología y FE'!D$23</f>
        <v>2.774580848046492</v>
      </c>
      <c r="E25" s="89">
        <f>+Consumo_EDOMEX!$H46*'Metodología y FE'!E$23</f>
        <v>0.33235724674396611</v>
      </c>
      <c r="F25" s="89">
        <f>+Consumo_EDOMEX!$H46*'Metodología y FE'!F$23</f>
        <v>2.1204616804601124</v>
      </c>
      <c r="G25" s="167" t="s">
        <v>273</v>
      </c>
      <c r="H25" s="88">
        <f>+Consumo_EDOMEX!$J$46*'Metodología y FE'!C$23</f>
        <v>5139.4184215561008</v>
      </c>
      <c r="I25" s="88">
        <f>+Consumo_EDOMEX!$J$46*'Metodología y FE'!D$23</f>
        <v>0.1030210966299555</v>
      </c>
      <c r="J25" s="88">
        <f>+Consumo_EDOMEX!$J$46*'Metodología y FE'!E$23</f>
        <v>1.2340533546385367E-2</v>
      </c>
      <c r="K25" s="88">
        <f>+Consumo_EDOMEX!$J$46*'Metodología y FE'!F$23</f>
        <v>7.8733437461952299E-2</v>
      </c>
      <c r="L25" s="114"/>
      <c r="M25" s="115"/>
      <c r="N25" s="115"/>
      <c r="O25" s="115"/>
      <c r="P25" s="115"/>
      <c r="Q25" s="21"/>
      <c r="R25" s="21"/>
      <c r="S25" s="21"/>
      <c r="T25" s="21"/>
      <c r="U25" s="21"/>
      <c r="V25" s="21"/>
      <c r="W25" s="21"/>
      <c r="X25" s="21"/>
      <c r="Y25" s="21"/>
      <c r="Z25" s="21"/>
      <c r="AA25" s="21"/>
    </row>
    <row r="26" spans="1:27" ht="15.75">
      <c r="A26" s="48"/>
      <c r="B26" s="686" t="s">
        <v>337</v>
      </c>
      <c r="C26" s="398">
        <f>+Consumo_EDOMEX!$H47*'Metodología y FE'!C$23</f>
        <v>262.4916440747989</v>
      </c>
      <c r="D26" s="398">
        <f>+Consumo_EDOMEX!$H47*'Metodología y FE'!D$23</f>
        <v>5.2617192862452278E-3</v>
      </c>
      <c r="E26" s="664">
        <f>+Consumo_EDOMEX!$H47*'Metodología y FE'!E$23</f>
        <v>6.3028278175687421E-4</v>
      </c>
      <c r="F26" s="664">
        <f>+Consumo_EDOMEX!$H47*'Metodología y FE'!F$23</f>
        <v>4.0212467146799767E-3</v>
      </c>
      <c r="G26" s="167" t="s">
        <v>61</v>
      </c>
      <c r="H26" s="88">
        <f>+Consumo_EDOMEX!$J$47*'Metodología y FE'!C$23</f>
        <v>15601.287495088016</v>
      </c>
      <c r="I26" s="88">
        <f>+Consumo_EDOMEX!$J$47*'Metodología y FE'!D$23</f>
        <v>0.31273222274370416</v>
      </c>
      <c r="J26" s="88">
        <f>+Consumo_EDOMEX!$J$47*'Metodología y FE'!E$23</f>
        <v>3.7461089156006676E-2</v>
      </c>
      <c r="K26" s="88">
        <f>+Consumo_EDOMEX!$J$47*'Metodología y FE'!F$23</f>
        <v>0.23900427880486447</v>
      </c>
      <c r="L26" s="114"/>
      <c r="M26" s="115"/>
      <c r="N26" s="115"/>
      <c r="O26" s="115"/>
      <c r="P26" s="115"/>
      <c r="Q26" s="21"/>
      <c r="R26" s="21"/>
      <c r="S26" s="21"/>
      <c r="T26" s="21"/>
      <c r="U26" s="21"/>
      <c r="V26" s="21"/>
      <c r="W26" s="21"/>
      <c r="X26" s="21"/>
      <c r="Y26" s="21"/>
      <c r="Z26" s="21"/>
      <c r="AA26" s="21"/>
    </row>
    <row r="27" spans="1:27" ht="15.75">
      <c r="A27" s="48"/>
      <c r="B27" s="164"/>
      <c r="C27" s="88"/>
      <c r="D27" s="88"/>
      <c r="E27" s="88"/>
      <c r="F27" s="88"/>
      <c r="G27" s="439" t="s">
        <v>62</v>
      </c>
      <c r="H27" s="398">
        <f>+H28+H29</f>
        <v>1519158.618600687</v>
      </c>
      <c r="I27" s="398">
        <f t="shared" ref="I27:K27" si="15">+I28+I29</f>
        <v>30.451964406452188</v>
      </c>
      <c r="J27" s="398">
        <f t="shared" si="15"/>
        <v>3.647733334279871</v>
      </c>
      <c r="K27" s="398">
        <f t="shared" si="15"/>
        <v>23.272785027720751</v>
      </c>
      <c r="L27" s="114"/>
      <c r="M27" s="115"/>
      <c r="N27" s="115"/>
      <c r="O27" s="115"/>
      <c r="P27" s="115"/>
      <c r="Q27" s="21"/>
      <c r="R27" s="21"/>
      <c r="S27" s="21"/>
      <c r="T27" s="21"/>
      <c r="U27" s="21"/>
      <c r="V27" s="21"/>
      <c r="W27" s="21"/>
      <c r="X27" s="21"/>
      <c r="Y27" s="21"/>
      <c r="Z27" s="21"/>
      <c r="AA27" s="21"/>
    </row>
    <row r="28" spans="1:27" ht="15.75">
      <c r="A28" s="48"/>
      <c r="B28" s="164"/>
      <c r="C28" s="88"/>
      <c r="D28" s="88"/>
      <c r="E28" s="88"/>
      <c r="F28" s="88"/>
      <c r="G28" s="170" t="s">
        <v>158</v>
      </c>
      <c r="H28" s="89">
        <f>+Consumo_EDOMEX!$J49*'Metodología y FE'!C$23</f>
        <v>1086782.408859686</v>
      </c>
      <c r="I28" s="89">
        <f>+Consumo_EDOMEX!$J49*'Metodología y FE'!D$23</f>
        <v>21.784860926923724</v>
      </c>
      <c r="J28" s="89">
        <f>+Consumo_EDOMEX!$J49*'Metodología y FE'!E$23</f>
        <v>2.6095315995099999</v>
      </c>
      <c r="K28" s="89">
        <f>+Consumo_EDOMEX!$J49*'Metodología y FE'!F$23</f>
        <v>16.648987843413703</v>
      </c>
      <c r="L28" s="114"/>
      <c r="M28" s="115"/>
      <c r="N28" s="115"/>
      <c r="O28" s="115"/>
      <c r="P28" s="115"/>
      <c r="Q28" s="21"/>
      <c r="R28" s="21"/>
      <c r="S28" s="21"/>
      <c r="T28" s="21"/>
      <c r="U28" s="21"/>
      <c r="V28" s="21"/>
      <c r="W28" s="21"/>
      <c r="X28" s="21"/>
      <c r="Y28" s="21"/>
      <c r="Z28" s="21"/>
      <c r="AA28" s="21"/>
    </row>
    <row r="29" spans="1:27" ht="15.75">
      <c r="A29" s="48"/>
      <c r="B29" s="164"/>
      <c r="C29" s="88"/>
      <c r="D29" s="88"/>
      <c r="E29" s="88"/>
      <c r="F29" s="88"/>
      <c r="G29" s="170" t="s">
        <v>159</v>
      </c>
      <c r="H29" s="89">
        <f>+Consumo_EDOMEX!$J50*'Metodología y FE'!C$23</f>
        <v>432376.20974100096</v>
      </c>
      <c r="I29" s="89">
        <f>+Consumo_EDOMEX!$J50*'Metodología y FE'!D$23</f>
        <v>8.667103479528464</v>
      </c>
      <c r="J29" s="89">
        <f>+Consumo_EDOMEX!$J50*'Metodología y FE'!E$23</f>
        <v>1.0382017347698713</v>
      </c>
      <c r="K29" s="89">
        <f>+Consumo_EDOMEX!$J50*'Metodología y FE'!F$23</f>
        <v>6.6237971843070476</v>
      </c>
      <c r="L29" s="114"/>
      <c r="M29" s="115"/>
      <c r="N29" s="115"/>
      <c r="O29" s="115"/>
      <c r="P29" s="115"/>
      <c r="Q29" s="21"/>
      <c r="R29" s="21"/>
      <c r="S29" s="21"/>
      <c r="T29" s="21"/>
      <c r="U29" s="21"/>
      <c r="V29" s="21"/>
      <c r="W29" s="21"/>
      <c r="X29" s="21"/>
      <c r="Y29" s="21"/>
      <c r="Z29" s="21"/>
      <c r="AA29" s="21"/>
    </row>
    <row r="30" spans="1:27" ht="15.75">
      <c r="A30" s="48"/>
      <c r="B30" s="165" t="s">
        <v>63</v>
      </c>
      <c r="C30" s="90">
        <f>SUM(C23,C26)</f>
        <v>216674.91804445762</v>
      </c>
      <c r="D30" s="90">
        <f t="shared" ref="D30:F30" si="16">SUM(D23,D26)</f>
        <v>4.3433100475962281</v>
      </c>
      <c r="E30" s="90">
        <f t="shared" si="16"/>
        <v>0.52026978063761875</v>
      </c>
      <c r="F30" s="90">
        <f t="shared" si="16"/>
        <v>3.3193563376499111</v>
      </c>
      <c r="G30" s="174" t="s">
        <v>63</v>
      </c>
      <c r="H30" s="90">
        <f>SUM(H23:H27)</f>
        <v>2677300.5710783666</v>
      </c>
      <c r="I30" s="90">
        <f t="shared" ref="I30:K30" si="17">SUM(I23:I27)</f>
        <v>53.667247578761604</v>
      </c>
      <c r="J30" s="90">
        <f t="shared" si="17"/>
        <v>6.4286101658066048</v>
      </c>
      <c r="K30" s="90">
        <f t="shared" si="17"/>
        <v>41.014967023452499</v>
      </c>
      <c r="L30" s="114"/>
      <c r="M30" s="115"/>
      <c r="N30" s="115"/>
      <c r="O30" s="115"/>
      <c r="P30" s="115"/>
      <c r="Q30" s="21"/>
      <c r="R30" s="21"/>
      <c r="S30" s="21"/>
      <c r="T30" s="21"/>
      <c r="U30" s="21"/>
      <c r="V30" s="21"/>
      <c r="W30" s="21"/>
      <c r="X30" s="21"/>
      <c r="Y30" s="21"/>
      <c r="Z30" s="21"/>
      <c r="AA30" s="21"/>
    </row>
    <row r="31" spans="1:27">
      <c r="A31" s="48"/>
      <c r="B31" s="215"/>
      <c r="C31" s="216"/>
      <c r="D31" s="216"/>
      <c r="E31" s="216"/>
      <c r="F31" s="216"/>
      <c r="G31" s="215"/>
      <c r="H31" s="216"/>
      <c r="I31" s="216"/>
      <c r="J31" s="216"/>
      <c r="K31" s="216"/>
      <c r="L31" s="114"/>
      <c r="M31" s="115"/>
      <c r="N31" s="115"/>
      <c r="O31" s="115"/>
      <c r="P31" s="115"/>
      <c r="Q31" s="21"/>
      <c r="R31" s="21"/>
      <c r="S31" s="21"/>
      <c r="T31" s="21"/>
      <c r="U31" s="21"/>
      <c r="V31" s="21"/>
      <c r="W31" s="21"/>
      <c r="X31" s="21"/>
      <c r="Y31" s="21"/>
      <c r="Z31" s="21"/>
      <c r="AA31" s="21"/>
    </row>
    <row r="32" spans="1:27">
      <c r="A32" s="48"/>
      <c r="B32" s="215"/>
      <c r="C32" s="216"/>
      <c r="D32" s="216"/>
      <c r="E32" s="216"/>
      <c r="F32" s="216"/>
      <c r="G32" s="215"/>
      <c r="H32" s="216"/>
      <c r="I32" s="216"/>
      <c r="J32" s="216"/>
      <c r="K32" s="216"/>
      <c r="L32" s="114"/>
      <c r="M32" s="115"/>
      <c r="N32" s="115"/>
      <c r="O32" s="115"/>
      <c r="P32" s="115"/>
      <c r="Q32" s="21"/>
      <c r="R32" s="21"/>
      <c r="S32" s="21"/>
      <c r="T32" s="21"/>
      <c r="U32" s="21"/>
      <c r="V32" s="21"/>
      <c r="W32" s="21"/>
      <c r="X32" s="21"/>
      <c r="Y32" s="21"/>
      <c r="Z32" s="21"/>
      <c r="AA32" s="21"/>
    </row>
    <row r="33" spans="1:27" ht="15.75">
      <c r="A33" s="48"/>
      <c r="B33" s="462" t="s">
        <v>168</v>
      </c>
      <c r="C33" s="216" t="s">
        <v>214</v>
      </c>
      <c r="D33" s="216"/>
      <c r="E33" s="216"/>
      <c r="F33" s="216"/>
      <c r="G33" s="215"/>
      <c r="H33" s="216"/>
      <c r="I33" s="216"/>
      <c r="J33" s="216"/>
      <c r="K33" s="216"/>
      <c r="L33" s="114"/>
      <c r="M33" s="115"/>
      <c r="N33" s="115"/>
      <c r="O33" s="115"/>
      <c r="P33" s="115"/>
      <c r="Q33" s="21"/>
      <c r="R33" s="21"/>
      <c r="S33" s="21"/>
      <c r="T33" s="21"/>
      <c r="U33" s="21"/>
      <c r="V33" s="21"/>
      <c r="W33" s="21"/>
      <c r="X33" s="21"/>
      <c r="Y33" s="21"/>
      <c r="Z33" s="21"/>
      <c r="AA33" s="21"/>
    </row>
    <row r="34" spans="1:27" ht="15.75">
      <c r="A34" s="48"/>
      <c r="B34" s="357" t="s">
        <v>35</v>
      </c>
      <c r="C34" s="463" t="s">
        <v>41</v>
      </c>
      <c r="D34" s="463" t="s">
        <v>42</v>
      </c>
      <c r="E34" s="463" t="s">
        <v>43</v>
      </c>
      <c r="F34" s="463" t="s">
        <v>126</v>
      </c>
      <c r="G34" s="381" t="s">
        <v>36</v>
      </c>
      <c r="H34" s="463" t="s">
        <v>41</v>
      </c>
      <c r="I34" s="463" t="s">
        <v>42</v>
      </c>
      <c r="J34" s="463" t="s">
        <v>43</v>
      </c>
      <c r="K34" s="463" t="s">
        <v>126</v>
      </c>
      <c r="L34" s="114"/>
      <c r="M34" s="115"/>
      <c r="N34" s="115"/>
      <c r="O34" s="115"/>
      <c r="P34" s="115"/>
      <c r="Q34" s="21"/>
      <c r="R34" s="21"/>
      <c r="S34" s="21"/>
      <c r="T34" s="21"/>
      <c r="U34" s="21"/>
      <c r="V34" s="21"/>
      <c r="W34" s="21"/>
      <c r="X34" s="21"/>
      <c r="Y34" s="21"/>
      <c r="Z34" s="21"/>
      <c r="AA34" s="21"/>
    </row>
    <row r="35" spans="1:27" ht="15.75">
      <c r="A35" s="48"/>
      <c r="B35" s="447" t="s">
        <v>157</v>
      </c>
      <c r="C35" s="398">
        <f>+C36+C37</f>
        <v>6197.5511761130992</v>
      </c>
      <c r="D35" s="398">
        <f t="shared" ref="D35:E35" si="18">+D36+D37</f>
        <v>0.12423166712900657</v>
      </c>
      <c r="E35" s="398">
        <f t="shared" si="18"/>
        <v>1.4881272922531771E-2</v>
      </c>
      <c r="F35" s="398">
        <f>+F36+F37</f>
        <v>9.4943526274322676E-2</v>
      </c>
      <c r="G35" s="167" t="s">
        <v>45</v>
      </c>
      <c r="H35" s="88">
        <f>Consumo_Tizayuca!$J43*'Metodología y FE'!C$23</f>
        <v>24776.243843659711</v>
      </c>
      <c r="I35" s="88">
        <f>Consumo_Tizayuca!$J43*'Metodología y FE'!D$23</f>
        <v>0.49664681911074571</v>
      </c>
      <c r="J35" s="88">
        <f>Consumo_Tizayuca!$J43*'Metodología y FE'!E$23</f>
        <v>5.9491569517613183E-2</v>
      </c>
      <c r="K35" s="88">
        <f>Consumo_Tizayuca!$J43*'Metodología y FE'!F$23</f>
        <v>0.37956023137268297</v>
      </c>
      <c r="L35" s="114"/>
      <c r="M35" s="115"/>
      <c r="N35" s="115"/>
      <c r="O35" s="115"/>
      <c r="P35" s="115"/>
      <c r="Q35" s="21"/>
      <c r="R35" s="21"/>
      <c r="S35" s="21"/>
      <c r="T35" s="21"/>
      <c r="U35" s="21"/>
      <c r="V35" s="21"/>
      <c r="W35" s="21"/>
      <c r="X35" s="21"/>
      <c r="Y35" s="21"/>
      <c r="Z35" s="21"/>
      <c r="AA35" s="21"/>
    </row>
    <row r="36" spans="1:27" ht="15.75">
      <c r="A36" s="48"/>
      <c r="B36" s="217" t="s">
        <v>44</v>
      </c>
      <c r="C36" s="89">
        <f>Consumo_Tizayuca!$H44*'Metodología y FE'!C$23</f>
        <v>2840.0716196334829</v>
      </c>
      <c r="D36" s="89">
        <f>Consumo_Tizayuca!$H44*'Metodología y FE'!D$23</f>
        <v>5.693003930854619E-2</v>
      </c>
      <c r="E36" s="89">
        <f>Consumo_Tizayuca!$H44*'Metodología y FE'!E$23</f>
        <v>6.8194484709054419E-3</v>
      </c>
      <c r="F36" s="89">
        <f>Consumo_Tizayuca!$H44*'Metodología y FE'!F$23</f>
        <v>4.3508541805820651E-2</v>
      </c>
      <c r="G36" s="167" t="s">
        <v>60</v>
      </c>
      <c r="H36" s="88">
        <f>Consumo_Tizayuca!$J44*'Metodología y FE'!C$23</f>
        <v>6987.107748091461</v>
      </c>
      <c r="I36" s="88">
        <f>Consumo_Tizayuca!$J44*'Metodología y FE'!D$23</f>
        <v>0.14005855204567988</v>
      </c>
      <c r="J36" s="88">
        <f>Consumo_Tizayuca!$J44*'Metodología y FE'!E$23</f>
        <v>1.677711960479468E-2</v>
      </c>
      <c r="K36" s="88">
        <f>Consumo_Tizayuca!$J44*'Metodología y FE'!F$23</f>
        <v>0.10703915614594339</v>
      </c>
      <c r="L36" s="114"/>
      <c r="M36" s="115"/>
      <c r="N36" s="115"/>
      <c r="O36" s="115"/>
      <c r="P36" s="115"/>
      <c r="Q36" s="21"/>
      <c r="R36" s="21"/>
      <c r="S36" s="21"/>
      <c r="T36" s="21"/>
      <c r="U36" s="21"/>
      <c r="V36" s="21"/>
      <c r="W36" s="21"/>
      <c r="X36" s="21"/>
      <c r="Y36" s="21"/>
      <c r="Z36" s="21"/>
      <c r="AA36" s="21"/>
    </row>
    <row r="37" spans="1:27" ht="15.75">
      <c r="A37" s="48"/>
      <c r="B37" s="217" t="s">
        <v>55</v>
      </c>
      <c r="C37" s="89">
        <f>Consumo_Tizayuca!$H45*'Metodología y FE'!C$23</f>
        <v>3357.4795564796163</v>
      </c>
      <c r="D37" s="89">
        <f>Consumo_Tizayuca!$H45*'Metodología y FE'!D$23</f>
        <v>6.7301627820460383E-2</v>
      </c>
      <c r="E37" s="89">
        <f>Consumo_Tizayuca!$H45*'Metodología y FE'!E$23</f>
        <v>8.0618244516263288E-3</v>
      </c>
      <c r="F37" s="89">
        <f>Consumo_Tizayuca!$H45*'Metodología y FE'!F$23</f>
        <v>5.1434984468502025E-2</v>
      </c>
      <c r="G37" s="167" t="s">
        <v>61</v>
      </c>
      <c r="H37" s="88">
        <f>Consumo_Tizayuca!$J45*'Metodología y FE'!C$23</f>
        <v>2785.9750173547495</v>
      </c>
      <c r="I37" s="88">
        <f>Consumo_Tizayuca!$J45*'Metodología y FE'!D$23</f>
        <v>5.5845657607431022E-2</v>
      </c>
      <c r="J37" s="88">
        <f>Consumo_Tizayuca!$J45*'Metodología y FE'!E$23</f>
        <v>6.6895542143167669E-3</v>
      </c>
      <c r="K37" s="88">
        <f>Consumo_Tizayuca!$J45*'Metodología y FE'!F$23</f>
        <v>4.2679807676185975E-2</v>
      </c>
      <c r="L37" s="114"/>
      <c r="M37" s="115"/>
      <c r="N37" s="115"/>
      <c r="O37" s="115"/>
      <c r="P37" s="115"/>
      <c r="Q37" s="21"/>
      <c r="R37" s="21"/>
      <c r="S37" s="21"/>
      <c r="T37" s="21"/>
      <c r="U37" s="21"/>
      <c r="V37" s="21"/>
      <c r="W37" s="21"/>
      <c r="X37" s="21"/>
      <c r="Y37" s="21"/>
      <c r="Z37" s="21"/>
      <c r="AA37" s="21"/>
    </row>
    <row r="38" spans="1:27" ht="15.75">
      <c r="A38" s="48"/>
      <c r="B38" s="164"/>
      <c r="C38" s="88"/>
      <c r="D38" s="88"/>
      <c r="E38" s="88"/>
      <c r="F38" s="88"/>
      <c r="G38" s="439" t="s">
        <v>62</v>
      </c>
      <c r="H38" s="398">
        <f>+H39+H40</f>
        <v>50531.239777082279</v>
      </c>
      <c r="I38" s="398">
        <f t="shared" ref="I38:K38" si="19">+I39+I40</f>
        <v>1.0129130008313372</v>
      </c>
      <c r="J38" s="398">
        <f t="shared" si="19"/>
        <v>0.12133327323458509</v>
      </c>
      <c r="K38" s="398">
        <f t="shared" si="19"/>
        <v>0.77411447765703101</v>
      </c>
      <c r="L38" s="114"/>
      <c r="M38" s="115"/>
      <c r="N38" s="115"/>
      <c r="O38" s="115"/>
      <c r="P38" s="115"/>
      <c r="Q38" s="21"/>
      <c r="R38" s="21"/>
      <c r="S38" s="21"/>
      <c r="T38" s="21"/>
      <c r="U38" s="21"/>
      <c r="V38" s="21"/>
      <c r="W38" s="21"/>
      <c r="X38" s="21"/>
      <c r="Y38" s="21"/>
      <c r="Z38" s="21"/>
      <c r="AA38" s="21"/>
    </row>
    <row r="39" spans="1:27" ht="15.75">
      <c r="A39" s="48"/>
      <c r="B39" s="164"/>
      <c r="C39" s="88"/>
      <c r="D39" s="88"/>
      <c r="E39" s="88"/>
      <c r="F39" s="88"/>
      <c r="G39" s="170" t="s">
        <v>158</v>
      </c>
      <c r="H39" s="89">
        <f>Consumo_Tizayuca!$J47*'Metodología y FE'!C$23</f>
        <v>38199.099437595811</v>
      </c>
      <c r="I39" s="89">
        <f>Consumo_Tizayuca!$J47*'Metodología y FE'!D$23</f>
        <v>0.76571175793589341</v>
      </c>
      <c r="J39" s="89">
        <f>Consumo_Tizayuca!$J47*'Metodología y FE'!E$23</f>
        <v>9.1721908859219312E-2</v>
      </c>
      <c r="K39" s="89">
        <f>Consumo_Tizayuca!$J47*'Metodología y FE'!F$23</f>
        <v>0.58519197309531945</v>
      </c>
      <c r="L39" s="114"/>
      <c r="M39" s="115"/>
      <c r="N39" s="115"/>
      <c r="O39" s="115"/>
      <c r="P39" s="115"/>
      <c r="Q39" s="21"/>
      <c r="R39" s="21"/>
      <c r="S39" s="21"/>
      <c r="T39" s="21"/>
      <c r="U39" s="21"/>
      <c r="V39" s="21"/>
      <c r="W39" s="21"/>
      <c r="X39" s="21"/>
      <c r="Y39" s="21"/>
      <c r="Z39" s="21"/>
      <c r="AA39" s="21"/>
    </row>
    <row r="40" spans="1:27" ht="15.75">
      <c r="A40" s="48"/>
      <c r="B40" s="164"/>
      <c r="C40" s="88"/>
      <c r="D40" s="88"/>
      <c r="E40" s="88"/>
      <c r="F40" s="88"/>
      <c r="G40" s="170" t="s">
        <v>159</v>
      </c>
      <c r="H40" s="89">
        <f>Consumo_Tizayuca!$J48*'Metodología y FE'!C$23</f>
        <v>12332.140339486468</v>
      </c>
      <c r="I40" s="89">
        <f>Consumo_Tizayuca!$J48*'Metodología y FE'!D$23</f>
        <v>0.24720124289544371</v>
      </c>
      <c r="J40" s="89">
        <f>Consumo_Tizayuca!$J48*'Metodología y FE'!E$23</f>
        <v>2.9611364375365785E-2</v>
      </c>
      <c r="K40" s="89">
        <f>Consumo_Tizayuca!$J48*'Metodología y FE'!F$23</f>
        <v>0.18892250456171161</v>
      </c>
      <c r="L40" s="114"/>
      <c r="M40" s="115"/>
      <c r="N40" s="115"/>
      <c r="O40" s="115"/>
      <c r="P40" s="115"/>
      <c r="Q40" s="21"/>
      <c r="R40" s="21"/>
      <c r="S40" s="21"/>
      <c r="T40" s="21"/>
      <c r="U40" s="21"/>
      <c r="V40" s="21"/>
      <c r="W40" s="21"/>
      <c r="X40" s="21"/>
      <c r="Y40" s="21"/>
      <c r="Z40" s="21"/>
      <c r="AA40" s="21"/>
    </row>
    <row r="41" spans="1:27" ht="15.75">
      <c r="A41" s="48"/>
      <c r="B41" s="165" t="s">
        <v>63</v>
      </c>
      <c r="C41" s="90">
        <f>+C35</f>
        <v>6197.5511761130992</v>
      </c>
      <c r="D41" s="90">
        <f t="shared" ref="D41:E41" si="20">+D35</f>
        <v>0.12423166712900657</v>
      </c>
      <c r="E41" s="90">
        <f t="shared" si="20"/>
        <v>1.4881272922531771E-2</v>
      </c>
      <c r="F41" s="90">
        <f>+F35</f>
        <v>9.4943526274322676E-2</v>
      </c>
      <c r="G41" s="174" t="s">
        <v>63</v>
      </c>
      <c r="H41" s="90">
        <f>SUM(H35:H38)</f>
        <v>85080.566386188206</v>
      </c>
      <c r="I41" s="90">
        <f t="shared" ref="I41:K41" si="21">SUM(I35:I38)</f>
        <v>1.7054640295951937</v>
      </c>
      <c r="J41" s="90">
        <f t="shared" si="21"/>
        <v>0.20429151657130973</v>
      </c>
      <c r="K41" s="90">
        <f t="shared" si="21"/>
        <v>1.3033936728518434</v>
      </c>
      <c r="L41" s="114"/>
      <c r="M41" s="115"/>
      <c r="N41" s="115"/>
      <c r="O41" s="115"/>
      <c r="P41" s="115"/>
      <c r="Q41" s="21"/>
      <c r="R41" s="21"/>
      <c r="S41" s="21"/>
      <c r="T41" s="21"/>
      <c r="U41" s="21"/>
      <c r="V41" s="21"/>
      <c r="W41" s="21"/>
      <c r="X41" s="21"/>
      <c r="Y41" s="21"/>
      <c r="Z41" s="21"/>
      <c r="AA41" s="21"/>
    </row>
    <row r="42" spans="1:27">
      <c r="A42" s="48"/>
      <c r="B42" s="48"/>
      <c r="C42" s="571"/>
      <c r="D42" s="574"/>
      <c r="E42" s="572"/>
      <c r="F42" s="572"/>
      <c r="G42" s="573"/>
      <c r="H42" s="573"/>
      <c r="I42" s="573"/>
      <c r="J42" s="573"/>
      <c r="K42" s="573"/>
      <c r="L42" s="114"/>
      <c r="M42" s="115"/>
      <c r="N42" s="115"/>
      <c r="O42" s="115"/>
      <c r="P42" s="115"/>
      <c r="Q42" s="21"/>
      <c r="R42" s="21"/>
      <c r="S42" s="21"/>
      <c r="T42" s="21"/>
      <c r="U42" s="21"/>
      <c r="V42" s="21"/>
      <c r="W42" s="21"/>
      <c r="X42" s="21"/>
      <c r="Y42" s="21"/>
      <c r="Z42" s="21"/>
      <c r="AA42" s="21"/>
    </row>
    <row r="43" spans="1:27" ht="20.25">
      <c r="A43" s="48"/>
      <c r="B43" s="435" t="s">
        <v>215</v>
      </c>
      <c r="C43" s="37"/>
      <c r="D43" s="38"/>
      <c r="E43" s="39"/>
      <c r="F43" s="39"/>
      <c r="G43" s="114"/>
      <c r="H43" s="114"/>
      <c r="I43" s="114"/>
      <c r="J43" s="114"/>
      <c r="K43" s="114"/>
      <c r="L43" s="114"/>
      <c r="M43" s="115"/>
      <c r="N43" s="115"/>
      <c r="O43" s="115"/>
      <c r="P43" s="115"/>
      <c r="Q43" s="21"/>
      <c r="R43" s="21"/>
      <c r="S43" s="21"/>
      <c r="T43" s="21"/>
      <c r="U43" s="21"/>
      <c r="V43" s="21"/>
      <c r="W43" s="21"/>
      <c r="X43" s="21"/>
      <c r="Y43" s="21"/>
      <c r="Z43" s="21"/>
      <c r="AA43" s="21"/>
    </row>
    <row r="44" spans="1:27">
      <c r="A44" s="48"/>
      <c r="B44" s="763"/>
      <c r="C44" s="763"/>
      <c r="D44" s="763"/>
      <c r="E44" s="763"/>
      <c r="F44" s="763"/>
      <c r="G44" s="763"/>
      <c r="H44" s="763"/>
      <c r="I44" s="763"/>
      <c r="J44" s="763"/>
      <c r="K44" s="763"/>
      <c r="L44" s="763"/>
      <c r="M44" s="763"/>
      <c r="N44" s="763"/>
      <c r="O44" s="763"/>
      <c r="P44" s="763"/>
      <c r="Q44" s="21"/>
      <c r="R44" s="21"/>
      <c r="S44" s="21"/>
      <c r="T44" s="21"/>
      <c r="U44" s="21"/>
      <c r="V44" s="21"/>
      <c r="W44" s="21"/>
      <c r="X44" s="21"/>
      <c r="Y44" s="21"/>
      <c r="Z44" s="21"/>
      <c r="AA44" s="21"/>
    </row>
    <row r="45" spans="1:27" ht="15.75">
      <c r="A45" s="48"/>
      <c r="B45" s="394" t="s">
        <v>11</v>
      </c>
      <c r="C45" s="48"/>
      <c r="D45" s="48"/>
      <c r="E45" s="762"/>
      <c r="F45" s="762"/>
      <c r="G45" s="761"/>
      <c r="H45" s="48"/>
      <c r="I45" s="48"/>
      <c r="J45" s="48"/>
      <c r="K45" s="26"/>
      <c r="L45" s="26"/>
      <c r="M45" s="26"/>
      <c r="N45" s="26"/>
      <c r="O45" s="206" t="s">
        <v>11</v>
      </c>
      <c r="Q45" s="21"/>
      <c r="R45" s="21"/>
      <c r="S45" s="21"/>
      <c r="T45" s="21"/>
      <c r="U45" s="21"/>
      <c r="V45" s="21"/>
      <c r="W45" s="21"/>
      <c r="X45" s="21"/>
      <c r="Y45" s="21"/>
      <c r="Z45" s="21"/>
      <c r="AA45" s="21"/>
    </row>
    <row r="46" spans="1:27">
      <c r="A46" s="48"/>
      <c r="B46" s="300" t="s">
        <v>35</v>
      </c>
      <c r="C46" s="463" t="s">
        <v>41</v>
      </c>
      <c r="D46" s="463" t="s">
        <v>42</v>
      </c>
      <c r="E46" s="463" t="s">
        <v>43</v>
      </c>
      <c r="F46" s="463" t="s">
        <v>126</v>
      </c>
      <c r="G46" s="300" t="s">
        <v>36</v>
      </c>
      <c r="H46" s="463" t="s">
        <v>41</v>
      </c>
      <c r="I46" s="463" t="s">
        <v>42</v>
      </c>
      <c r="J46" s="463" t="s">
        <v>43</v>
      </c>
      <c r="K46" s="463" t="s">
        <v>126</v>
      </c>
      <c r="L46" s="75"/>
      <c r="M46" s="75"/>
      <c r="N46" s="75"/>
      <c r="O46" s="300" t="s">
        <v>35</v>
      </c>
      <c r="P46" s="463" t="s">
        <v>41</v>
      </c>
      <c r="Q46" s="463" t="s">
        <v>42</v>
      </c>
      <c r="R46" s="463" t="s">
        <v>43</v>
      </c>
      <c r="S46" s="463" t="s">
        <v>179</v>
      </c>
      <c r="T46" s="300" t="s">
        <v>36</v>
      </c>
      <c r="U46" s="463" t="s">
        <v>41</v>
      </c>
      <c r="V46" s="463" t="s">
        <v>42</v>
      </c>
      <c r="W46" s="463" t="s">
        <v>43</v>
      </c>
      <c r="X46" s="463" t="s">
        <v>179</v>
      </c>
      <c r="Y46" s="21"/>
      <c r="Z46" s="21"/>
      <c r="AA46" s="21"/>
    </row>
    <row r="47" spans="1:27">
      <c r="A47" s="48"/>
      <c r="B47" s="401" t="s">
        <v>44</v>
      </c>
      <c r="C47" s="398">
        <f>SUM(C48:C49)</f>
        <v>199676.54474592276</v>
      </c>
      <c r="D47" s="398">
        <f t="shared" ref="D47:F47" si="22">SUM(D48:D49)</f>
        <v>4.0025728445704045</v>
      </c>
      <c r="E47" s="398">
        <f t="shared" si="22"/>
        <v>0.47945407373881416</v>
      </c>
      <c r="F47" s="398">
        <f t="shared" si="22"/>
        <v>3.058949371086972</v>
      </c>
      <c r="G47" s="429" t="s">
        <v>45</v>
      </c>
      <c r="H47" s="398">
        <f>SUM(H48:H53)</f>
        <v>1481565.8377602466</v>
      </c>
      <c r="I47" s="398">
        <f>SUM(I48:I53)</f>
        <v>29.698406476374348</v>
      </c>
      <c r="J47" s="398">
        <f t="shared" ref="J47:K47" si="23">SUM(J48:J53)</f>
        <v>3.5574672895621302</v>
      </c>
      <c r="K47" s="398">
        <f t="shared" si="23"/>
        <v>22.696881566171982</v>
      </c>
      <c r="L47" s="75"/>
      <c r="M47" s="75"/>
      <c r="N47" s="75"/>
      <c r="O47" s="468" t="s">
        <v>44</v>
      </c>
      <c r="P47" s="529">
        <f>+SUM(P48:P49)</f>
        <v>199676.54474592276</v>
      </c>
      <c r="Q47" s="529">
        <f t="shared" ref="Q47:S47" si="24">+SUM(Q48:Q49)</f>
        <v>119.27667076819806</v>
      </c>
      <c r="R47" s="529">
        <f t="shared" si="24"/>
        <v>130.89096213069627</v>
      </c>
      <c r="S47" s="529">
        <f t="shared" si="24"/>
        <v>199926.71237882166</v>
      </c>
      <c r="T47" s="469" t="s">
        <v>45</v>
      </c>
      <c r="U47" s="533">
        <f>+SUM(U48:U53)</f>
        <v>1481565.8377602466</v>
      </c>
      <c r="V47" s="533">
        <f t="shared" ref="V47:X47" si="25">+SUM(V48:V53)</f>
        <v>885.01251299595572</v>
      </c>
      <c r="W47" s="533">
        <f t="shared" si="25"/>
        <v>971.18857005046175</v>
      </c>
      <c r="X47" s="533">
        <f t="shared" si="25"/>
        <v>1483422.038843293</v>
      </c>
      <c r="Y47" s="21"/>
      <c r="Z47" s="21"/>
      <c r="AA47" s="21"/>
    </row>
    <row r="48" spans="1:27">
      <c r="A48" s="48"/>
      <c r="B48" s="47" t="s">
        <v>46</v>
      </c>
      <c r="C48" s="89">
        <f>+Consumo_CDMX!$C80*'Metodología y FE'!C$23</f>
        <v>199671.39308812283</v>
      </c>
      <c r="D48" s="89">
        <f>+Consumo_CDMX!$C80*'Metodología y FE'!D$23</f>
        <v>4.0024695781319712</v>
      </c>
      <c r="E48" s="89">
        <f>+Consumo_CDMX!$C80*'Metodología y FE'!E$23</f>
        <v>0.47944170381663909</v>
      </c>
      <c r="F48" s="89">
        <f>+Consumo_CDMX!$C80*'Metodología y FE'!F$23</f>
        <v>3.0588704501480741</v>
      </c>
      <c r="G48" s="70" t="s">
        <v>47</v>
      </c>
      <c r="H48" s="89">
        <f>Consumo_CDMX!$E80*'Metodología y FE'!C$23</f>
        <v>995936.78861034359</v>
      </c>
      <c r="I48" s="89">
        <f>Consumo_CDMX!$E80*'Metodología y FE'!D$23</f>
        <v>19.963834761227325</v>
      </c>
      <c r="J48" s="89">
        <f>Consumo_CDMX!$E80*'Metodología y FE'!E$23</f>
        <v>2.3913973025383677</v>
      </c>
      <c r="K48" s="89">
        <f>Consumo_CDMX!$E80*'Metodología y FE'!F$23</f>
        <v>15.257276296715347</v>
      </c>
      <c r="L48" s="75"/>
      <c r="M48" s="75"/>
      <c r="N48" s="75"/>
      <c r="O48" s="47" t="s">
        <v>46</v>
      </c>
      <c r="P48" s="530">
        <f>+C48</f>
        <v>199671.39308812283</v>
      </c>
      <c r="Q48" s="530">
        <f>+D48*$Q$81</f>
        <v>119.27359342833275</v>
      </c>
      <c r="R48" s="530">
        <f>+E48*$Q$82</f>
        <v>130.88758514194248</v>
      </c>
      <c r="S48" s="530">
        <f>+SUM(P48:R48)</f>
        <v>199921.5542666931</v>
      </c>
      <c r="T48" s="277" t="s">
        <v>47</v>
      </c>
      <c r="U48" s="534">
        <f>+H48</f>
        <v>995936.78861034359</v>
      </c>
      <c r="V48" s="534">
        <f t="shared" ref="V48:V58" si="26">+I48*$Q$81</f>
        <v>594.92227588457433</v>
      </c>
      <c r="W48" s="534">
        <f t="shared" ref="W48:W58" si="27">+J48*$Q$82</f>
        <v>652.85146359297437</v>
      </c>
      <c r="X48" s="534">
        <f>+SUM(U48:W48)</f>
        <v>997184.56234982109</v>
      </c>
      <c r="Y48" s="21"/>
      <c r="Z48" s="21"/>
      <c r="AA48" s="21"/>
    </row>
    <row r="49" spans="1:27">
      <c r="A49" s="48"/>
      <c r="B49" s="47" t="s">
        <v>48</v>
      </c>
      <c r="C49" s="89">
        <f>+Consumo_CDMX!$C81*'Metodología y FE'!C$23</f>
        <v>5.1516577999411064</v>
      </c>
      <c r="D49" s="661">
        <f>+Consumo_CDMX!$C81*'Metodología y FE'!D$23</f>
        <v>1.0326643843322328E-4</v>
      </c>
      <c r="E49" s="662">
        <f>+Consumo_CDMX!$C81*'Metodología y FE'!E$23</f>
        <v>1.2369922175050733E-5</v>
      </c>
      <c r="F49" s="661">
        <f>+Consumo_CDMX!$C81*'Metodología y FE'!F$23</f>
        <v>7.8920938897641447E-5</v>
      </c>
      <c r="G49" s="70" t="s">
        <v>49</v>
      </c>
      <c r="H49" s="89">
        <f>Consumo_CDMX!$E81*'Metodología y FE'!C$23</f>
        <v>447793.61917584937</v>
      </c>
      <c r="I49" s="89">
        <f>Consumo_CDMX!$E81*'Metodología y FE'!D$23</f>
        <v>8.9761498145202339</v>
      </c>
      <c r="J49" s="89">
        <f>Consumo_CDMX!$E81*'Metodología y FE'!E$23</f>
        <v>1.0752213044416279</v>
      </c>
      <c r="K49" s="89">
        <f>Consumo_CDMX!$E81*'Metodología y FE'!F$23</f>
        <v>6.8599845389837313</v>
      </c>
      <c r="L49" s="114"/>
      <c r="M49" s="115"/>
      <c r="N49" s="115"/>
      <c r="O49" s="47" t="s">
        <v>48</v>
      </c>
      <c r="P49" s="530">
        <f>+C49</f>
        <v>5.1516577999411064</v>
      </c>
      <c r="Q49" s="535">
        <f>+D49*$Q$81</f>
        <v>3.0773398653100538E-3</v>
      </c>
      <c r="R49" s="535">
        <f>+E49*$Q$82</f>
        <v>3.37698875378885E-3</v>
      </c>
      <c r="S49" s="530">
        <f>+SUM(P49:R49)</f>
        <v>5.1581121285602052</v>
      </c>
      <c r="T49" s="277" t="s">
        <v>49</v>
      </c>
      <c r="U49" s="534">
        <f t="shared" ref="U49:U58" si="28">+H49</f>
        <v>447793.61917584937</v>
      </c>
      <c r="V49" s="534">
        <f t="shared" si="26"/>
        <v>267.48926447270298</v>
      </c>
      <c r="W49" s="534">
        <f t="shared" si="27"/>
        <v>293.53541611256441</v>
      </c>
      <c r="X49" s="534">
        <f t="shared" ref="X49:X58" si="29">+SUM(U49:W49)</f>
        <v>448354.64385643462</v>
      </c>
      <c r="Y49" s="21"/>
      <c r="Z49" s="21"/>
      <c r="AA49" s="21"/>
    </row>
    <row r="50" spans="1:27">
      <c r="A50" s="48"/>
      <c r="B50" s="401" t="s">
        <v>94</v>
      </c>
      <c r="C50" s="398">
        <f>SUM(C51:C52)</f>
        <v>96152.099015424144</v>
      </c>
      <c r="D50" s="398">
        <f t="shared" ref="D50:F50" si="30">SUM(D51:D52)</f>
        <v>1.9273960342076675</v>
      </c>
      <c r="E50" s="398">
        <f t="shared" si="30"/>
        <v>0.23087596808199609</v>
      </c>
      <c r="F50" s="398">
        <f t="shared" si="30"/>
        <v>1.473004268909905</v>
      </c>
      <c r="G50" s="70" t="s">
        <v>51</v>
      </c>
      <c r="H50" s="89">
        <f>Consumo_CDMX!$E82*'Metodología y FE'!C$23</f>
        <v>31615.757840264101</v>
      </c>
      <c r="I50" s="89">
        <f>Consumo_CDMX!$E82*'Metodología y FE'!D$23</f>
        <v>0.6337468126412924</v>
      </c>
      <c r="J50" s="89">
        <f>Consumo_CDMX!$E82*'Metodología y FE'!E$23</f>
        <v>7.5914293840283392E-2</v>
      </c>
      <c r="K50" s="89">
        <f>Consumo_CDMX!$E82*'Metodología y FE'!F$23</f>
        <v>0.4843383216840676</v>
      </c>
      <c r="L50" s="114"/>
      <c r="M50" s="115"/>
      <c r="N50" s="115"/>
      <c r="O50" s="401" t="s">
        <v>94</v>
      </c>
      <c r="P50" s="529">
        <f>+SUM(P51:P52)</f>
        <v>96152.099015424144</v>
      </c>
      <c r="Q50" s="529">
        <f t="shared" ref="Q50:S50" si="31">+SUM(Q51:Q52)</f>
        <v>57.436401819388493</v>
      </c>
      <c r="R50" s="529">
        <f t="shared" si="31"/>
        <v>63.029139286384925</v>
      </c>
      <c r="S50" s="529">
        <f t="shared" si="31"/>
        <v>96272.56455652992</v>
      </c>
      <c r="T50" s="277" t="s">
        <v>51</v>
      </c>
      <c r="U50" s="534">
        <f t="shared" si="28"/>
        <v>31615.757840264101</v>
      </c>
      <c r="V50" s="534">
        <f t="shared" si="26"/>
        <v>18.885655016710515</v>
      </c>
      <c r="W50" s="534">
        <f t="shared" si="27"/>
        <v>20.724602218397365</v>
      </c>
      <c r="X50" s="534">
        <f t="shared" si="29"/>
        <v>31655.368097499209</v>
      </c>
      <c r="Y50" s="21"/>
      <c r="Z50" s="21"/>
      <c r="AA50" s="21"/>
    </row>
    <row r="51" spans="1:27">
      <c r="A51" s="48"/>
      <c r="B51" s="47" t="s">
        <v>93</v>
      </c>
      <c r="C51" s="89">
        <f>+Consumo_CDMX!$C83*'Metodología y FE'!C$23</f>
        <v>93433.37998946094</v>
      </c>
      <c r="D51" s="89">
        <f>+Consumo_CDMX!$C83*'Metodología y FE'!D$23</f>
        <v>1.8728985419800062</v>
      </c>
      <c r="E51" s="89">
        <f>+Consumo_CDMX!$C83*'Metodología y FE'!E$23</f>
        <v>0.22434790584009426</v>
      </c>
      <c r="F51" s="89">
        <f>+Consumo_CDMX!$C83*'Metodología y FE'!F$23</f>
        <v>1.4313547909243234</v>
      </c>
      <c r="G51" s="70" t="s">
        <v>53</v>
      </c>
      <c r="H51" s="89">
        <f>Consumo_CDMX!$E83*'Metodología y FE'!C$23</f>
        <v>2009.2844892242961</v>
      </c>
      <c r="I51" s="89">
        <f>Consumo_CDMX!$E83*'Metodología y FE'!D$23</f>
        <v>4.0276676180565268E-2</v>
      </c>
      <c r="J51" s="660">
        <f>Consumo_CDMX!$E83*'Metodología y FE'!E$23</f>
        <v>4.8246008808126278E-3</v>
      </c>
      <c r="K51" s="89">
        <f>Consumo_CDMX!$E83*'Metodología y FE'!F$23</f>
        <v>3.0781279456073767E-2</v>
      </c>
      <c r="L51" s="114"/>
      <c r="M51" s="115"/>
      <c r="N51" s="115"/>
      <c r="O51" s="47" t="s">
        <v>93</v>
      </c>
      <c r="P51" s="530">
        <f>+C51</f>
        <v>93433.37998946094</v>
      </c>
      <c r="Q51" s="530">
        <f>+D51*$Q$81</f>
        <v>55.812376551004185</v>
      </c>
      <c r="R51" s="530">
        <f>+E51*$Q$82</f>
        <v>61.24697829434573</v>
      </c>
      <c r="S51" s="530">
        <f>+SUM(P51:R51)</f>
        <v>93550.439344306302</v>
      </c>
      <c r="T51" s="277" t="s">
        <v>53</v>
      </c>
      <c r="U51" s="534">
        <f t="shared" si="28"/>
        <v>2009.2844892242961</v>
      </c>
      <c r="V51" s="534">
        <f t="shared" si="26"/>
        <v>1.200244950180845</v>
      </c>
      <c r="W51" s="534">
        <f t="shared" si="27"/>
        <v>1.3171160404618474</v>
      </c>
      <c r="X51" s="534">
        <f t="shared" si="29"/>
        <v>2011.8018502149387</v>
      </c>
      <c r="Y51" s="21"/>
      <c r="Z51" s="21"/>
      <c r="AA51" s="21"/>
    </row>
    <row r="52" spans="1:27" ht="15.75" customHeight="1">
      <c r="A52" s="48"/>
      <c r="B52" s="47" t="s">
        <v>54</v>
      </c>
      <c r="C52" s="89">
        <f>+Consumo_CDMX!$C84*'Metodología y FE'!C$23</f>
        <v>2718.7190259632016</v>
      </c>
      <c r="D52" s="89">
        <f>+Consumo_CDMX!$C84*'Metodología y FE'!D$23</f>
        <v>5.4497492227661412E-2</v>
      </c>
      <c r="E52" s="89">
        <f>+Consumo_CDMX!$C84*'Metodología y FE'!E$23</f>
        <v>6.5280622419018209E-3</v>
      </c>
      <c r="F52" s="89">
        <f>+Consumo_CDMX!$C84*'Metodología y FE'!F$23</f>
        <v>4.1649477985581655E-2</v>
      </c>
      <c r="G52" s="70" t="s">
        <v>56</v>
      </c>
      <c r="H52" s="89">
        <f>Consumo_CDMX!$E84*'Metodología y FE'!C$23</f>
        <v>0</v>
      </c>
      <c r="I52" s="89">
        <f>Consumo_CDMX!$E84*'Metodología y FE'!D$23</f>
        <v>0</v>
      </c>
      <c r="J52" s="89">
        <f>Consumo_CDMX!$E84*'Metodología y FE'!E$23</f>
        <v>0</v>
      </c>
      <c r="K52" s="89">
        <f>Consumo_CDMX!$E84*'Metodología y FE'!F$23</f>
        <v>0</v>
      </c>
      <c r="L52" s="114"/>
      <c r="M52" s="115"/>
      <c r="N52" s="115"/>
      <c r="O52" s="47" t="s">
        <v>54</v>
      </c>
      <c r="P52" s="530">
        <f>+C52</f>
        <v>2718.7190259632016</v>
      </c>
      <c r="Q52" s="530">
        <f>+D52*$Q$81</f>
        <v>1.6240252683843102</v>
      </c>
      <c r="R52" s="530">
        <f>+E52*$Q$82</f>
        <v>1.7821609920391972</v>
      </c>
      <c r="S52" s="530">
        <f>+SUM(P52:R52)</f>
        <v>2722.1252122236251</v>
      </c>
      <c r="T52" s="277" t="s">
        <v>56</v>
      </c>
      <c r="U52" s="534">
        <f t="shared" si="28"/>
        <v>0</v>
      </c>
      <c r="V52" s="534">
        <f t="shared" si="26"/>
        <v>0</v>
      </c>
      <c r="W52" s="534">
        <f t="shared" si="27"/>
        <v>0</v>
      </c>
      <c r="X52" s="534">
        <f t="shared" si="29"/>
        <v>0</v>
      </c>
      <c r="Y52" s="21"/>
      <c r="Z52" s="21"/>
      <c r="AA52" s="21"/>
    </row>
    <row r="53" spans="1:27" ht="15.75" customHeight="1">
      <c r="A53" s="48"/>
      <c r="B53" s="401" t="s">
        <v>55</v>
      </c>
      <c r="C53" s="398">
        <f>+Consumo_CDMX!$C85*'Metodología y FE'!C$23</f>
        <v>178173.12302443699</v>
      </c>
      <c r="D53" s="398">
        <f>+Consumo_CDMX!$C85*'Metodología y FE'!D$23</f>
        <v>3.5715306710528174</v>
      </c>
      <c r="E53" s="398">
        <f>+Consumo_CDMX!$C85*'Metodología y FE'!E$23</f>
        <v>0.42782105316141567</v>
      </c>
      <c r="F53" s="398">
        <f>+Consumo_CDMX!$C85*'Metodología y FE'!F$23</f>
        <v>2.7295272126914751</v>
      </c>
      <c r="G53" s="70" t="s">
        <v>58</v>
      </c>
      <c r="H53" s="89">
        <f>Consumo_CDMX!$E85*'Metodología y FE'!C$23</f>
        <v>4210.3876445654714</v>
      </c>
      <c r="I53" s="89">
        <f>Consumo_CDMX!$E85*'Metodología y FE'!D$23</f>
        <v>8.4398411804932919E-2</v>
      </c>
      <c r="J53" s="89">
        <f>Consumo_CDMX!$E85*'Metodología y FE'!E$23</f>
        <v>1.0109787861038722E-2</v>
      </c>
      <c r="K53" s="89">
        <f>Consumo_CDMX!$E85*'Metodología y FE'!F$23</f>
        <v>6.4501129332762502E-2</v>
      </c>
      <c r="L53" s="114"/>
      <c r="M53" s="115"/>
      <c r="N53" s="115"/>
      <c r="O53" s="468" t="s">
        <v>55</v>
      </c>
      <c r="P53" s="529">
        <f>+C53</f>
        <v>178173.12302443699</v>
      </c>
      <c r="Q53" s="529">
        <f>+D53*$Q$81</f>
        <v>106.43161399737396</v>
      </c>
      <c r="R53" s="529">
        <f>+E53*$Q$82</f>
        <v>116.79514751306648</v>
      </c>
      <c r="S53" s="529">
        <f>+SUM(P53:R53)</f>
        <v>178396.34978594744</v>
      </c>
      <c r="T53" s="277" t="s">
        <v>58</v>
      </c>
      <c r="U53" s="534">
        <f t="shared" si="28"/>
        <v>4210.3876445654714</v>
      </c>
      <c r="V53" s="534">
        <f t="shared" si="26"/>
        <v>2.5150726717870011</v>
      </c>
      <c r="W53" s="534">
        <f t="shared" si="27"/>
        <v>2.7599720860635708</v>
      </c>
      <c r="X53" s="534">
        <f t="shared" si="29"/>
        <v>4215.6626893233215</v>
      </c>
      <c r="Y53" s="21"/>
      <c r="Z53" s="21"/>
      <c r="AA53" s="21"/>
    </row>
    <row r="54" spans="1:27" ht="15.75" customHeight="1">
      <c r="A54" s="48"/>
      <c r="B54" s="401" t="s">
        <v>57</v>
      </c>
      <c r="C54" s="398">
        <f>+Consumo_CDMX!$C86*'Metodología y FE'!C$23</f>
        <v>324886.85210800666</v>
      </c>
      <c r="D54" s="398">
        <f>+Consumo_CDMX!$C86*'Metodología y FE'!D$23</f>
        <v>6.5124488880761309</v>
      </c>
      <c r="E54" s="398">
        <f>+Consumo_CDMX!$C86*'Metodología y FE'!E$23</f>
        <v>0.78010326623775417</v>
      </c>
      <c r="F54" s="398">
        <f>+Consumo_CDMX!$C86*'Metodología y FE'!F$23</f>
        <v>4.9771115240139174</v>
      </c>
      <c r="G54" s="408" t="s">
        <v>60</v>
      </c>
      <c r="H54" s="398">
        <f>Consumo_CDMX!$E86*'Metodología y FE'!C$23</f>
        <v>764691.54130060051</v>
      </c>
      <c r="I54" s="398">
        <f>Consumo_CDMX!$E86*'Metodología y FE'!D$23</f>
        <v>15.328458340347806</v>
      </c>
      <c r="J54" s="398">
        <f>Consumo_CDMX!$E86*'Metodología y FE'!E$23</f>
        <v>1.8361419219102946</v>
      </c>
      <c r="K54" s="398">
        <f>Consumo_CDMX!$E86*'Metodología y FE'!F$23</f>
        <v>11.714709468322582</v>
      </c>
      <c r="L54" s="114"/>
      <c r="M54" s="115"/>
      <c r="N54" s="115"/>
      <c r="O54" s="468" t="s">
        <v>57</v>
      </c>
      <c r="P54" s="529">
        <f>+C54</f>
        <v>324886.85210800666</v>
      </c>
      <c r="Q54" s="529">
        <f>+D54*$Q$81</f>
        <v>194.07097686466869</v>
      </c>
      <c r="R54" s="529">
        <f>+E54*$Q$82</f>
        <v>212.96819168290688</v>
      </c>
      <c r="S54" s="529">
        <f>+SUM(P54:R54)</f>
        <v>325293.8912765542</v>
      </c>
      <c r="T54" s="468" t="s">
        <v>60</v>
      </c>
      <c r="U54" s="533">
        <f t="shared" si="28"/>
        <v>764691.54130060051</v>
      </c>
      <c r="V54" s="533">
        <f t="shared" si="26"/>
        <v>456.78805854236464</v>
      </c>
      <c r="W54" s="533">
        <f t="shared" si="27"/>
        <v>501.26674468151043</v>
      </c>
      <c r="X54" s="533">
        <f t="shared" si="29"/>
        <v>765649.59610382444</v>
      </c>
      <c r="Y54" s="21"/>
      <c r="Z54" s="21"/>
      <c r="AA54" s="21"/>
    </row>
    <row r="55" spans="1:27" ht="15.75" customHeight="1">
      <c r="A55" s="48"/>
      <c r="B55" s="401" t="s">
        <v>290</v>
      </c>
      <c r="C55" s="398">
        <f>+Consumo_CDMX!$C87*'Metodología y FE'!C$23</f>
        <v>14526.160107204685</v>
      </c>
      <c r="D55" s="398">
        <f>+Consumo_CDMX!$C87*'Metodología y FE'!D$23</f>
        <v>0.29118099001042835</v>
      </c>
      <c r="E55" s="398">
        <f>+Consumo_CDMX!$C87*'Metodología y FE'!E$23</f>
        <v>3.4879543053209547E-2</v>
      </c>
      <c r="F55" s="398">
        <f>+Consumo_CDMX!$C87*'Metodología y FE'!F$23</f>
        <v>0.22253384032052043</v>
      </c>
      <c r="G55" s="408" t="s">
        <v>273</v>
      </c>
      <c r="H55" s="398">
        <f>Consumo_CDMX!$E87*'Metodología y FE'!C$23</f>
        <v>3242.0338567977547</v>
      </c>
      <c r="I55" s="398">
        <f>Consumo_CDMX!$E87*'Metodología y FE'!D$23</f>
        <v>6.4987486101126146E-2</v>
      </c>
      <c r="J55" s="398">
        <f>Consumo_CDMX!$E87*'Metodología y FE'!E$23</f>
        <v>7.7846215829642769E-3</v>
      </c>
      <c r="K55" s="398">
        <f>Consumo_CDMX!$E87*'Metodología y FE'!F$23</f>
        <v>4.9666411445136255E-2</v>
      </c>
      <c r="L55" s="114"/>
      <c r="M55" s="115"/>
      <c r="N55" s="115"/>
      <c r="O55" s="468" t="s">
        <v>59</v>
      </c>
      <c r="P55" s="529">
        <f>+C55</f>
        <v>14526.160107204685</v>
      </c>
      <c r="Q55" s="529">
        <f>+D55*$Q$81</f>
        <v>8.6771935023107645</v>
      </c>
      <c r="R55" s="529">
        <f>+E55*$Q$82</f>
        <v>9.5221152535262057</v>
      </c>
      <c r="S55" s="529">
        <f>+SUM(P55:R55)</f>
        <v>14544.359415960524</v>
      </c>
      <c r="T55" s="468" t="s">
        <v>273</v>
      </c>
      <c r="U55" s="533">
        <f t="shared" ref="U55" si="32">+H55</f>
        <v>3242.0338567977547</v>
      </c>
      <c r="V55" s="533">
        <f t="shared" si="26"/>
        <v>1.9366270858135592</v>
      </c>
      <c r="W55" s="533">
        <f t="shared" si="27"/>
        <v>2.1252016921492478</v>
      </c>
      <c r="X55" s="533">
        <f t="shared" ref="X55" si="33">+SUM(U55:W55)</f>
        <v>3246.0956855757177</v>
      </c>
      <c r="Y55" s="21"/>
      <c r="Z55" s="21"/>
      <c r="AA55" s="21"/>
    </row>
    <row r="56" spans="1:27" ht="15.75" customHeight="1">
      <c r="A56" s="48"/>
      <c r="B56" s="116"/>
      <c r="C56" s="89"/>
      <c r="D56" s="89"/>
      <c r="E56" s="89"/>
      <c r="F56" s="117"/>
      <c r="G56" s="408" t="s">
        <v>61</v>
      </c>
      <c r="H56" s="398">
        <f>Consumo_CDMX!$E88*'Metodología y FE'!C$23</f>
        <v>260.0394731805257</v>
      </c>
      <c r="I56" s="398">
        <f>Consumo_CDMX!$E88*'Metodología y FE'!D$23</f>
        <v>5.2125648267459766E-3</v>
      </c>
      <c r="J56" s="664">
        <f>Consumo_CDMX!$E88*'Metodología y FE'!E$23</f>
        <v>6.2439474254696577E-4</v>
      </c>
      <c r="K56" s="664">
        <f>Consumo_CDMX!$E88*'Metodología y FE'!F$23</f>
        <v>3.9836806268634057E-3</v>
      </c>
      <c r="L56" s="114"/>
      <c r="M56" s="115"/>
      <c r="N56" s="115"/>
      <c r="O56" s="116"/>
      <c r="P56" s="531"/>
      <c r="Q56" s="531"/>
      <c r="R56" s="531"/>
      <c r="S56" s="531"/>
      <c r="T56" s="468" t="s">
        <v>61</v>
      </c>
      <c r="U56" s="533">
        <f t="shared" si="28"/>
        <v>260.0394731805257</v>
      </c>
      <c r="V56" s="536">
        <f t="shared" si="26"/>
        <v>0.15533443183703011</v>
      </c>
      <c r="W56" s="536">
        <f t="shared" si="27"/>
        <v>0.17045976471532165</v>
      </c>
      <c r="X56" s="533">
        <f t="shared" si="29"/>
        <v>260.36526737707806</v>
      </c>
      <c r="Y56" s="21"/>
      <c r="Z56" s="21"/>
      <c r="AA56" s="21"/>
    </row>
    <row r="57" spans="1:27" ht="15.75" customHeight="1">
      <c r="A57" s="48"/>
      <c r="B57" s="116"/>
      <c r="C57" s="89"/>
      <c r="D57" s="89"/>
      <c r="E57" s="89"/>
      <c r="F57" s="117"/>
      <c r="G57" s="408" t="s">
        <v>62</v>
      </c>
      <c r="H57" s="398">
        <f>Consumo_CDMX!$E89*'Metodología y FE'!C$23</f>
        <v>2050617.5311999992</v>
      </c>
      <c r="I57" s="398">
        <f>Consumo_CDMX!$E89*'Metodología y FE'!D$23</f>
        <v>41.105208703531098</v>
      </c>
      <c r="J57" s="398">
        <f>Consumo_CDMX!$E89*'Metodología y FE'!E$23</f>
        <v>4.9238478673852608</v>
      </c>
      <c r="K57" s="398">
        <f>Consumo_CDMX!$E89*'Metodología y FE'!F$23</f>
        <v>31.414481933197816</v>
      </c>
      <c r="L57" s="114"/>
      <c r="M57" s="115"/>
      <c r="N57" s="115"/>
      <c r="O57" s="116"/>
      <c r="P57" s="531"/>
      <c r="Q57" s="531"/>
      <c r="R57" s="531"/>
      <c r="S57" s="531"/>
      <c r="T57" s="468" t="s">
        <v>62</v>
      </c>
      <c r="U57" s="533">
        <f t="shared" si="28"/>
        <v>2050617.5311999992</v>
      </c>
      <c r="V57" s="533">
        <f t="shared" si="26"/>
        <v>1224.9352193652267</v>
      </c>
      <c r="W57" s="533">
        <f t="shared" si="27"/>
        <v>1344.2104677961761</v>
      </c>
      <c r="X57" s="533">
        <f t="shared" si="29"/>
        <v>2053186.6768871604</v>
      </c>
      <c r="Y57" s="21"/>
      <c r="Z57" s="21"/>
      <c r="AA57" s="21"/>
    </row>
    <row r="58" spans="1:27" ht="15.75" customHeight="1">
      <c r="A58" s="48"/>
      <c r="B58" s="45"/>
      <c r="C58" s="88"/>
      <c r="D58" s="88"/>
      <c r="E58" s="88"/>
      <c r="F58" s="88"/>
      <c r="G58" s="401"/>
      <c r="H58" s="398"/>
      <c r="I58" s="398"/>
      <c r="J58" s="398"/>
      <c r="K58" s="398"/>
      <c r="L58" s="114"/>
      <c r="M58" s="115"/>
      <c r="N58" s="115"/>
      <c r="O58" s="45"/>
      <c r="P58" s="531"/>
      <c r="Q58" s="531"/>
      <c r="R58" s="531"/>
      <c r="S58" s="531"/>
      <c r="T58" s="468" t="s">
        <v>67</v>
      </c>
      <c r="U58" s="533">
        <f t="shared" si="28"/>
        <v>0</v>
      </c>
      <c r="V58" s="533">
        <f t="shared" si="26"/>
        <v>0</v>
      </c>
      <c r="W58" s="533">
        <f t="shared" si="27"/>
        <v>0</v>
      </c>
      <c r="X58" s="533">
        <f t="shared" si="29"/>
        <v>0</v>
      </c>
      <c r="Y58" s="21"/>
      <c r="Z58" s="21"/>
      <c r="AA58" s="21"/>
    </row>
    <row r="59" spans="1:27" ht="15.75" customHeight="1">
      <c r="A59" s="48"/>
      <c r="B59" s="118" t="s">
        <v>63</v>
      </c>
      <c r="C59" s="90">
        <f>SUM(C47,C50,C53:C55)</f>
        <v>813414.77900099522</v>
      </c>
      <c r="D59" s="90">
        <f t="shared" ref="D59:F59" si="34">SUM(D47,D50,D53:D55)</f>
        <v>16.305129427917446</v>
      </c>
      <c r="E59" s="90">
        <f t="shared" si="34"/>
        <v>1.9531339042731899</v>
      </c>
      <c r="F59" s="90">
        <f t="shared" si="34"/>
        <v>12.461126217022789</v>
      </c>
      <c r="G59" s="118" t="s">
        <v>63</v>
      </c>
      <c r="H59" s="90">
        <f>SUM(H47,H54:H58)</f>
        <v>4300376.9835908245</v>
      </c>
      <c r="I59" s="90">
        <f t="shared" ref="I59:K59" si="35">SUM(I47,I54:I58)</f>
        <v>86.202273571181124</v>
      </c>
      <c r="J59" s="90">
        <f t="shared" si="35"/>
        <v>10.325866095183198</v>
      </c>
      <c r="K59" s="90">
        <f t="shared" si="35"/>
        <v>65.879723059764387</v>
      </c>
      <c r="L59" s="114"/>
      <c r="M59" s="115"/>
      <c r="N59" s="115"/>
      <c r="O59" s="118" t="s">
        <v>63</v>
      </c>
      <c r="P59" s="532">
        <f>+SUM(P53:P55,P50,P47)</f>
        <v>813414.77900099522</v>
      </c>
      <c r="Q59" s="532">
        <f>+SUM(Q53:Q55,Q50,Q47)</f>
        <v>485.89285695194002</v>
      </c>
      <c r="R59" s="532">
        <f>+SUM(R53:R55,R50,R47)</f>
        <v>533.20555586658065</v>
      </c>
      <c r="S59" s="532">
        <f>+SUM(S53:S55,S50,S47)</f>
        <v>814433.87741381384</v>
      </c>
      <c r="T59" s="118" t="s">
        <v>63</v>
      </c>
      <c r="U59" s="532">
        <f>+SUM(U54:U58,U47)</f>
        <v>4300376.9835908245</v>
      </c>
      <c r="V59" s="532">
        <f t="shared" ref="V59:X59" si="36">+SUM(V54:V58,V47)</f>
        <v>2568.8277524211976</v>
      </c>
      <c r="W59" s="532">
        <f t="shared" si="36"/>
        <v>2818.9614439850129</v>
      </c>
      <c r="X59" s="532">
        <f t="shared" si="36"/>
        <v>4305764.772787231</v>
      </c>
      <c r="Y59" s="21"/>
      <c r="Z59" s="21"/>
      <c r="AA59" s="21"/>
    </row>
    <row r="60" spans="1:27" ht="15.75" customHeight="1">
      <c r="A60" s="48"/>
      <c r="B60" s="215"/>
      <c r="C60" s="216"/>
      <c r="D60" s="216"/>
      <c r="E60" s="216"/>
      <c r="F60" s="216"/>
      <c r="G60" s="215"/>
      <c r="H60" s="216"/>
      <c r="I60" s="216"/>
      <c r="J60" s="216"/>
      <c r="K60" s="216"/>
      <c r="L60" s="114"/>
      <c r="M60" s="115"/>
      <c r="N60" s="115"/>
      <c r="O60" s="21"/>
      <c r="P60" s="21" t="b">
        <f>+P59=C59</f>
        <v>1</v>
      </c>
      <c r="Q60" s="21" t="b">
        <f>+Q59=D59*$Q$81</f>
        <v>1</v>
      </c>
      <c r="R60" s="21" t="b">
        <f>+R59=E59*$Q$82</f>
        <v>1</v>
      </c>
      <c r="S60" s="21"/>
      <c r="T60" s="21"/>
      <c r="U60" s="21" t="b">
        <f>+U59=H59</f>
        <v>1</v>
      </c>
      <c r="V60" s="21" t="b">
        <f>+V59=I59*$Q$81</f>
        <v>1</v>
      </c>
      <c r="W60" s="21" t="b">
        <f>+W59=J59*$Q$82</f>
        <v>1</v>
      </c>
      <c r="X60" s="21"/>
      <c r="Y60" s="21"/>
      <c r="Z60" s="21"/>
      <c r="AA60" s="21"/>
    </row>
    <row r="61" spans="1:27" ht="15.75" customHeight="1">
      <c r="A61" s="48"/>
      <c r="B61" s="215"/>
      <c r="C61" s="216"/>
      <c r="D61" s="216"/>
      <c r="E61" s="216"/>
      <c r="F61" s="216"/>
      <c r="G61" s="215"/>
      <c r="H61" s="218"/>
      <c r="I61" s="218"/>
      <c r="J61" s="218"/>
      <c r="K61" s="216"/>
      <c r="L61" s="114"/>
      <c r="M61" s="115"/>
      <c r="N61" s="115"/>
      <c r="P61" s="21"/>
      <c r="Q61" s="21"/>
      <c r="R61" s="21"/>
      <c r="S61" s="21"/>
      <c r="T61" s="21"/>
      <c r="U61" s="21"/>
      <c r="V61" s="21"/>
      <c r="W61" s="21"/>
      <c r="X61" s="21"/>
      <c r="Y61" s="21"/>
      <c r="Z61" s="21"/>
      <c r="AA61" s="21"/>
    </row>
    <row r="62" spans="1:27" ht="15.75" customHeight="1">
      <c r="A62" s="48"/>
      <c r="B62" s="462" t="s">
        <v>13</v>
      </c>
      <c r="C62" s="216"/>
      <c r="D62" s="216"/>
      <c r="E62" s="216"/>
      <c r="F62" s="216"/>
      <c r="G62" s="215"/>
      <c r="H62" s="216"/>
      <c r="I62" s="216"/>
      <c r="J62" s="216"/>
      <c r="K62" s="216"/>
      <c r="L62" s="114"/>
      <c r="M62" s="115"/>
      <c r="N62" s="115"/>
      <c r="O62" s="585" t="s">
        <v>247</v>
      </c>
      <c r="P62" s="586">
        <f>+P47+P50+P53</f>
        <v>474001.76678578393</v>
      </c>
      <c r="Q62" s="586">
        <f t="shared" ref="Q62:S62" si="37">+Q47+Q50+Q53</f>
        <v>283.14468658496054</v>
      </c>
      <c r="R62" s="586">
        <f t="shared" si="37"/>
        <v>310.71524893014765</v>
      </c>
      <c r="S62" s="586">
        <f t="shared" si="37"/>
        <v>474595.62672129902</v>
      </c>
      <c r="T62" s="21"/>
      <c r="U62" s="21"/>
      <c r="V62" s="21"/>
      <c r="W62" s="21"/>
      <c r="X62" s="21"/>
      <c r="Y62" s="21"/>
      <c r="Z62" s="21"/>
      <c r="AA62" s="21"/>
    </row>
    <row r="63" spans="1:27" ht="33" customHeight="1">
      <c r="A63" s="48"/>
      <c r="B63" s="357" t="s">
        <v>35</v>
      </c>
      <c r="C63" s="463" t="s">
        <v>41</v>
      </c>
      <c r="D63" s="463" t="s">
        <v>42</v>
      </c>
      <c r="E63" s="463" t="s">
        <v>43</v>
      </c>
      <c r="F63" s="463" t="s">
        <v>126</v>
      </c>
      <c r="G63" s="381" t="s">
        <v>36</v>
      </c>
      <c r="H63" s="463" t="s">
        <v>41</v>
      </c>
      <c r="I63" s="463" t="s">
        <v>42</v>
      </c>
      <c r="J63" s="463" t="s">
        <v>43</v>
      </c>
      <c r="K63" s="463" t="s">
        <v>126</v>
      </c>
      <c r="L63" s="114"/>
      <c r="M63" s="115"/>
      <c r="N63" s="115"/>
      <c r="O63" s="115"/>
      <c r="P63" s="115"/>
      <c r="Q63" s="21"/>
      <c r="R63" s="21"/>
      <c r="S63" s="21"/>
      <c r="T63" s="21"/>
      <c r="U63" s="21"/>
      <c r="V63" s="21"/>
      <c r="W63" s="21"/>
      <c r="X63" s="21"/>
      <c r="Y63" s="21"/>
      <c r="Z63" s="21"/>
      <c r="AA63" s="21"/>
    </row>
    <row r="64" spans="1:27" ht="15.75" customHeight="1">
      <c r="A64" s="48"/>
      <c r="B64" s="447" t="s">
        <v>157</v>
      </c>
      <c r="C64" s="398">
        <f>SUM(C65:C66)</f>
        <v>234953.33098372209</v>
      </c>
      <c r="D64" s="398">
        <f t="shared" ref="D64:F64" si="38">SUM(D65:D66)</f>
        <v>4.7097060074503858</v>
      </c>
      <c r="E64" s="398">
        <f t="shared" si="38"/>
        <v>0.56415905945282385</v>
      </c>
      <c r="F64" s="398">
        <f t="shared" si="38"/>
        <v>3.5993729006176691</v>
      </c>
      <c r="G64" s="167" t="s">
        <v>45</v>
      </c>
      <c r="H64" s="88">
        <f>+Consumo_EDOMEX!$E44*'Metodología y FE'!C$23</f>
        <v>902544.73229292524</v>
      </c>
      <c r="I64" s="88">
        <f>+Consumo_EDOMEX!$E44*'Metodología y FE'!D$23</f>
        <v>18.091764563947326</v>
      </c>
      <c r="J64" s="88">
        <f>+Consumo_EDOMEX!$E44*'Metodología y FE'!E$23</f>
        <v>2.1671486211861968</v>
      </c>
      <c r="K64" s="88">
        <f>+Consumo_EDOMEX!$E44*'Metodología y FE'!F$23</f>
        <v>13.826554564725242</v>
      </c>
      <c r="L64" s="114"/>
      <c r="M64" s="115"/>
      <c r="N64" s="115"/>
      <c r="O64" s="115"/>
      <c r="P64" s="115"/>
      <c r="Q64" s="21"/>
      <c r="R64" s="21"/>
      <c r="S64" s="21"/>
      <c r="T64" s="21"/>
      <c r="U64" s="21"/>
      <c r="V64" s="21"/>
      <c r="W64" s="21"/>
      <c r="X64" s="21"/>
      <c r="Y64" s="21"/>
      <c r="Z64" s="21"/>
      <c r="AA64" s="21"/>
    </row>
    <row r="65" spans="1:27" ht="15.75" customHeight="1">
      <c r="A65" s="48"/>
      <c r="B65" s="217" t="s">
        <v>44</v>
      </c>
      <c r="C65" s="89">
        <f>+Consumo_EDOMEX!$C$45*'Metodología y FE'!C$23</f>
        <v>84679.068689800188</v>
      </c>
      <c r="D65" s="89">
        <f>+Consumo_EDOMEX!$C$45*'Metodología y FE'!D$23</f>
        <v>1.6974158946539311</v>
      </c>
      <c r="E65" s="89">
        <f>+Consumo_EDOMEX!$C$45*'Metodología y FE'!E$23</f>
        <v>0.20332745889305348</v>
      </c>
      <c r="F65" s="89">
        <f>+Consumo_EDOMEX!$C$45*'Metodología y FE'!F$23</f>
        <v>1.2972429197555209</v>
      </c>
      <c r="G65" s="167" t="s">
        <v>60</v>
      </c>
      <c r="H65" s="88">
        <f>+Consumo_EDOMEX!$E45*'Metodología y FE'!C$23</f>
        <v>332302.1569986426</v>
      </c>
      <c r="I65" s="88">
        <f>+Consumo_EDOMEX!$E45*'Metodología y FE'!D$23</f>
        <v>6.6610907730167783</v>
      </c>
      <c r="J65" s="88">
        <f>+Consumo_EDOMEX!$E45*'Metodología y FE'!E$23</f>
        <v>0.79790855299466734</v>
      </c>
      <c r="K65" s="88">
        <f>+Consumo_EDOMEX!$E45*'Metodología y FE'!F$23</f>
        <v>5.0907104560291518</v>
      </c>
      <c r="L65" s="114"/>
      <c r="M65" s="115"/>
      <c r="N65" s="115"/>
      <c r="O65" s="115"/>
      <c r="P65" s="115"/>
      <c r="Q65" s="21"/>
      <c r="R65" s="21"/>
      <c r="S65" s="21"/>
      <c r="T65" s="21"/>
      <c r="U65" s="21"/>
      <c r="V65" s="21"/>
      <c r="W65" s="21"/>
      <c r="X65" s="21"/>
      <c r="Y65" s="21"/>
      <c r="Z65" s="21"/>
      <c r="AA65" s="21"/>
    </row>
    <row r="66" spans="1:27" ht="15.75" customHeight="1">
      <c r="A66" s="48"/>
      <c r="B66" s="217" t="s">
        <v>55</v>
      </c>
      <c r="C66" s="89">
        <f>+Consumo_EDOMEX!$C46*'Metodología y FE'!C$23</f>
        <v>150274.2622939219</v>
      </c>
      <c r="D66" s="89">
        <f>+Consumo_EDOMEX!$C$46*'Metodología y FE'!D$23</f>
        <v>3.012290112796455</v>
      </c>
      <c r="E66" s="89">
        <f>+Consumo_EDOMEX!$C$46*'Metodología y FE'!E$23</f>
        <v>0.36083160055977043</v>
      </c>
      <c r="F66" s="89">
        <f>+Consumo_EDOMEX!$C$46*'Metodología y FE'!F$23</f>
        <v>2.3021299808621483</v>
      </c>
      <c r="G66" s="167" t="s">
        <v>273</v>
      </c>
      <c r="H66" s="88">
        <f>+Consumo_EDOMEX!$E46*'Metodología y FE'!C$23</f>
        <v>5579.7326315711643</v>
      </c>
      <c r="I66" s="88">
        <f>+Consumo_EDOMEX!$E46*'Metodología y FE'!D$23</f>
        <v>0.11184731957129948</v>
      </c>
      <c r="J66" s="88">
        <f>+Consumo_EDOMEX!$E46*'Metodología y FE'!E$23</f>
        <v>1.3397795639864778E-2</v>
      </c>
      <c r="K66" s="88">
        <f>+Consumo_EDOMEX!$E46*'Metodología y FE'!F$23</f>
        <v>8.5478841022095478E-2</v>
      </c>
      <c r="L66" s="114"/>
      <c r="M66" s="115"/>
      <c r="N66" s="115"/>
      <c r="O66" s="115"/>
      <c r="P66" s="115"/>
      <c r="Q66" s="21"/>
      <c r="R66" s="21"/>
      <c r="S66" s="21"/>
      <c r="T66" s="21"/>
      <c r="U66" s="21"/>
      <c r="V66" s="21"/>
      <c r="W66" s="21"/>
      <c r="X66" s="21"/>
      <c r="Y66" s="21"/>
      <c r="Z66" s="21"/>
      <c r="AA66" s="21"/>
    </row>
    <row r="67" spans="1:27" ht="15.75" customHeight="1">
      <c r="A67" s="48"/>
      <c r="B67" s="686" t="s">
        <v>337</v>
      </c>
      <c r="C67" s="398">
        <f>+Consumo_EDOMEX!$C47*'Metodología y FE'!C$23</f>
        <v>284.98033664973724</v>
      </c>
      <c r="D67" s="398">
        <f>+Consumo_EDOMEX!$C47*'Metodología y FE'!D$23</f>
        <v>5.7125114928355232E-3</v>
      </c>
      <c r="E67" s="664">
        <f>+Consumo_EDOMEX!$C47*'Metodología y FE'!E$23</f>
        <v>6.8428158908716882E-4</v>
      </c>
      <c r="F67" s="664">
        <f>+Consumo_EDOMEX!$C47*'Metodología y FE'!F$23</f>
        <v>4.3657627523358243E-3</v>
      </c>
      <c r="G67" s="167" t="s">
        <v>61</v>
      </c>
      <c r="H67" s="88">
        <f>+Consumo_EDOMEX!$E47*'Metodología y FE'!C$23</f>
        <v>16937.911216909375</v>
      </c>
      <c r="I67" s="88">
        <f>+Consumo_EDOMEX!$E47*'Metodología y FE'!D$23</f>
        <v>0.33952522348987729</v>
      </c>
      <c r="J67" s="88">
        <f>+Consumo_EDOMEX!$E47*'Metodología y FE'!E$23</f>
        <v>4.0670528147945514E-2</v>
      </c>
      <c r="K67" s="88">
        <f>+Consumo_EDOMEX!$E47*'Metodología y FE'!F$23</f>
        <v>0.25948071632759889</v>
      </c>
      <c r="L67" s="114"/>
      <c r="M67" s="115"/>
      <c r="N67" s="115"/>
      <c r="O67" s="115"/>
      <c r="P67" s="115"/>
      <c r="Q67" s="21"/>
      <c r="R67" s="21"/>
      <c r="S67" s="21"/>
      <c r="T67" s="21"/>
      <c r="U67" s="21"/>
      <c r="V67" s="21"/>
      <c r="W67" s="21"/>
      <c r="X67" s="21"/>
      <c r="Y67" s="21"/>
      <c r="Z67" s="21"/>
      <c r="AA67" s="21"/>
    </row>
    <row r="68" spans="1:27" ht="15.75" customHeight="1">
      <c r="A68" s="48"/>
      <c r="B68" s="164"/>
      <c r="C68" s="88"/>
      <c r="D68" s="88"/>
      <c r="E68" s="88"/>
      <c r="F68" s="88"/>
      <c r="G68" s="439" t="s">
        <v>62</v>
      </c>
      <c r="H68" s="398">
        <f>+H69+H70</f>
        <v>1649310.9183689179</v>
      </c>
      <c r="I68" s="398">
        <f t="shared" ref="I68:K68" si="39">+I69+I70</f>
        <v>33.060904086240718</v>
      </c>
      <c r="J68" s="398">
        <f t="shared" si="39"/>
        <v>3.9602490101182966</v>
      </c>
      <c r="K68" s="398">
        <f t="shared" si="39"/>
        <v>25.26665614577395</v>
      </c>
      <c r="L68" s="114"/>
      <c r="M68" s="115"/>
      <c r="N68" s="115"/>
      <c r="O68" s="115"/>
      <c r="P68" s="115"/>
      <c r="Q68" s="21"/>
      <c r="R68" s="21"/>
      <c r="S68" s="21"/>
      <c r="T68" s="21"/>
      <c r="U68" s="21"/>
      <c r="V68" s="21"/>
      <c r="W68" s="21"/>
      <c r="X68" s="21"/>
      <c r="Y68" s="21"/>
      <c r="Z68" s="21"/>
      <c r="AA68" s="21"/>
    </row>
    <row r="69" spans="1:27" ht="15.75" customHeight="1">
      <c r="A69" s="48"/>
      <c r="B69" s="164"/>
      <c r="C69" s="88"/>
      <c r="D69" s="88"/>
      <c r="E69" s="88"/>
      <c r="F69" s="88"/>
      <c r="G69" s="170" t="s">
        <v>158</v>
      </c>
      <c r="H69" s="89">
        <f>+Consumo_EDOMEX!$E49*'Metodología y FE'!C$23</f>
        <v>1179891.3364784718</v>
      </c>
      <c r="I69" s="89">
        <f>+Consumo_EDOMEX!$E49*'Metodología y FE'!D$23</f>
        <v>23.651255729318926</v>
      </c>
      <c r="J69" s="89">
        <f>+Consumo_EDOMEX!$E49*'Metodología y FE'!E$23</f>
        <v>2.8331004453405555</v>
      </c>
      <c r="K69" s="89">
        <f>+Consumo_EDOMEX!$E49*'Metodología y FE'!F$23</f>
        <v>18.07537217886221</v>
      </c>
      <c r="L69" s="114"/>
      <c r="M69" s="115"/>
      <c r="N69" s="115"/>
      <c r="O69" s="115"/>
      <c r="P69" s="115"/>
      <c r="Q69" s="21"/>
      <c r="R69" s="21"/>
      <c r="S69" s="21"/>
      <c r="T69" s="21"/>
      <c r="U69" s="21"/>
      <c r="V69" s="21"/>
      <c r="W69" s="21"/>
      <c r="X69" s="21"/>
      <c r="Y69" s="21"/>
      <c r="Z69" s="21"/>
      <c r="AA69" s="21"/>
    </row>
    <row r="70" spans="1:27" ht="15.75" customHeight="1">
      <c r="A70" s="48"/>
      <c r="B70" s="164"/>
      <c r="C70" s="88"/>
      <c r="D70" s="88"/>
      <c r="E70" s="88"/>
      <c r="F70" s="88"/>
      <c r="G70" s="170" t="s">
        <v>159</v>
      </c>
      <c r="H70" s="89">
        <f>+Consumo_EDOMEX!$E50*'Metodología y FE'!C$23</f>
        <v>469419.58189044608</v>
      </c>
      <c r="I70" s="89">
        <f>+Consumo_EDOMEX!$E50*'Metodología y FE'!D$23</f>
        <v>9.4096483569217906</v>
      </c>
      <c r="J70" s="89">
        <f>+Consumo_EDOMEX!$E50*'Metodología y FE'!E$23</f>
        <v>1.1271485647777411</v>
      </c>
      <c r="K70" s="89">
        <f>+Consumo_EDOMEX!$E50*'Metodología y FE'!F$23</f>
        <v>7.1912839669117403</v>
      </c>
      <c r="L70" s="114"/>
      <c r="M70" s="115"/>
      <c r="N70" s="115"/>
      <c r="O70" s="115"/>
      <c r="P70" s="115"/>
      <c r="Q70" s="21"/>
      <c r="R70" s="21"/>
      <c r="S70" s="21"/>
      <c r="T70" s="21"/>
      <c r="U70" s="21"/>
      <c r="V70" s="21"/>
      <c r="W70" s="21"/>
      <c r="X70" s="21"/>
      <c r="Y70" s="21"/>
      <c r="Z70" s="21"/>
      <c r="AA70" s="21"/>
    </row>
    <row r="71" spans="1:27" ht="15.75" customHeight="1">
      <c r="A71" s="48"/>
      <c r="B71" s="165" t="s">
        <v>63</v>
      </c>
      <c r="C71" s="90">
        <f>SUM(C64,C67)</f>
        <v>235238.31132037184</v>
      </c>
      <c r="D71" s="90">
        <f t="shared" ref="D71:F71" si="40">SUM(D64,D67)</f>
        <v>4.7154185189432214</v>
      </c>
      <c r="E71" s="90">
        <f t="shared" si="40"/>
        <v>0.56484334104191103</v>
      </c>
      <c r="F71" s="90">
        <f t="shared" si="40"/>
        <v>3.603738663370005</v>
      </c>
      <c r="G71" s="174" t="s">
        <v>63</v>
      </c>
      <c r="H71" s="90">
        <f>SUM(H64:H68)</f>
        <v>2906675.4515089663</v>
      </c>
      <c r="I71" s="90">
        <f t="shared" ref="I71:K71" si="41">SUM(I64:I68)</f>
        <v>58.265131966265997</v>
      </c>
      <c r="J71" s="90">
        <f t="shared" si="41"/>
        <v>6.9793745080869716</v>
      </c>
      <c r="K71" s="90">
        <f t="shared" si="41"/>
        <v>44.528880723878032</v>
      </c>
      <c r="L71" s="114"/>
      <c r="M71" s="115"/>
      <c r="N71" s="115"/>
      <c r="O71" s="115"/>
      <c r="P71" s="115"/>
      <c r="Q71" s="21"/>
      <c r="R71" s="21"/>
      <c r="S71" s="21"/>
      <c r="T71" s="21"/>
      <c r="U71" s="21"/>
      <c r="V71" s="21"/>
      <c r="W71" s="21"/>
      <c r="X71" s="21"/>
      <c r="Y71" s="21"/>
      <c r="Z71" s="21"/>
      <c r="AA71" s="21"/>
    </row>
    <row r="72" spans="1:27" ht="15.75" customHeight="1">
      <c r="A72" s="48"/>
      <c r="B72" s="215"/>
      <c r="C72" s="216"/>
      <c r="D72" s="216"/>
      <c r="E72" s="216"/>
      <c r="F72" s="216"/>
      <c r="G72" s="215"/>
      <c r="H72" s="216"/>
      <c r="I72" s="216"/>
      <c r="J72" s="216"/>
      <c r="K72" s="216"/>
      <c r="L72" s="114"/>
      <c r="M72" s="115"/>
      <c r="N72" s="115"/>
      <c r="O72" s="115"/>
      <c r="P72" s="115"/>
      <c r="Q72" s="21"/>
      <c r="R72" s="21"/>
      <c r="S72" s="21"/>
      <c r="T72" s="21"/>
      <c r="U72" s="21"/>
      <c r="V72" s="21"/>
      <c r="W72" s="21"/>
      <c r="X72" s="21"/>
      <c r="Y72" s="21"/>
      <c r="Z72" s="21"/>
      <c r="AA72" s="21"/>
    </row>
    <row r="73" spans="1:27" ht="15.75" customHeight="1">
      <c r="A73" s="48"/>
      <c r="B73" s="462" t="s">
        <v>168</v>
      </c>
      <c r="C73" s="216"/>
      <c r="D73" s="216"/>
      <c r="E73" s="216"/>
      <c r="F73" s="216"/>
      <c r="G73" s="215"/>
      <c r="H73" s="216"/>
      <c r="I73" s="216"/>
      <c r="J73" s="216"/>
      <c r="K73" s="216"/>
      <c r="L73" s="114"/>
      <c r="M73" s="115"/>
      <c r="N73" s="115"/>
      <c r="O73" s="115"/>
      <c r="P73" s="115"/>
      <c r="Q73" s="21"/>
      <c r="R73" s="21"/>
      <c r="S73" s="21"/>
      <c r="T73" s="21"/>
      <c r="U73" s="21"/>
      <c r="V73" s="21"/>
      <c r="W73" s="21"/>
      <c r="X73" s="21"/>
      <c r="Y73" s="21"/>
      <c r="Z73" s="21"/>
      <c r="AA73" s="21"/>
    </row>
    <row r="74" spans="1:27" ht="43.5" customHeight="1">
      <c r="A74" s="48"/>
      <c r="B74" s="357" t="s">
        <v>35</v>
      </c>
      <c r="C74" s="463" t="s">
        <v>41</v>
      </c>
      <c r="D74" s="463" t="s">
        <v>42</v>
      </c>
      <c r="E74" s="463" t="s">
        <v>43</v>
      </c>
      <c r="F74" s="463" t="s">
        <v>126</v>
      </c>
      <c r="G74" s="381" t="s">
        <v>36</v>
      </c>
      <c r="H74" s="463" t="s">
        <v>41</v>
      </c>
      <c r="I74" s="463" t="s">
        <v>42</v>
      </c>
      <c r="J74" s="463" t="s">
        <v>43</v>
      </c>
      <c r="K74" s="463" t="s">
        <v>126</v>
      </c>
      <c r="L74" s="114"/>
      <c r="M74" s="115"/>
      <c r="N74" s="115"/>
      <c r="O74" s="115"/>
      <c r="P74" s="115"/>
      <c r="Q74" s="21"/>
      <c r="R74" s="21"/>
      <c r="S74" s="21"/>
      <c r="T74" s="21"/>
      <c r="U74" s="21"/>
      <c r="V74" s="21"/>
      <c r="W74" s="21"/>
      <c r="X74" s="21"/>
      <c r="Y74" s="21"/>
      <c r="Z74" s="21"/>
      <c r="AA74" s="21"/>
    </row>
    <row r="75" spans="1:27" ht="15.75" customHeight="1">
      <c r="A75" s="48"/>
      <c r="B75" s="163" t="s">
        <v>157</v>
      </c>
      <c r="C75" s="576">
        <f>+C76+C77</f>
        <v>0</v>
      </c>
      <c r="D75" s="576">
        <f t="shared" ref="D75:E75" si="42">+D76+D77</f>
        <v>0</v>
      </c>
      <c r="E75" s="576">
        <f t="shared" si="42"/>
        <v>0</v>
      </c>
      <c r="F75" s="576">
        <f>+F76+F77</f>
        <v>0</v>
      </c>
      <c r="G75" s="167" t="s">
        <v>45</v>
      </c>
      <c r="H75" s="88">
        <f>+Consumo_Tizayuca!$E43*'Metodología y FE'!C$23</f>
        <v>0</v>
      </c>
      <c r="I75" s="88">
        <f>+Consumo_Tizayuca!$E43*'Metodología y FE'!D$23</f>
        <v>0</v>
      </c>
      <c r="J75" s="88">
        <f>+Consumo_Tizayuca!$E43*'Metodología y FE'!E$23</f>
        <v>0</v>
      </c>
      <c r="K75" s="88">
        <f>+Consumo_Tizayuca!$E43*'Metodología y FE'!F$23</f>
        <v>0</v>
      </c>
      <c r="L75" s="114"/>
      <c r="M75" s="115"/>
      <c r="N75" s="115"/>
      <c r="O75" s="115"/>
      <c r="P75" s="115"/>
      <c r="Q75" s="21"/>
      <c r="R75" s="21"/>
      <c r="S75" s="21"/>
      <c r="T75" s="21"/>
      <c r="U75" s="21"/>
      <c r="V75" s="21"/>
      <c r="W75" s="21"/>
      <c r="X75" s="21"/>
      <c r="Y75" s="21"/>
      <c r="Z75" s="21"/>
      <c r="AA75" s="21"/>
    </row>
    <row r="76" spans="1:27" ht="15.75" customHeight="1">
      <c r="A76" s="48"/>
      <c r="B76" s="217" t="s">
        <v>44</v>
      </c>
      <c r="C76" s="577">
        <f>+Consumo_Tizayuca!$C$44*'Metodología y FE'!C$23</f>
        <v>0</v>
      </c>
      <c r="D76" s="577">
        <f>+Consumo_Tizayuca!$C$44*'Metodología y FE'!D$23</f>
        <v>0</v>
      </c>
      <c r="E76" s="577">
        <f>+Consumo_Tizayuca!$C$44*'Metodología y FE'!E$23</f>
        <v>0</v>
      </c>
      <c r="F76" s="577">
        <f>+Consumo_Tizayuca!$C$44*'Metodología y FE'!F$23</f>
        <v>0</v>
      </c>
      <c r="G76" s="167" t="s">
        <v>60</v>
      </c>
      <c r="H76" s="88">
        <f>+Consumo_Tizayuca!$E44*'Metodología y FE'!C$23</f>
        <v>0</v>
      </c>
      <c r="I76" s="88">
        <f>+Consumo_Tizayuca!$E44*'Metodología y FE'!D$23</f>
        <v>0</v>
      </c>
      <c r="J76" s="88">
        <f>+Consumo_Tizayuca!$E44*'Metodología y FE'!E$23</f>
        <v>0</v>
      </c>
      <c r="K76" s="88">
        <f>+Consumo_Tizayuca!$E44*'Metodología y FE'!F$23</f>
        <v>0</v>
      </c>
      <c r="L76" s="114"/>
      <c r="M76" s="115"/>
      <c r="N76" s="115"/>
      <c r="O76" s="115"/>
      <c r="P76" s="115"/>
      <c r="Q76" s="21"/>
      <c r="R76" s="21"/>
      <c r="S76" s="21"/>
      <c r="T76" s="21"/>
      <c r="U76" s="21"/>
      <c r="V76" s="21"/>
      <c r="W76" s="21"/>
      <c r="X76" s="21"/>
      <c r="Y76" s="21"/>
      <c r="Z76" s="21"/>
      <c r="AA76" s="21"/>
    </row>
    <row r="77" spans="1:27" ht="15.75" customHeight="1">
      <c r="A77" s="48"/>
      <c r="B77" s="217" t="s">
        <v>55</v>
      </c>
      <c r="C77" s="577">
        <f>+Consumo_Tizayuca!$C$44*'Metodología y FE'!C$23</f>
        <v>0</v>
      </c>
      <c r="D77" s="577">
        <f>+Consumo_Tizayuca!$C$44*'Metodología y FE'!D$23</f>
        <v>0</v>
      </c>
      <c r="E77" s="577">
        <f>+Consumo_Tizayuca!$C$44*'Metodología y FE'!E$23</f>
        <v>0</v>
      </c>
      <c r="F77" s="577">
        <f>+Consumo_Tizayuca!$C$44*'Metodología y FE'!F$23</f>
        <v>0</v>
      </c>
      <c r="G77" s="167" t="s">
        <v>61</v>
      </c>
      <c r="H77" s="88">
        <f>+Consumo_Tizayuca!$E45*'Metodología y FE'!C$23</f>
        <v>0</v>
      </c>
      <c r="I77" s="88">
        <f>+Consumo_Tizayuca!$E45*'Metodología y FE'!D$23</f>
        <v>0</v>
      </c>
      <c r="J77" s="88">
        <f>+Consumo_Tizayuca!$E45*'Metodología y FE'!E$23</f>
        <v>0</v>
      </c>
      <c r="K77" s="88">
        <f>+Consumo_Tizayuca!$E45*'Metodología y FE'!F$23</f>
        <v>0</v>
      </c>
      <c r="L77" s="114"/>
      <c r="M77" s="115"/>
      <c r="N77" s="115"/>
      <c r="O77" s="115"/>
      <c r="P77" s="115"/>
      <c r="Q77" s="21"/>
      <c r="R77" s="21"/>
      <c r="S77" s="21"/>
      <c r="T77" s="21"/>
      <c r="U77" s="21"/>
      <c r="V77" s="21"/>
      <c r="W77" s="21"/>
      <c r="X77" s="21"/>
      <c r="Y77" s="21"/>
      <c r="Z77" s="21"/>
      <c r="AA77" s="21"/>
    </row>
    <row r="78" spans="1:27" ht="15.75" customHeight="1">
      <c r="A78" s="48"/>
      <c r="B78" s="164"/>
      <c r="C78" s="578"/>
      <c r="D78" s="578"/>
      <c r="E78" s="578"/>
      <c r="F78" s="578"/>
      <c r="G78" s="439" t="s">
        <v>62</v>
      </c>
      <c r="H78" s="398">
        <f>+H79+H80</f>
        <v>0</v>
      </c>
      <c r="I78" s="398">
        <f t="shared" ref="I78:K78" si="43">+I79+I80</f>
        <v>0</v>
      </c>
      <c r="J78" s="398">
        <f t="shared" si="43"/>
        <v>0</v>
      </c>
      <c r="K78" s="398">
        <f t="shared" si="43"/>
        <v>0</v>
      </c>
      <c r="L78" s="114"/>
      <c r="M78" s="115"/>
      <c r="N78" s="115"/>
      <c r="O78" s="115"/>
      <c r="P78" s="115"/>
      <c r="Q78" s="21"/>
      <c r="R78" s="21"/>
      <c r="T78" s="21"/>
      <c r="U78" s="21"/>
      <c r="V78" s="21"/>
      <c r="W78" s="21"/>
      <c r="X78" s="21"/>
      <c r="Y78" s="21"/>
      <c r="Z78" s="21"/>
      <c r="AA78" s="21"/>
    </row>
    <row r="79" spans="1:27" ht="15.75" customHeight="1">
      <c r="A79" s="48"/>
      <c r="B79" s="164"/>
      <c r="C79" s="578"/>
      <c r="D79" s="578"/>
      <c r="E79" s="578"/>
      <c r="F79" s="578"/>
      <c r="G79" s="170" t="s">
        <v>158</v>
      </c>
      <c r="H79" s="89">
        <f>+Consumo_Tizayuca!$E47*'Metodología y FE'!C$23</f>
        <v>0</v>
      </c>
      <c r="I79" s="89">
        <f>+Consumo_Tizayuca!$E47*'Metodología y FE'!D$23</f>
        <v>0</v>
      </c>
      <c r="J79" s="89">
        <f>+Consumo_Tizayuca!$E47*'Metodología y FE'!E$23</f>
        <v>0</v>
      </c>
      <c r="K79" s="89">
        <f>+Consumo_Tizayuca!$E47*'Metodología y FE'!F$23</f>
        <v>0</v>
      </c>
      <c r="L79" s="114"/>
      <c r="M79" s="115"/>
      <c r="N79" s="115"/>
      <c r="O79" s="115"/>
      <c r="P79" s="764" t="s">
        <v>180</v>
      </c>
      <c r="Q79" s="764"/>
      <c r="R79" s="21"/>
      <c r="U79" s="21"/>
      <c r="V79" s="21"/>
      <c r="W79" s="21"/>
      <c r="X79" s="21"/>
      <c r="Y79" s="21"/>
      <c r="Z79" s="21"/>
      <c r="AA79" s="21"/>
    </row>
    <row r="80" spans="1:27" ht="15.75" customHeight="1">
      <c r="A80" s="48"/>
      <c r="B80" s="164"/>
      <c r="C80" s="578"/>
      <c r="D80" s="578"/>
      <c r="E80" s="578"/>
      <c r="F80" s="578"/>
      <c r="G80" s="170" t="s">
        <v>159</v>
      </c>
      <c r="H80" s="89">
        <f>+Consumo_Tizayuca!$E48*'Metodología y FE'!C$23</f>
        <v>0</v>
      </c>
      <c r="I80" s="89">
        <f>+Consumo_Tizayuca!$E48*'Metodología y FE'!D$23</f>
        <v>0</v>
      </c>
      <c r="J80" s="89">
        <f>+Consumo_Tizayuca!$E48*'Metodología y FE'!E$23</f>
        <v>0</v>
      </c>
      <c r="K80" s="89">
        <f>+Consumo_Tizayuca!$E48*'Metodología y FE'!F$23</f>
        <v>0</v>
      </c>
      <c r="L80" s="114"/>
      <c r="M80" s="115"/>
      <c r="N80" s="115"/>
      <c r="O80" s="115"/>
      <c r="P80" s="241" t="s">
        <v>65</v>
      </c>
      <c r="Q80" s="241">
        <v>1</v>
      </c>
      <c r="R80" s="21"/>
      <c r="U80" s="21"/>
      <c r="V80" s="21"/>
      <c r="W80" s="21"/>
      <c r="X80" s="21"/>
      <c r="Y80" s="21"/>
      <c r="Z80" s="21"/>
      <c r="AA80" s="21"/>
    </row>
    <row r="81" spans="1:27" ht="15.75" customHeight="1">
      <c r="A81" s="48"/>
      <c r="B81" s="165" t="s">
        <v>63</v>
      </c>
      <c r="C81" s="579">
        <f>+C75</f>
        <v>0</v>
      </c>
      <c r="D81" s="579">
        <f t="shared" ref="D81:E81" si="44">+D75</f>
        <v>0</v>
      </c>
      <c r="E81" s="579">
        <f t="shared" si="44"/>
        <v>0</v>
      </c>
      <c r="F81" s="579">
        <f>+F75</f>
        <v>0</v>
      </c>
      <c r="G81" s="174" t="s">
        <v>63</v>
      </c>
      <c r="H81" s="90">
        <f>+H75+H76+H77+H78</f>
        <v>0</v>
      </c>
      <c r="I81" s="90">
        <f t="shared" ref="I81:K81" si="45">+I75+I76+I77+I78</f>
        <v>0</v>
      </c>
      <c r="J81" s="90">
        <f t="shared" si="45"/>
        <v>0</v>
      </c>
      <c r="K81" s="90">
        <f t="shared" si="45"/>
        <v>0</v>
      </c>
      <c r="L81" s="114"/>
      <c r="M81" s="115"/>
      <c r="N81" s="115"/>
      <c r="O81" s="115"/>
      <c r="P81" s="241" t="s">
        <v>66</v>
      </c>
      <c r="Q81" s="241">
        <v>29.8</v>
      </c>
      <c r="R81" s="21"/>
      <c r="U81" s="21"/>
      <c r="V81" s="21"/>
      <c r="W81" s="21"/>
      <c r="X81" s="21"/>
      <c r="Y81" s="21"/>
      <c r="Z81" s="21"/>
      <c r="AA81" s="21"/>
    </row>
    <row r="82" spans="1:27" ht="15.75" customHeight="1">
      <c r="A82" s="48"/>
      <c r="B82" s="48"/>
      <c r="C82" s="17"/>
      <c r="D82" s="38"/>
      <c r="E82" s="39"/>
      <c r="F82" s="39"/>
      <c r="G82" s="114"/>
      <c r="H82" s="114"/>
      <c r="I82" s="114"/>
      <c r="J82" s="114"/>
      <c r="K82" s="114"/>
      <c r="L82" s="114"/>
      <c r="M82" s="115"/>
      <c r="N82" s="115"/>
      <c r="O82" s="115"/>
      <c r="P82" s="241" t="s">
        <v>110</v>
      </c>
      <c r="Q82" s="241">
        <v>273</v>
      </c>
      <c r="R82" s="21"/>
      <c r="U82" s="21"/>
      <c r="V82" s="21"/>
      <c r="W82" s="21"/>
      <c r="X82" s="21"/>
      <c r="Y82" s="21"/>
      <c r="Z82" s="21"/>
      <c r="AA82" s="21"/>
    </row>
    <row r="83" spans="1:27" ht="15.75" customHeight="1">
      <c r="A83" s="48"/>
      <c r="B83" s="48"/>
      <c r="C83" s="464"/>
      <c r="D83" s="465"/>
      <c r="E83" s="465"/>
      <c r="F83" s="465"/>
      <c r="G83" s="466"/>
      <c r="H83" s="466"/>
      <c r="I83" s="466"/>
      <c r="J83" s="466"/>
      <c r="K83" s="114"/>
      <c r="L83" s="114"/>
      <c r="M83" s="115"/>
      <c r="N83" s="115"/>
      <c r="O83" s="115"/>
      <c r="P83" s="115"/>
      <c r="Q83" s="21"/>
      <c r="R83" s="21"/>
      <c r="S83" s="21"/>
      <c r="T83" s="21"/>
      <c r="U83" s="21"/>
      <c r="V83" s="21"/>
      <c r="W83" s="21"/>
      <c r="X83" s="21"/>
      <c r="Y83" s="21"/>
      <c r="Z83" s="21"/>
      <c r="AA83" s="21"/>
    </row>
    <row r="84" spans="1:27" ht="15.75" customHeight="1">
      <c r="B84" s="435" t="s">
        <v>127</v>
      </c>
      <c r="C84" s="464"/>
      <c r="D84" s="465"/>
      <c r="E84" s="465"/>
      <c r="F84" s="465"/>
      <c r="G84" s="467"/>
      <c r="H84" s="467"/>
      <c r="I84" s="467"/>
      <c r="J84" s="467"/>
      <c r="K84" s="36"/>
      <c r="L84" s="36"/>
      <c r="M84" s="21"/>
      <c r="N84" s="21"/>
      <c r="O84" s="435" t="s">
        <v>181</v>
      </c>
      <c r="P84" s="470"/>
      <c r="Q84" s="470"/>
      <c r="R84" s="470"/>
      <c r="S84" s="470"/>
      <c r="T84" s="470"/>
      <c r="U84" s="21"/>
      <c r="V84" s="21"/>
      <c r="W84" s="21"/>
      <c r="X84" s="21"/>
      <c r="Y84" s="21"/>
      <c r="Z84" s="21"/>
      <c r="AA84" s="21"/>
    </row>
    <row r="85" spans="1:27" ht="15.75" customHeight="1">
      <c r="C85" s="464"/>
      <c r="D85" s="465"/>
      <c r="E85" s="465"/>
      <c r="F85" s="465"/>
      <c r="G85" s="467"/>
      <c r="H85" s="467"/>
      <c r="I85" s="467"/>
      <c r="J85" s="467"/>
      <c r="K85" s="36"/>
      <c r="L85" s="36"/>
      <c r="M85" s="21"/>
      <c r="N85" s="21"/>
      <c r="Q85" s="471"/>
      <c r="R85" s="21"/>
      <c r="S85" s="21"/>
      <c r="T85" s="21"/>
      <c r="U85" s="21"/>
      <c r="V85" s="21"/>
      <c r="W85" s="21"/>
      <c r="X85" s="21"/>
      <c r="Y85" s="21"/>
      <c r="Z85" s="21"/>
      <c r="AA85" s="21"/>
    </row>
    <row r="86" spans="1:27" ht="15.75" customHeight="1">
      <c r="B86" s="394" t="s">
        <v>11</v>
      </c>
      <c r="C86" s="464"/>
      <c r="D86" s="464"/>
      <c r="E86" s="464"/>
      <c r="F86" s="465"/>
      <c r="G86" s="467"/>
      <c r="H86" s="467"/>
      <c r="I86" s="467"/>
      <c r="J86" s="467"/>
      <c r="K86" s="36"/>
      <c r="L86" s="36"/>
      <c r="M86" s="21"/>
      <c r="N86" s="21"/>
      <c r="O86" s="206" t="s">
        <v>11</v>
      </c>
      <c r="Q86" s="21"/>
      <c r="R86" s="21"/>
      <c r="S86" s="21"/>
      <c r="T86" s="21"/>
      <c r="U86" s="21"/>
      <c r="V86" s="21"/>
      <c r="W86" s="21"/>
      <c r="X86" s="21"/>
      <c r="Y86" s="21"/>
      <c r="Z86" s="21"/>
      <c r="AA86" s="21"/>
    </row>
    <row r="87" spans="1:27" ht="24" customHeight="1">
      <c r="B87" s="300" t="s">
        <v>35</v>
      </c>
      <c r="C87" s="463" t="s">
        <v>41</v>
      </c>
      <c r="D87" s="463" t="s">
        <v>42</v>
      </c>
      <c r="E87" s="463" t="s">
        <v>43</v>
      </c>
      <c r="F87" s="463" t="s">
        <v>126</v>
      </c>
      <c r="G87" s="300" t="s">
        <v>36</v>
      </c>
      <c r="H87" s="463" t="s">
        <v>41</v>
      </c>
      <c r="I87" s="463" t="s">
        <v>42</v>
      </c>
      <c r="J87" s="463" t="s">
        <v>43</v>
      </c>
      <c r="K87" s="463" t="s">
        <v>126</v>
      </c>
      <c r="L87" s="36"/>
      <c r="M87" s="21"/>
      <c r="N87" s="21"/>
      <c r="O87" s="300" t="s">
        <v>35</v>
      </c>
      <c r="P87" s="463" t="s">
        <v>41</v>
      </c>
      <c r="Q87" s="463" t="s">
        <v>42</v>
      </c>
      <c r="R87" s="463" t="s">
        <v>43</v>
      </c>
      <c r="S87" s="463" t="s">
        <v>179</v>
      </c>
      <c r="T87" s="300" t="s">
        <v>36</v>
      </c>
      <c r="U87" s="463" t="s">
        <v>41</v>
      </c>
      <c r="V87" s="463" t="s">
        <v>42</v>
      </c>
      <c r="W87" s="463" t="s">
        <v>43</v>
      </c>
      <c r="X87" s="463" t="s">
        <v>179</v>
      </c>
      <c r="Y87" s="21"/>
      <c r="Z87" s="21"/>
      <c r="AA87" s="21"/>
    </row>
    <row r="88" spans="1:27" ht="15.75" customHeight="1">
      <c r="B88" s="468" t="s">
        <v>44</v>
      </c>
      <c r="C88" s="521">
        <f>SUM(C89:C90)</f>
        <v>218761.66513485071</v>
      </c>
      <c r="D88" s="521">
        <f t="shared" ref="D88:F88" si="46">SUM(D89:D90)</f>
        <v>4.3851394835378477</v>
      </c>
      <c r="E88" s="521">
        <f>SUM(E89:E90)</f>
        <v>0.5252803811296527</v>
      </c>
      <c r="F88" s="521">
        <f t="shared" si="46"/>
        <v>3.3513243071873338</v>
      </c>
      <c r="G88" s="522" t="s">
        <v>45</v>
      </c>
      <c r="H88" s="521">
        <f>SUM(H89:H94)</f>
        <v>1623174.1694436537</v>
      </c>
      <c r="I88" s="521">
        <f t="shared" ref="I88:K88" si="47">SUM(I89:I94)</f>
        <v>32.536985557768908</v>
      </c>
      <c r="J88" s="521">
        <f t="shared" si="47"/>
        <v>3.8974906587933966</v>
      </c>
      <c r="K88" s="521">
        <f t="shared" si="47"/>
        <v>24.866253625843889</v>
      </c>
      <c r="L88" s="604"/>
      <c r="M88" s="21"/>
      <c r="N88" s="21"/>
      <c r="O88" s="468" t="s">
        <v>44</v>
      </c>
      <c r="P88" s="529">
        <f>+SUM(P89:P90)</f>
        <v>218761.66513485071</v>
      </c>
      <c r="Q88" s="529">
        <f t="shared" ref="Q88:S88" si="48">+SUM(Q89:Q90)</f>
        <v>130.67715660942784</v>
      </c>
      <c r="R88" s="529">
        <f t="shared" si="48"/>
        <v>143.40154404839521</v>
      </c>
      <c r="S88" s="529">
        <f t="shared" si="48"/>
        <v>219035.74383550853</v>
      </c>
      <c r="T88" s="469" t="s">
        <v>45</v>
      </c>
      <c r="U88" s="533">
        <f>+SUM(U89:U94)</f>
        <v>1623174.1694436537</v>
      </c>
      <c r="V88" s="533">
        <f t="shared" ref="V88:X88" si="49">+SUM(V89:V94)</f>
        <v>969.60216962151355</v>
      </c>
      <c r="W88" s="533">
        <f t="shared" si="49"/>
        <v>1064.0149498505975</v>
      </c>
      <c r="X88" s="533">
        <f t="shared" si="49"/>
        <v>1625207.7865631257</v>
      </c>
      <c r="Y88" s="21"/>
      <c r="Z88" s="21"/>
      <c r="AA88" s="21"/>
    </row>
    <row r="89" spans="1:27" ht="15.75" customHeight="1">
      <c r="B89" s="47" t="s">
        <v>46</v>
      </c>
      <c r="C89" s="523">
        <f>+C48+C8</f>
        <v>218756.02108066319</v>
      </c>
      <c r="D89" s="523">
        <f t="shared" ref="D89:F89" si="50">+D48+D8</f>
        <v>4.3850263468744854</v>
      </c>
      <c r="E89" s="523">
        <f t="shared" si="50"/>
        <v>0.52526682888807097</v>
      </c>
      <c r="F89" s="523">
        <f t="shared" si="50"/>
        <v>3.3512378429707717</v>
      </c>
      <c r="G89" s="524" t="s">
        <v>47</v>
      </c>
      <c r="H89" s="523">
        <f>+H48+H8</f>
        <v>1091128.6076323362</v>
      </c>
      <c r="I89" s="523">
        <f t="shared" ref="I89:K89" si="51">+I48+I8</f>
        <v>21.871981711223402</v>
      </c>
      <c r="J89" s="523">
        <f t="shared" si="51"/>
        <v>2.619967490763413</v>
      </c>
      <c r="K89" s="523">
        <f t="shared" si="51"/>
        <v>16.715569534413685</v>
      </c>
      <c r="L89" s="604"/>
      <c r="M89" s="21"/>
      <c r="N89" s="21"/>
      <c r="O89" s="47" t="s">
        <v>46</v>
      </c>
      <c r="P89" s="530">
        <f>+C89</f>
        <v>218756.02108066319</v>
      </c>
      <c r="Q89" s="530">
        <f>+D89*$Q$81</f>
        <v>130.67378513685966</v>
      </c>
      <c r="R89" s="530">
        <f>+E89*$Q$82</f>
        <v>143.39784428644339</v>
      </c>
      <c r="S89" s="530">
        <f>+SUM(P89:R89)</f>
        <v>219030.09271008649</v>
      </c>
      <c r="T89" s="277" t="s">
        <v>47</v>
      </c>
      <c r="U89" s="534">
        <f>+H89</f>
        <v>1091128.6076323362</v>
      </c>
      <c r="V89" s="534">
        <f>+I89*$Q$81</f>
        <v>651.78505499445737</v>
      </c>
      <c r="W89" s="534">
        <f>+J89*$Q$82</f>
        <v>715.25112497841178</v>
      </c>
      <c r="X89" s="534">
        <f>+SUM(U89:W89)</f>
        <v>1092495.643812309</v>
      </c>
      <c r="Y89" s="21"/>
      <c r="Z89" s="21"/>
      <c r="AA89" s="21"/>
    </row>
    <row r="90" spans="1:27" ht="15.75" customHeight="1">
      <c r="B90" s="47" t="s">
        <v>48</v>
      </c>
      <c r="C90" s="523">
        <f t="shared" ref="C90:F90" si="52">+C49+C9</f>
        <v>5.6440541875065176</v>
      </c>
      <c r="D90" s="666">
        <f t="shared" si="52"/>
        <v>1.1313666336195328E-4</v>
      </c>
      <c r="E90" s="667">
        <f t="shared" si="52"/>
        <v>1.355224158173374E-5</v>
      </c>
      <c r="F90" s="666">
        <f t="shared" si="52"/>
        <v>8.646421656195243E-5</v>
      </c>
      <c r="G90" s="524" t="s">
        <v>49</v>
      </c>
      <c r="H90" s="523">
        <f>+H49+H9</f>
        <v>490593.81457305735</v>
      </c>
      <c r="I90" s="523">
        <f t="shared" ref="I90:K90" si="53">+I49+I9</f>
        <v>9.8340918430001203</v>
      </c>
      <c r="J90" s="523">
        <f t="shared" si="53"/>
        <v>1.1779911518772397</v>
      </c>
      <c r="K90" s="523">
        <f t="shared" si="53"/>
        <v>7.5156631063351531</v>
      </c>
      <c r="L90" s="604"/>
      <c r="M90" s="21"/>
      <c r="N90" s="21"/>
      <c r="O90" s="47" t="s">
        <v>48</v>
      </c>
      <c r="P90" s="530">
        <f>+C90</f>
        <v>5.6440541875065176</v>
      </c>
      <c r="Q90" s="535">
        <f>+D90*$Q$81</f>
        <v>3.3714725681862081E-3</v>
      </c>
      <c r="R90" s="535">
        <f>+E90*$Q$82</f>
        <v>3.6997619518133111E-3</v>
      </c>
      <c r="S90" s="530">
        <f>+SUM(P90:R90)</f>
        <v>5.6511254220265164</v>
      </c>
      <c r="T90" s="277" t="s">
        <v>49</v>
      </c>
      <c r="U90" s="534">
        <f t="shared" ref="U90:U98" si="54">+H90</f>
        <v>490593.81457305735</v>
      </c>
      <c r="V90" s="534">
        <f t="shared" ref="V90:V98" si="55">+I90*$Q$81</f>
        <v>293.0559369214036</v>
      </c>
      <c r="W90" s="534">
        <f t="shared" ref="W90:W98" si="56">+J90*$Q$82</f>
        <v>321.59158446248642</v>
      </c>
      <c r="X90" s="534">
        <f t="shared" ref="X90:X98" si="57">+SUM(U90:W90)</f>
        <v>491208.46209444123</v>
      </c>
      <c r="Y90" s="21"/>
      <c r="Z90" s="21"/>
      <c r="AA90" s="21"/>
    </row>
    <row r="91" spans="1:27" ht="15.75" customHeight="1">
      <c r="B91" s="401" t="s">
        <v>94</v>
      </c>
      <c r="C91" s="521">
        <f>SUM(C92:C93)</f>
        <v>105342.33409131911</v>
      </c>
      <c r="D91" s="521">
        <f t="shared" ref="D91:F91" si="58">SUM(D92:D93)</f>
        <v>2.1116168969875293</v>
      </c>
      <c r="E91" s="521">
        <f t="shared" si="58"/>
        <v>0.2529431350162093</v>
      </c>
      <c r="F91" s="521">
        <f t="shared" si="58"/>
        <v>1.6137942842886359</v>
      </c>
      <c r="G91" s="524" t="s">
        <v>51</v>
      </c>
      <c r="H91" s="523">
        <f t="shared" ref="H91:K91" si="59">+H50+H10</f>
        <v>34637.597713026385</v>
      </c>
      <c r="I91" s="523">
        <f t="shared" si="59"/>
        <v>0.69432044802119541</v>
      </c>
      <c r="J91" s="523">
        <f t="shared" si="59"/>
        <v>8.3170195824293663E-2</v>
      </c>
      <c r="K91" s="523">
        <f t="shared" si="59"/>
        <v>0.53063146638002456</v>
      </c>
      <c r="L91" s="604"/>
      <c r="M91" s="21"/>
      <c r="N91" s="21"/>
      <c r="O91" s="401" t="s">
        <v>94</v>
      </c>
      <c r="P91" s="529">
        <f>+SUM(P92:P93)</f>
        <v>105342.33409131911</v>
      </c>
      <c r="Q91" s="529">
        <f t="shared" ref="Q91:S91" si="60">+SUM(Q92:Q93)</f>
        <v>62.926183530228379</v>
      </c>
      <c r="R91" s="529">
        <f t="shared" si="60"/>
        <v>69.053475859425149</v>
      </c>
      <c r="S91" s="529">
        <f t="shared" si="60"/>
        <v>105474.31375070877</v>
      </c>
      <c r="T91" s="277" t="s">
        <v>51</v>
      </c>
      <c r="U91" s="534">
        <f t="shared" si="54"/>
        <v>34637.597713026385</v>
      </c>
      <c r="V91" s="534">
        <f t="shared" si="55"/>
        <v>20.690749351031624</v>
      </c>
      <c r="W91" s="534">
        <f t="shared" si="56"/>
        <v>22.705463460032171</v>
      </c>
      <c r="X91" s="534">
        <f t="shared" si="57"/>
        <v>34680.993925837451</v>
      </c>
      <c r="Y91" s="21"/>
      <c r="Z91" s="21"/>
      <c r="AA91" s="21"/>
    </row>
    <row r="92" spans="1:27" ht="15.75" customHeight="1">
      <c r="B92" s="47" t="s">
        <v>93</v>
      </c>
      <c r="C92" s="523">
        <f t="shared" ref="C92:F92" si="61">+C51+C11</f>
        <v>102363.75940739567</v>
      </c>
      <c r="D92" s="523">
        <f t="shared" si="61"/>
        <v>2.0519105245612295</v>
      </c>
      <c r="E92" s="523">
        <f t="shared" si="61"/>
        <v>0.24579111940035642</v>
      </c>
      <c r="F92" s="523">
        <f t="shared" si="61"/>
        <v>1.5681639416376412</v>
      </c>
      <c r="G92" s="524" t="s">
        <v>53</v>
      </c>
      <c r="H92" s="523">
        <f t="shared" ref="H92:K92" si="62">+H51+H11</f>
        <v>2201.332265397738</v>
      </c>
      <c r="I92" s="523">
        <f t="shared" si="62"/>
        <v>4.412632820028578E-2</v>
      </c>
      <c r="J92" s="523">
        <f t="shared" si="62"/>
        <v>5.2857371086855653E-3</v>
      </c>
      <c r="K92" s="523">
        <f t="shared" si="62"/>
        <v>3.3723359733413893E-2</v>
      </c>
      <c r="L92" s="604"/>
      <c r="M92" s="21"/>
      <c r="N92" s="21"/>
      <c r="O92" s="47" t="s">
        <v>93</v>
      </c>
      <c r="P92" s="530">
        <f>+C92</f>
        <v>102363.75940739567</v>
      </c>
      <c r="Q92" s="530">
        <f>+D92*$Q$81</f>
        <v>61.146933631924639</v>
      </c>
      <c r="R92" s="530">
        <f>+E92*$Q$82</f>
        <v>67.100975596297303</v>
      </c>
      <c r="S92" s="530">
        <f>+SUM(P92:R92)</f>
        <v>102492.0073166239</v>
      </c>
      <c r="T92" s="277" t="s">
        <v>53</v>
      </c>
      <c r="U92" s="534">
        <f t="shared" si="54"/>
        <v>2201.332265397738</v>
      </c>
      <c r="V92" s="534">
        <f t="shared" si="55"/>
        <v>1.3149645803685164</v>
      </c>
      <c r="W92" s="534">
        <f t="shared" si="56"/>
        <v>1.4430062306711593</v>
      </c>
      <c r="X92" s="534">
        <f t="shared" si="57"/>
        <v>2204.0902362087777</v>
      </c>
      <c r="Y92" s="21"/>
      <c r="Z92" s="21"/>
      <c r="AA92" s="21"/>
    </row>
    <row r="93" spans="1:27" ht="15.75" customHeight="1">
      <c r="B93" s="47" t="s">
        <v>54</v>
      </c>
      <c r="C93" s="523">
        <f t="shared" ref="C93:F93" si="63">+C52+C12</f>
        <v>2978.5746839234289</v>
      </c>
      <c r="D93" s="523">
        <f t="shared" si="63"/>
        <v>5.9706372426299864E-2</v>
      </c>
      <c r="E93" s="523">
        <f t="shared" si="63"/>
        <v>7.1520156158528941E-3</v>
      </c>
      <c r="F93" s="523">
        <f t="shared" si="63"/>
        <v>4.563034265099479E-2</v>
      </c>
      <c r="G93" s="524" t="s">
        <v>56</v>
      </c>
      <c r="H93" s="89">
        <f>IF(SUM(H52,H12)=0,0,SUM(H52,H12))</f>
        <v>0</v>
      </c>
      <c r="I93" s="89">
        <f t="shared" ref="I93:K93" si="64">IF(SUM(I52,I12)=0,0,SUM(I52,I12))</f>
        <v>0</v>
      </c>
      <c r="J93" s="89">
        <f t="shared" si="64"/>
        <v>0</v>
      </c>
      <c r="K93" s="89">
        <f t="shared" si="64"/>
        <v>0</v>
      </c>
      <c r="L93" s="604"/>
      <c r="M93" s="21"/>
      <c r="N93" s="21"/>
      <c r="O93" s="47" t="s">
        <v>54</v>
      </c>
      <c r="P93" s="530">
        <f>+C93</f>
        <v>2978.5746839234289</v>
      </c>
      <c r="Q93" s="530">
        <f>+D93*$Q$81</f>
        <v>1.7792498983037359</v>
      </c>
      <c r="R93" s="530">
        <f>+E93*$Q$82</f>
        <v>1.9525002631278401</v>
      </c>
      <c r="S93" s="530">
        <f>+SUM(P93:R93)</f>
        <v>2982.3064340848605</v>
      </c>
      <c r="T93" s="277" t="s">
        <v>56</v>
      </c>
      <c r="U93" s="534">
        <f t="shared" si="54"/>
        <v>0</v>
      </c>
      <c r="V93" s="534">
        <f t="shared" si="55"/>
        <v>0</v>
      </c>
      <c r="W93" s="534">
        <f t="shared" si="56"/>
        <v>0</v>
      </c>
      <c r="X93" s="534">
        <f t="shared" si="57"/>
        <v>0</v>
      </c>
      <c r="Y93" s="21"/>
      <c r="Z93" s="21"/>
      <c r="AA93" s="21"/>
    </row>
    <row r="94" spans="1:27" ht="15.75" customHeight="1">
      <c r="B94" s="401" t="s">
        <v>55</v>
      </c>
      <c r="C94" s="400">
        <f t="shared" ref="C94:F94" si="65">+C53+C13</f>
        <v>195202.94246226599</v>
      </c>
      <c r="D94" s="400">
        <f t="shared" si="65"/>
        <v>3.9128982208395251</v>
      </c>
      <c r="E94" s="400">
        <f t="shared" si="65"/>
        <v>0.46871226707386132</v>
      </c>
      <c r="F94" s="400">
        <f t="shared" si="65"/>
        <v>2.9904159191009212</v>
      </c>
      <c r="G94" s="524" t="s">
        <v>58</v>
      </c>
      <c r="H94" s="523">
        <f t="shared" ref="H94:K94" si="66">+H53+H13</f>
        <v>4612.8172598356823</v>
      </c>
      <c r="I94" s="523">
        <f t="shared" si="66"/>
        <v>9.2465227323906635E-2</v>
      </c>
      <c r="J94" s="523">
        <f t="shared" si="66"/>
        <v>1.1076083219764804E-2</v>
      </c>
      <c r="K94" s="523">
        <f t="shared" si="66"/>
        <v>7.0666158981607718E-2</v>
      </c>
      <c r="L94" s="604"/>
      <c r="M94" s="21"/>
      <c r="N94" s="21"/>
      <c r="O94" s="468" t="s">
        <v>55</v>
      </c>
      <c r="P94" s="529">
        <f>+C94</f>
        <v>195202.94246226599</v>
      </c>
      <c r="Q94" s="529">
        <f>+D94*$Q$81</f>
        <v>116.60436698101785</v>
      </c>
      <c r="R94" s="529">
        <f>+E94*$Q$82</f>
        <v>127.95844891116414</v>
      </c>
      <c r="S94" s="529">
        <f>+SUM(P94:R94)</f>
        <v>195447.50527815818</v>
      </c>
      <c r="T94" s="277" t="s">
        <v>58</v>
      </c>
      <c r="U94" s="534">
        <f t="shared" si="54"/>
        <v>4612.8172598356823</v>
      </c>
      <c r="V94" s="534">
        <f t="shared" si="55"/>
        <v>2.755463774252418</v>
      </c>
      <c r="W94" s="534">
        <f t="shared" si="56"/>
        <v>3.0237707189957916</v>
      </c>
      <c r="X94" s="534">
        <f t="shared" si="57"/>
        <v>4618.59649432893</v>
      </c>
      <c r="Y94" s="21"/>
      <c r="Z94" s="21"/>
      <c r="AA94" s="21"/>
    </row>
    <row r="95" spans="1:27" ht="15.75" customHeight="1">
      <c r="B95" s="401" t="s">
        <v>57</v>
      </c>
      <c r="C95" s="400">
        <f t="shared" ref="C95:F96" si="67">+C54+C14</f>
        <v>355939.59640078741</v>
      </c>
      <c r="D95" s="400">
        <f t="shared" si="67"/>
        <v>7.1349099348346572</v>
      </c>
      <c r="E95" s="400">
        <f t="shared" si="67"/>
        <v>0.85466567801670423</v>
      </c>
      <c r="F95" s="400">
        <f t="shared" si="67"/>
        <v>5.4528247468453426</v>
      </c>
      <c r="G95" s="400" t="s">
        <v>60</v>
      </c>
      <c r="H95" s="400">
        <f t="shared" ref="H95:J95" si="68">+H54+H14</f>
        <v>837780.89761276601</v>
      </c>
      <c r="I95" s="400">
        <f t="shared" si="68"/>
        <v>16.793555170696369</v>
      </c>
      <c r="J95" s="400">
        <f t="shared" si="68"/>
        <v>2.0116407000737775</v>
      </c>
      <c r="K95" s="400">
        <f>+K54+K14</f>
        <v>12.834403525572716</v>
      </c>
      <c r="L95" s="604"/>
      <c r="M95" s="21"/>
      <c r="N95" s="21"/>
      <c r="O95" s="468" t="s">
        <v>57</v>
      </c>
      <c r="P95" s="529">
        <f>+C95</f>
        <v>355939.59640078741</v>
      </c>
      <c r="Q95" s="529">
        <f>+D95*$Q$81</f>
        <v>212.6203160580728</v>
      </c>
      <c r="R95" s="529">
        <f>+E95*$Q$82</f>
        <v>233.32373009856025</v>
      </c>
      <c r="S95" s="529">
        <f>+SUM(P95:R95)</f>
        <v>356385.54044694401</v>
      </c>
      <c r="T95" s="468" t="s">
        <v>60</v>
      </c>
      <c r="U95" s="533">
        <f t="shared" si="54"/>
        <v>837780.89761276601</v>
      </c>
      <c r="V95" s="533">
        <f t="shared" si="55"/>
        <v>500.44794408675182</v>
      </c>
      <c r="W95" s="533">
        <f t="shared" si="56"/>
        <v>549.17791112014129</v>
      </c>
      <c r="X95" s="533">
        <f t="shared" si="57"/>
        <v>838830.52346797287</v>
      </c>
      <c r="Y95" s="21"/>
      <c r="Z95" s="21"/>
      <c r="AA95" s="21"/>
    </row>
    <row r="96" spans="1:27" ht="15.75" customHeight="1">
      <c r="B96" s="401" t="s">
        <v>290</v>
      </c>
      <c r="C96" s="400">
        <f t="shared" si="67"/>
        <v>15914.573126809004</v>
      </c>
      <c r="D96" s="400">
        <f t="shared" si="67"/>
        <v>0.31901212188617023</v>
      </c>
      <c r="E96" s="400">
        <f t="shared" si="67"/>
        <v>3.8213336109015575E-2</v>
      </c>
      <c r="F96" s="400">
        <f t="shared" si="67"/>
        <v>0.24380366516916138</v>
      </c>
      <c r="G96" s="400" t="s">
        <v>273</v>
      </c>
      <c r="H96" s="400">
        <f t="shared" ref="H96:K96" si="69">+H55+H15</f>
        <v>3551.908041272939</v>
      </c>
      <c r="I96" s="400">
        <f t="shared" si="69"/>
        <v>7.119900181816731E-2</v>
      </c>
      <c r="J96" s="400">
        <f t="shared" si="69"/>
        <v>8.5286771268047786E-3</v>
      </c>
      <c r="K96" s="400">
        <f t="shared" si="69"/>
        <v>5.4413536065719956E-2</v>
      </c>
      <c r="L96" s="604"/>
      <c r="M96" s="21"/>
      <c r="N96" s="21"/>
      <c r="O96" s="468" t="s">
        <v>59</v>
      </c>
      <c r="P96" s="529">
        <f>+C96</f>
        <v>15914.573126809004</v>
      </c>
      <c r="Q96" s="529">
        <f>+D96*$Q$81</f>
        <v>9.5065612322078739</v>
      </c>
      <c r="R96" s="529">
        <f>+E96*$Q$82</f>
        <v>10.432240757761251</v>
      </c>
      <c r="S96" s="529">
        <f>+SUM(P96:R96)</f>
        <v>15934.511928798975</v>
      </c>
      <c r="T96" s="468" t="s">
        <v>273</v>
      </c>
      <c r="U96" s="533">
        <f t="shared" ref="U96" si="70">+H96</f>
        <v>3551.908041272939</v>
      </c>
      <c r="V96" s="533">
        <f t="shared" ref="V96" si="71">+I96*$Q$81</f>
        <v>2.1217302541813861</v>
      </c>
      <c r="W96" s="533">
        <f t="shared" ref="W96" si="72">+J96*$Q$82</f>
        <v>2.3283288556177046</v>
      </c>
      <c r="X96" s="533">
        <f t="shared" ref="X96" si="73">+SUM(U96:W96)</f>
        <v>3556.358100382738</v>
      </c>
      <c r="Y96" s="21"/>
      <c r="Z96" s="21"/>
      <c r="AA96" s="21"/>
    </row>
    <row r="97" spans="2:27" ht="15.75" customHeight="1">
      <c r="B97" s="116"/>
      <c r="C97" s="523"/>
      <c r="D97" s="523"/>
      <c r="E97" s="523"/>
      <c r="F97" s="525"/>
      <c r="G97" s="400" t="s">
        <v>61</v>
      </c>
      <c r="H97" s="400">
        <f t="shared" ref="H97:K97" si="74">+H56+H16</f>
        <v>284.89409322535232</v>
      </c>
      <c r="I97" s="400">
        <f t="shared" si="74"/>
        <v>5.7107827189882727E-3</v>
      </c>
      <c r="J97" s="668">
        <f t="shared" si="74"/>
        <v>6.8407450536981393E-4</v>
      </c>
      <c r="K97" s="668">
        <f t="shared" si="74"/>
        <v>4.3644415442333981E-3</v>
      </c>
      <c r="L97" s="604"/>
      <c r="M97" s="21"/>
      <c r="N97" s="21"/>
      <c r="O97" s="116"/>
      <c r="P97" s="531"/>
      <c r="Q97" s="531"/>
      <c r="R97" s="531"/>
      <c r="S97" s="531"/>
      <c r="T97" s="468" t="s">
        <v>61</v>
      </c>
      <c r="U97" s="533">
        <f t="shared" si="54"/>
        <v>284.89409322535232</v>
      </c>
      <c r="V97" s="536">
        <f>+I97*$Q$81</f>
        <v>0.17018132502585054</v>
      </c>
      <c r="W97" s="536">
        <f>+J97*$Q$82</f>
        <v>0.18675233996595919</v>
      </c>
      <c r="X97" s="533">
        <f t="shared" si="57"/>
        <v>285.25102689034412</v>
      </c>
      <c r="Y97" s="21"/>
      <c r="Z97" s="21"/>
      <c r="AA97" s="21"/>
    </row>
    <row r="98" spans="2:27" ht="15.75" customHeight="1">
      <c r="B98" s="116"/>
      <c r="C98" s="523"/>
      <c r="D98" s="523"/>
      <c r="E98" s="523"/>
      <c r="F98" s="525"/>
      <c r="G98" s="526" t="s">
        <v>62</v>
      </c>
      <c r="H98" s="400">
        <f>+H57+H17</f>
        <v>2246615.9270275957</v>
      </c>
      <c r="I98" s="400">
        <f t="shared" ref="I98:K98" si="75">+I57+I17</f>
        <v>45.034052012178734</v>
      </c>
      <c r="J98" s="400">
        <f t="shared" si="75"/>
        <v>5.3944701402485462</v>
      </c>
      <c r="K98" s="400">
        <f t="shared" si="75"/>
        <v>34.417083818230303</v>
      </c>
      <c r="L98" s="604"/>
      <c r="M98" s="21"/>
      <c r="N98" s="21"/>
      <c r="O98" s="116"/>
      <c r="P98" s="531"/>
      <c r="Q98" s="531"/>
      <c r="R98" s="531"/>
      <c r="S98" s="531"/>
      <c r="T98" s="468" t="s">
        <v>62</v>
      </c>
      <c r="U98" s="533">
        <f t="shared" si="54"/>
        <v>2246615.9270275957</v>
      </c>
      <c r="V98" s="533">
        <f t="shared" si="55"/>
        <v>1342.0147499629263</v>
      </c>
      <c r="W98" s="533">
        <f t="shared" si="56"/>
        <v>1472.6903482878531</v>
      </c>
      <c r="X98" s="533">
        <f t="shared" si="57"/>
        <v>2249430.6321258466</v>
      </c>
      <c r="Y98" s="21"/>
      <c r="Z98" s="21"/>
      <c r="AA98" s="21"/>
    </row>
    <row r="99" spans="2:27" ht="15.75" customHeight="1">
      <c r="B99" s="45"/>
      <c r="C99" s="508"/>
      <c r="D99" s="508"/>
      <c r="E99" s="508"/>
      <c r="F99" s="508"/>
      <c r="G99" s="400"/>
      <c r="H99" s="400"/>
      <c r="I99" s="400"/>
      <c r="J99" s="400"/>
      <c r="K99" s="400"/>
      <c r="L99" s="604"/>
      <c r="M99" s="21"/>
      <c r="N99" s="21"/>
      <c r="O99" s="45"/>
      <c r="P99" s="531"/>
      <c r="Q99" s="531"/>
      <c r="R99" s="531"/>
      <c r="S99" s="531"/>
      <c r="T99" s="468"/>
      <c r="U99" s="533"/>
      <c r="V99" s="533"/>
      <c r="W99" s="533"/>
      <c r="X99" s="533"/>
      <c r="Y99" s="21"/>
      <c r="Z99" s="21"/>
      <c r="AA99" s="21"/>
    </row>
    <row r="100" spans="2:27" ht="15.75" customHeight="1">
      <c r="B100" s="118" t="s">
        <v>63</v>
      </c>
      <c r="C100" s="527">
        <f>SUM(C88,C91,C94:C96)</f>
        <v>891161.11121603218</v>
      </c>
      <c r="D100" s="527">
        <f t="shared" ref="D100:F100" si="76">SUM(D88,D91,D94:D96)</f>
        <v>17.86357665808573</v>
      </c>
      <c r="E100" s="527">
        <f t="shared" si="76"/>
        <v>2.1398147973454429</v>
      </c>
      <c r="F100" s="527">
        <f t="shared" si="76"/>
        <v>13.652162922591396</v>
      </c>
      <c r="G100" s="528" t="s">
        <v>63</v>
      </c>
      <c r="H100" s="527">
        <f>SUM(H88,H95:H99)</f>
        <v>4711407.7962185135</v>
      </c>
      <c r="I100" s="527">
        <f t="shared" ref="I100:K100" si="77">SUM(I88,I95:I99)</f>
        <v>94.441502525181164</v>
      </c>
      <c r="J100" s="527">
        <f t="shared" si="77"/>
        <v>11.312814250747895</v>
      </c>
      <c r="K100" s="527">
        <f t="shared" si="77"/>
        <v>72.176518947256852</v>
      </c>
      <c r="L100" s="467"/>
      <c r="M100" s="21"/>
      <c r="N100" s="21"/>
      <c r="O100" s="118" t="s">
        <v>63</v>
      </c>
      <c r="P100" s="532">
        <f>+SUM(P94:P96,P91,P88)</f>
        <v>891161.11121603218</v>
      </c>
      <c r="Q100" s="532">
        <f>+SUM(Q94:Q96,Q91,Q88)</f>
        <v>532.33458441095479</v>
      </c>
      <c r="R100" s="532">
        <f>+SUM(R94:R96,R91,R88)</f>
        <v>584.16943967530597</v>
      </c>
      <c r="S100" s="532">
        <f>+SUM(S94:S96,S91,S88)</f>
        <v>892277.61524011847</v>
      </c>
      <c r="T100" s="118" t="s">
        <v>63</v>
      </c>
      <c r="U100" s="532">
        <f>+SUM(U95:U99,U88)</f>
        <v>4711407.7962185135</v>
      </c>
      <c r="V100" s="532">
        <f t="shared" ref="V100:X100" si="78">+SUM(V95:V99,V88)</f>
        <v>2814.3567752503991</v>
      </c>
      <c r="W100" s="532">
        <f t="shared" si="78"/>
        <v>3088.3982904541754</v>
      </c>
      <c r="X100" s="532">
        <f t="shared" si="78"/>
        <v>4717310.5512842182</v>
      </c>
      <c r="Y100" s="21"/>
      <c r="Z100" s="21"/>
      <c r="AA100" s="21"/>
    </row>
    <row r="101" spans="2:27" ht="15.75" customHeight="1">
      <c r="C101" s="464">
        <f>+C19+C59</f>
        <v>891161.11121603218</v>
      </c>
      <c r="D101" s="464">
        <f t="shared" ref="D101:K101" si="79">+D19+D59</f>
        <v>17.863576658085726</v>
      </c>
      <c r="E101" s="464">
        <f t="shared" si="79"/>
        <v>2.1398147973454433</v>
      </c>
      <c r="F101" s="464">
        <f t="shared" si="79"/>
        <v>13.652162922591394</v>
      </c>
      <c r="G101" s="464"/>
      <c r="H101" s="464">
        <f t="shared" si="79"/>
        <v>4711407.7962185126</v>
      </c>
      <c r="I101" s="464">
        <f t="shared" si="79"/>
        <v>94.441502525181164</v>
      </c>
      <c r="J101" s="464">
        <f t="shared" si="79"/>
        <v>11.312814250747897</v>
      </c>
      <c r="K101" s="464">
        <f t="shared" si="79"/>
        <v>72.176518947256866</v>
      </c>
      <c r="L101" s="36"/>
      <c r="M101" s="21"/>
      <c r="N101" s="21"/>
      <c r="O101" s="21"/>
      <c r="P101" s="21" t="b">
        <f>+P100=C100</f>
        <v>1</v>
      </c>
      <c r="Q101" s="21" t="b">
        <f>+Q100=D100*Q81</f>
        <v>1</v>
      </c>
      <c r="R101" s="21" t="b">
        <f>+R100=E100*Q82</f>
        <v>1</v>
      </c>
      <c r="S101" s="21"/>
      <c r="T101" s="21"/>
      <c r="U101" s="21" t="b">
        <f>+U100=H100</f>
        <v>1</v>
      </c>
      <c r="V101" s="21" t="b">
        <f>+V100=I100*Q81</f>
        <v>1</v>
      </c>
      <c r="W101" s="21" t="b">
        <f>+W100=J100*Q82</f>
        <v>1</v>
      </c>
      <c r="X101" s="21"/>
      <c r="Y101" s="21"/>
      <c r="Z101" s="21"/>
      <c r="AA101" s="21"/>
    </row>
    <row r="102" spans="2:27" ht="15.75" customHeight="1">
      <c r="C102" s="17"/>
      <c r="D102" s="38"/>
      <c r="E102" s="240"/>
      <c r="F102" s="39"/>
      <c r="G102" s="36"/>
      <c r="H102" s="36"/>
      <c r="I102" s="36"/>
      <c r="J102" s="36"/>
      <c r="K102" s="36"/>
      <c r="L102" s="36"/>
      <c r="M102" s="21"/>
      <c r="N102" s="21"/>
      <c r="P102" s="21"/>
      <c r="Q102" s="21"/>
      <c r="R102" s="21"/>
      <c r="S102" s="21"/>
      <c r="T102" s="21"/>
      <c r="U102" s="21"/>
      <c r="V102" s="21"/>
      <c r="W102" s="21"/>
      <c r="X102" s="21"/>
      <c r="Y102" s="21"/>
      <c r="Z102" s="21"/>
      <c r="AA102" s="21"/>
    </row>
    <row r="103" spans="2:27" ht="15.75">
      <c r="B103" s="462" t="s">
        <v>13</v>
      </c>
      <c r="C103" s="216"/>
      <c r="D103" s="216"/>
      <c r="E103" s="216"/>
      <c r="F103" s="216"/>
      <c r="G103" s="215"/>
      <c r="H103" s="216"/>
      <c r="I103" s="216"/>
      <c r="J103" s="216"/>
      <c r="K103" s="216"/>
      <c r="L103" s="36"/>
      <c r="M103" s="21"/>
      <c r="N103" s="21"/>
      <c r="O103" s="585" t="s">
        <v>247</v>
      </c>
      <c r="P103" s="586">
        <f>+P88+P91+P94</f>
        <v>519306.94168843585</v>
      </c>
      <c r="Q103" s="586">
        <f t="shared" ref="Q103:S103" si="80">+Q88+Q91+Q94</f>
        <v>310.20770712067406</v>
      </c>
      <c r="R103" s="586">
        <f t="shared" si="80"/>
        <v>340.41346881898448</v>
      </c>
      <c r="S103" s="586">
        <f t="shared" si="80"/>
        <v>519957.56286437548</v>
      </c>
      <c r="T103" s="21"/>
      <c r="U103" s="21"/>
      <c r="V103" s="21"/>
      <c r="W103" s="21"/>
      <c r="X103" s="21"/>
      <c r="Y103" s="21"/>
      <c r="Z103" s="21"/>
      <c r="AA103" s="21"/>
    </row>
    <row r="104" spans="2:27" ht="15.75">
      <c r="B104" s="357" t="s">
        <v>35</v>
      </c>
      <c r="C104" s="463" t="s">
        <v>41</v>
      </c>
      <c r="D104" s="463" t="s">
        <v>42</v>
      </c>
      <c r="E104" s="463" t="s">
        <v>43</v>
      </c>
      <c r="F104" s="463" t="s">
        <v>126</v>
      </c>
      <c r="G104" s="381" t="s">
        <v>36</v>
      </c>
      <c r="H104" s="463" t="s">
        <v>41</v>
      </c>
      <c r="I104" s="463" t="s">
        <v>42</v>
      </c>
      <c r="J104" s="463" t="s">
        <v>43</v>
      </c>
      <c r="K104" s="463" t="s">
        <v>126</v>
      </c>
      <c r="L104" s="36"/>
      <c r="M104" s="21"/>
      <c r="N104" s="21"/>
      <c r="O104" s="21"/>
      <c r="P104" s="21"/>
      <c r="Q104" s="21"/>
      <c r="R104" s="21"/>
      <c r="S104" s="21"/>
      <c r="T104" s="21"/>
      <c r="U104" s="21"/>
      <c r="V104" s="21"/>
      <c r="W104" s="21"/>
      <c r="X104" s="21"/>
      <c r="Y104" s="21"/>
      <c r="Z104" s="21"/>
      <c r="AA104" s="21"/>
    </row>
    <row r="105" spans="2:27" ht="15.75">
      <c r="B105" s="447" t="s">
        <v>157</v>
      </c>
      <c r="C105" s="398">
        <f>+C106+C107</f>
        <v>451365.75738410495</v>
      </c>
      <c r="D105" s="398">
        <f>+D106+D107</f>
        <v>9.0477543357603682</v>
      </c>
      <c r="E105" s="398">
        <f>+E106+E107</f>
        <v>1.0837985573086857</v>
      </c>
      <c r="F105" s="398">
        <f>+F106+F107</f>
        <v>6.9147079915529002</v>
      </c>
      <c r="G105" s="167" t="s">
        <v>45</v>
      </c>
      <c r="H105" s="88">
        <f>+H64+H23</f>
        <v>1733866.8277601656</v>
      </c>
      <c r="I105" s="88">
        <f t="shared" ref="H105:I107" si="81">+I64+I23</f>
        <v>34.755851217903135</v>
      </c>
      <c r="J105" s="88">
        <f t="shared" ref="J105:K105" si="82">+J64+J23</f>
        <v>4.1632807446062383</v>
      </c>
      <c r="K105" s="88">
        <f t="shared" si="82"/>
        <v>26.562012323852677</v>
      </c>
      <c r="L105" s="36"/>
      <c r="M105" s="21"/>
      <c r="N105" s="21"/>
      <c r="O105" s="21"/>
      <c r="P105" s="21"/>
      <c r="Q105" s="21"/>
      <c r="R105" s="21"/>
      <c r="S105" s="21"/>
      <c r="T105" s="21"/>
      <c r="U105" s="21"/>
      <c r="V105" s="21"/>
      <c r="W105" s="21"/>
      <c r="X105" s="21"/>
      <c r="Y105" s="21"/>
      <c r="Z105" s="21"/>
      <c r="AA105" s="21"/>
    </row>
    <row r="106" spans="2:27" ht="15.75">
      <c r="B106" s="217" t="s">
        <v>44</v>
      </c>
      <c r="C106" s="89">
        <f>+C24+C65</f>
        <v>162675.84636372031</v>
      </c>
      <c r="D106" s="89">
        <f t="shared" ref="D106:F106" si="83">+D24+D65</f>
        <v>3.2608833749174213</v>
      </c>
      <c r="E106" s="89">
        <f t="shared" si="83"/>
        <v>0.39060971000494926</v>
      </c>
      <c r="F106" s="89">
        <f t="shared" si="83"/>
        <v>2.4921163302306395</v>
      </c>
      <c r="G106" s="167" t="s">
        <v>60</v>
      </c>
      <c r="H106" s="88">
        <f t="shared" si="81"/>
        <v>638381.30809243815</v>
      </c>
      <c r="I106" s="88">
        <f t="shared" si="81"/>
        <v>12.796533971996729</v>
      </c>
      <c r="J106" s="88">
        <f t="shared" ref="J106:K107" si="84">+J65+J24</f>
        <v>1.5328516383989674</v>
      </c>
      <c r="K106" s="88">
        <f t="shared" si="84"/>
        <v>9.7796969763666546</v>
      </c>
      <c r="L106" s="36"/>
      <c r="M106" s="21"/>
      <c r="N106" s="21"/>
      <c r="O106" s="21"/>
      <c r="P106" s="21"/>
      <c r="Q106" s="21"/>
      <c r="R106" s="21"/>
      <c r="S106" s="21"/>
      <c r="T106" s="21"/>
      <c r="U106" s="21"/>
      <c r="V106" s="21"/>
      <c r="W106" s="21"/>
      <c r="X106" s="21"/>
      <c r="Y106" s="21"/>
      <c r="Z106" s="21"/>
      <c r="AA106" s="21"/>
    </row>
    <row r="107" spans="2:27" ht="15.75">
      <c r="B107" s="217" t="s">
        <v>55</v>
      </c>
      <c r="C107" s="89">
        <f>+C25+C66</f>
        <v>288689.91102038464</v>
      </c>
      <c r="D107" s="89">
        <f t="shared" ref="D107:F108" si="85">+D25+D66</f>
        <v>5.7868709608429469</v>
      </c>
      <c r="E107" s="89">
        <f t="shared" si="85"/>
        <v>0.69318884730373653</v>
      </c>
      <c r="F107" s="89">
        <f t="shared" si="85"/>
        <v>4.4225916613222607</v>
      </c>
      <c r="G107" s="167" t="s">
        <v>273</v>
      </c>
      <c r="H107" s="88">
        <f t="shared" si="81"/>
        <v>10719.151053127265</v>
      </c>
      <c r="I107" s="88">
        <f t="shared" si="81"/>
        <v>0.21486841620125496</v>
      </c>
      <c r="J107" s="88">
        <f t="shared" si="84"/>
        <v>2.5738329186250145E-2</v>
      </c>
      <c r="K107" s="88">
        <f t="shared" si="84"/>
        <v>0.16421227848404779</v>
      </c>
      <c r="L107" s="36"/>
      <c r="M107" s="21"/>
      <c r="N107" s="21"/>
      <c r="O107" s="21"/>
      <c r="P107" s="21"/>
      <c r="Q107" s="21"/>
      <c r="R107" s="21"/>
      <c r="S107" s="21"/>
      <c r="T107" s="21"/>
      <c r="U107" s="21"/>
      <c r="V107" s="21"/>
      <c r="W107" s="21"/>
      <c r="X107" s="21"/>
      <c r="Y107" s="21"/>
      <c r="Z107" s="21"/>
      <c r="AA107" s="21"/>
    </row>
    <row r="108" spans="2:27" ht="15.75">
      <c r="B108" s="686" t="s">
        <v>337</v>
      </c>
      <c r="C108" s="398">
        <f>+C26+C67</f>
        <v>547.47198072453614</v>
      </c>
      <c r="D108" s="398">
        <f t="shared" si="85"/>
        <v>1.0974230779080751E-2</v>
      </c>
      <c r="E108" s="398">
        <f t="shared" si="85"/>
        <v>1.314564370844043E-3</v>
      </c>
      <c r="F108" s="398">
        <f t="shared" si="85"/>
        <v>8.3870094670158019E-3</v>
      </c>
      <c r="G108" s="167" t="s">
        <v>61</v>
      </c>
      <c r="H108" s="88">
        <f>+H67+H26</f>
        <v>32539.198711997393</v>
      </c>
      <c r="I108" s="88">
        <f t="shared" ref="I108:K108" si="86">+I67+I26</f>
        <v>0.65225744623358151</v>
      </c>
      <c r="J108" s="88">
        <f t="shared" si="86"/>
        <v>7.8131617303952183E-2</v>
      </c>
      <c r="K108" s="88">
        <f t="shared" si="86"/>
        <v>0.49848499513246336</v>
      </c>
      <c r="L108" s="36"/>
      <c r="M108" s="21"/>
      <c r="N108" s="21"/>
      <c r="O108" s="21"/>
      <c r="P108" s="21"/>
      <c r="Q108" s="21"/>
      <c r="R108" s="21"/>
      <c r="S108" s="21"/>
      <c r="T108" s="21"/>
      <c r="U108" s="21"/>
      <c r="V108" s="21"/>
      <c r="W108" s="21"/>
      <c r="X108" s="21"/>
      <c r="Y108" s="21"/>
      <c r="Z108" s="21"/>
      <c r="AA108" s="21"/>
    </row>
    <row r="109" spans="2:27" ht="15.75">
      <c r="B109" s="164"/>
      <c r="C109" s="88"/>
      <c r="D109" s="88"/>
      <c r="E109" s="88"/>
      <c r="F109" s="88"/>
      <c r="G109" s="439" t="s">
        <v>62</v>
      </c>
      <c r="H109" s="398">
        <f>+H110+H111</f>
        <v>3168469.5369696049</v>
      </c>
      <c r="I109" s="398">
        <f t="shared" ref="I109" si="87">+I110+I111</f>
        <v>63.512868492692903</v>
      </c>
      <c r="J109" s="398">
        <f t="shared" ref="J109" si="88">+J110+J111</f>
        <v>7.6079823443981676</v>
      </c>
      <c r="K109" s="398">
        <f t="shared" ref="K109" si="89">+K110+K111</f>
        <v>48.539441173494708</v>
      </c>
      <c r="L109" s="36"/>
      <c r="M109" s="21"/>
      <c r="N109" s="21"/>
      <c r="O109" s="21"/>
      <c r="P109" s="21"/>
      <c r="Q109" s="21"/>
      <c r="R109" s="21"/>
      <c r="S109" s="21"/>
      <c r="T109" s="21"/>
      <c r="U109" s="21"/>
      <c r="V109" s="21"/>
      <c r="W109" s="21"/>
      <c r="X109" s="21"/>
      <c r="Y109" s="21"/>
      <c r="Z109" s="21"/>
      <c r="AA109" s="21"/>
    </row>
    <row r="110" spans="2:27" ht="15.75">
      <c r="B110" s="164"/>
      <c r="C110" s="88"/>
      <c r="D110" s="88"/>
      <c r="E110" s="88"/>
      <c r="F110" s="88"/>
      <c r="G110" s="170" t="s">
        <v>158</v>
      </c>
      <c r="H110" s="89">
        <f>+H28+H69</f>
        <v>2266673.7453381578</v>
      </c>
      <c r="I110" s="89">
        <f t="shared" ref="I110:K110" si="90">+I28+I69</f>
        <v>45.436116656242646</v>
      </c>
      <c r="J110" s="89">
        <f t="shared" si="90"/>
        <v>5.442632044850555</v>
      </c>
      <c r="K110" s="89">
        <f t="shared" si="90"/>
        <v>34.724360022275917</v>
      </c>
      <c r="L110" s="36"/>
      <c r="M110" s="21"/>
      <c r="N110" s="21"/>
      <c r="O110" s="21"/>
      <c r="P110" s="21"/>
      <c r="Q110" s="21"/>
      <c r="R110" s="21"/>
      <c r="S110" s="21"/>
      <c r="T110" s="21"/>
      <c r="U110" s="21"/>
      <c r="V110" s="21"/>
      <c r="W110" s="21"/>
      <c r="X110" s="21"/>
      <c r="Y110" s="21"/>
      <c r="Z110" s="21"/>
      <c r="AA110" s="21"/>
    </row>
    <row r="111" spans="2:27" ht="15.75">
      <c r="B111" s="164"/>
      <c r="C111" s="88"/>
      <c r="D111" s="88"/>
      <c r="E111" s="88"/>
      <c r="F111" s="88"/>
      <c r="G111" s="170" t="s">
        <v>159</v>
      </c>
      <c r="H111" s="89">
        <f>+H29+H70</f>
        <v>901795.79163144703</v>
      </c>
      <c r="I111" s="89">
        <f t="shared" ref="I111:K111" si="91">+I29+I70</f>
        <v>18.076751836450256</v>
      </c>
      <c r="J111" s="89">
        <f t="shared" si="91"/>
        <v>2.1653502995476126</v>
      </c>
      <c r="K111" s="89">
        <f t="shared" si="91"/>
        <v>13.815081151218788</v>
      </c>
      <c r="L111" s="36"/>
      <c r="M111" s="21"/>
      <c r="N111" s="21"/>
      <c r="O111" s="21"/>
      <c r="P111" s="21"/>
      <c r="Q111" s="21"/>
      <c r="R111" s="21"/>
      <c r="S111" s="21"/>
      <c r="T111" s="21"/>
      <c r="U111" s="21"/>
      <c r="V111" s="21"/>
      <c r="W111" s="21"/>
      <c r="X111" s="21"/>
      <c r="Y111" s="21"/>
      <c r="Z111" s="21"/>
      <c r="AA111" s="21"/>
    </row>
    <row r="112" spans="2:27" ht="15.75">
      <c r="B112" s="165" t="s">
        <v>63</v>
      </c>
      <c r="C112" s="90">
        <f>SUM(C105,C108)</f>
        <v>451913.22936482949</v>
      </c>
      <c r="D112" s="90">
        <f t="shared" ref="D112:F112" si="92">SUM(D105,D108)</f>
        <v>9.0587285665394486</v>
      </c>
      <c r="E112" s="90">
        <f t="shared" si="92"/>
        <v>1.0851131216795298</v>
      </c>
      <c r="F112" s="90">
        <f t="shared" si="92"/>
        <v>6.9230950010199157</v>
      </c>
      <c r="G112" s="174" t="s">
        <v>63</v>
      </c>
      <c r="H112" s="90">
        <f>SUM(H105:H109)</f>
        <v>5583976.0225873329</v>
      </c>
      <c r="I112" s="90">
        <f t="shared" ref="I112:K112" si="93">SUM(I105:I109)</f>
        <v>111.9323795450276</v>
      </c>
      <c r="J112" s="90">
        <f t="shared" si="93"/>
        <v>13.407984673893576</v>
      </c>
      <c r="K112" s="90">
        <f t="shared" si="93"/>
        <v>85.54384774733056</v>
      </c>
      <c r="L112" s="36"/>
      <c r="M112" s="21"/>
      <c r="N112" s="21"/>
      <c r="O112" s="21"/>
      <c r="P112" s="21"/>
      <c r="Q112" s="21"/>
      <c r="R112" s="21"/>
      <c r="S112" s="21"/>
      <c r="T112" s="21"/>
      <c r="U112" s="21"/>
      <c r="V112" s="21"/>
      <c r="W112" s="21"/>
      <c r="X112" s="21"/>
      <c r="Y112" s="21"/>
      <c r="Z112" s="21"/>
      <c r="AA112" s="21"/>
    </row>
    <row r="113" spans="2:27">
      <c r="C113" s="464">
        <f>+C30+C71</f>
        <v>451913.22936482949</v>
      </c>
      <c r="D113" s="464">
        <f t="shared" ref="D113:K113" si="94">+D30+D71</f>
        <v>9.0587285665394504</v>
      </c>
      <c r="E113" s="464">
        <f t="shared" si="94"/>
        <v>1.0851131216795298</v>
      </c>
      <c r="F113" s="464">
        <f t="shared" si="94"/>
        <v>6.9230950010199166</v>
      </c>
      <c r="G113" s="464"/>
      <c r="H113" s="464">
        <f t="shared" si="94"/>
        <v>5583976.0225873329</v>
      </c>
      <c r="I113" s="464">
        <f t="shared" si="94"/>
        <v>111.9323795450276</v>
      </c>
      <c r="J113" s="464">
        <f t="shared" si="94"/>
        <v>13.407984673893576</v>
      </c>
      <c r="K113" s="464">
        <f t="shared" si="94"/>
        <v>85.543847747330531</v>
      </c>
      <c r="L113" s="36"/>
      <c r="M113" s="21"/>
      <c r="N113" s="21"/>
      <c r="O113" s="21"/>
      <c r="P113" s="21"/>
      <c r="Q113" s="21"/>
      <c r="R113" s="21"/>
      <c r="S113" s="21"/>
      <c r="T113" s="21"/>
      <c r="U113" s="21"/>
      <c r="V113" s="21"/>
      <c r="W113" s="21"/>
      <c r="X113" s="21"/>
      <c r="Y113" s="21"/>
      <c r="Z113" s="21"/>
      <c r="AA113" s="21"/>
    </row>
    <row r="114" spans="2:27">
      <c r="C114" s="17"/>
      <c r="D114" s="38"/>
      <c r="E114" s="39"/>
      <c r="F114" s="39"/>
      <c r="G114" s="36"/>
      <c r="H114" s="36"/>
      <c r="I114" s="36"/>
      <c r="J114" s="36"/>
      <c r="K114" s="36"/>
      <c r="L114" s="36"/>
      <c r="M114" s="21"/>
      <c r="N114" s="21"/>
      <c r="O114" s="21"/>
      <c r="P114" s="21"/>
      <c r="Q114" s="21"/>
      <c r="R114" s="21"/>
      <c r="S114" s="21"/>
      <c r="T114" s="21"/>
      <c r="U114" s="21"/>
      <c r="V114" s="21"/>
      <c r="W114" s="21"/>
      <c r="X114" s="21"/>
      <c r="Y114" s="21"/>
      <c r="Z114" s="21"/>
      <c r="AA114" s="21"/>
    </row>
    <row r="115" spans="2:27" ht="15.75">
      <c r="B115" s="462" t="s">
        <v>168</v>
      </c>
      <c r="C115" s="216"/>
      <c r="D115" s="216"/>
      <c r="E115" s="216"/>
      <c r="F115" s="216"/>
      <c r="G115" s="215"/>
      <c r="H115" s="216"/>
      <c r="I115" s="216"/>
      <c r="J115" s="216"/>
      <c r="K115" s="216"/>
      <c r="L115" s="36"/>
      <c r="M115" s="21"/>
      <c r="N115" s="21"/>
      <c r="O115" s="21"/>
      <c r="P115" s="21"/>
      <c r="Q115" s="21"/>
      <c r="R115" s="21"/>
      <c r="S115" s="21"/>
      <c r="T115" s="21"/>
      <c r="U115" s="21"/>
      <c r="V115" s="21"/>
      <c r="W115" s="21"/>
      <c r="X115" s="21"/>
      <c r="Y115" s="21"/>
      <c r="Z115" s="21"/>
      <c r="AA115" s="21"/>
    </row>
    <row r="116" spans="2:27" ht="15.75">
      <c r="B116" s="357" t="s">
        <v>35</v>
      </c>
      <c r="C116" s="463" t="s">
        <v>41</v>
      </c>
      <c r="D116" s="463" t="s">
        <v>42</v>
      </c>
      <c r="E116" s="463" t="s">
        <v>43</v>
      </c>
      <c r="F116" s="463" t="s">
        <v>126</v>
      </c>
      <c r="G116" s="381" t="s">
        <v>36</v>
      </c>
      <c r="H116" s="463" t="s">
        <v>41</v>
      </c>
      <c r="I116" s="463" t="s">
        <v>42</v>
      </c>
      <c r="J116" s="463" t="s">
        <v>43</v>
      </c>
      <c r="K116" s="463" t="s">
        <v>126</v>
      </c>
      <c r="L116" s="36"/>
      <c r="M116" s="21"/>
      <c r="N116" s="21"/>
      <c r="O116" s="21"/>
      <c r="P116" s="21"/>
      <c r="Q116" s="21"/>
      <c r="R116" s="21"/>
      <c r="S116" s="21"/>
      <c r="T116" s="21"/>
      <c r="U116" s="21"/>
      <c r="V116" s="21"/>
      <c r="W116" s="21"/>
      <c r="X116" s="21"/>
      <c r="Y116" s="21"/>
      <c r="Z116" s="21"/>
      <c r="AA116" s="21"/>
    </row>
    <row r="117" spans="2:27" ht="15.75">
      <c r="B117" s="447" t="s">
        <v>157</v>
      </c>
      <c r="C117" s="398">
        <f>+C118+C119</f>
        <v>6197.5511761130992</v>
      </c>
      <c r="D117" s="398">
        <f t="shared" ref="D117:E117" si="95">+D118+D119</f>
        <v>0.12423166712900657</v>
      </c>
      <c r="E117" s="398">
        <f t="shared" si="95"/>
        <v>1.4881272922531771E-2</v>
      </c>
      <c r="F117" s="398">
        <f>+F118+F119</f>
        <v>9.4943526274322676E-2</v>
      </c>
      <c r="G117" s="167" t="s">
        <v>45</v>
      </c>
      <c r="H117" s="88">
        <f>+H75+H35</f>
        <v>24776.243843659711</v>
      </c>
      <c r="I117" s="88">
        <f t="shared" ref="I117:K117" si="96">+I75+I35</f>
        <v>0.49664681911074571</v>
      </c>
      <c r="J117" s="88">
        <f t="shared" si="96"/>
        <v>5.9491569517613183E-2</v>
      </c>
      <c r="K117" s="88">
        <f t="shared" si="96"/>
        <v>0.37956023137268297</v>
      </c>
      <c r="L117" s="36"/>
      <c r="M117" s="21"/>
      <c r="N117" s="21"/>
      <c r="O117" s="21"/>
      <c r="P117" s="21"/>
      <c r="Q117" s="21"/>
      <c r="R117" s="21"/>
      <c r="S117" s="21"/>
      <c r="T117" s="21"/>
      <c r="U117" s="21"/>
      <c r="V117" s="21"/>
      <c r="W117" s="21"/>
      <c r="X117" s="21"/>
      <c r="Y117" s="21"/>
      <c r="Z117" s="21"/>
      <c r="AA117" s="21"/>
    </row>
    <row r="118" spans="2:27" ht="15.75">
      <c r="B118" s="217" t="s">
        <v>44</v>
      </c>
      <c r="C118" s="89">
        <f>+C76+C36</f>
        <v>2840.0716196334829</v>
      </c>
      <c r="D118" s="89">
        <f t="shared" ref="D118:F118" si="97">+D76+D36</f>
        <v>5.693003930854619E-2</v>
      </c>
      <c r="E118" s="89">
        <f t="shared" si="97"/>
        <v>6.8194484709054419E-3</v>
      </c>
      <c r="F118" s="89">
        <f t="shared" si="97"/>
        <v>4.3508541805820651E-2</v>
      </c>
      <c r="G118" s="167" t="s">
        <v>60</v>
      </c>
      <c r="H118" s="88">
        <f>+H76+H36</f>
        <v>6987.107748091461</v>
      </c>
      <c r="I118" s="88">
        <f t="shared" ref="I118:K118" si="98">+I76+I36</f>
        <v>0.14005855204567988</v>
      </c>
      <c r="J118" s="88">
        <f t="shared" si="98"/>
        <v>1.677711960479468E-2</v>
      </c>
      <c r="K118" s="88">
        <f t="shared" si="98"/>
        <v>0.10703915614594339</v>
      </c>
      <c r="L118" s="36"/>
      <c r="M118" s="21"/>
      <c r="N118" s="21"/>
      <c r="O118" s="21"/>
      <c r="P118" s="21"/>
      <c r="Q118" s="21"/>
      <c r="R118" s="21"/>
      <c r="S118" s="21"/>
      <c r="T118" s="21"/>
      <c r="U118" s="21"/>
      <c r="V118" s="21"/>
      <c r="W118" s="21"/>
      <c r="X118" s="21"/>
      <c r="Y118" s="21"/>
      <c r="Z118" s="21"/>
      <c r="AA118" s="21"/>
    </row>
    <row r="119" spans="2:27" ht="15.75">
      <c r="B119" s="217" t="s">
        <v>55</v>
      </c>
      <c r="C119" s="89">
        <f>+C77+C37</f>
        <v>3357.4795564796163</v>
      </c>
      <c r="D119" s="89">
        <f t="shared" ref="D119:F119" si="99">+D77+D37</f>
        <v>6.7301627820460383E-2</v>
      </c>
      <c r="E119" s="89">
        <f t="shared" si="99"/>
        <v>8.0618244516263288E-3</v>
      </c>
      <c r="F119" s="89">
        <f t="shared" si="99"/>
        <v>5.1434984468502025E-2</v>
      </c>
      <c r="G119" s="167" t="s">
        <v>61</v>
      </c>
      <c r="H119" s="88">
        <f>+H77+H37</f>
        <v>2785.9750173547495</v>
      </c>
      <c r="I119" s="88">
        <f t="shared" ref="I119:K119" si="100">+I77+I37</f>
        <v>5.5845657607431022E-2</v>
      </c>
      <c r="J119" s="88">
        <f t="shared" si="100"/>
        <v>6.6895542143167669E-3</v>
      </c>
      <c r="K119" s="88">
        <f t="shared" si="100"/>
        <v>4.2679807676185975E-2</v>
      </c>
      <c r="L119" s="36"/>
      <c r="M119" s="21"/>
      <c r="N119" s="21"/>
      <c r="O119" s="21"/>
      <c r="P119" s="21"/>
      <c r="Q119" s="21"/>
      <c r="R119" s="21"/>
      <c r="S119" s="21"/>
      <c r="T119" s="21"/>
      <c r="U119" s="21"/>
      <c r="V119" s="21"/>
      <c r="W119" s="21"/>
      <c r="X119" s="21"/>
      <c r="Y119" s="21"/>
      <c r="Z119" s="21"/>
      <c r="AA119" s="21"/>
    </row>
    <row r="120" spans="2:27" ht="15.75">
      <c r="B120" s="164"/>
      <c r="C120" s="88"/>
      <c r="D120" s="88"/>
      <c r="E120" s="88"/>
      <c r="F120" s="88"/>
      <c r="G120" s="439" t="s">
        <v>62</v>
      </c>
      <c r="H120" s="398">
        <f>+H122+H121</f>
        <v>50531.239777082279</v>
      </c>
      <c r="I120" s="398">
        <f t="shared" ref="I120:K120" si="101">+I122+I121</f>
        <v>1.0129130008313372</v>
      </c>
      <c r="J120" s="398">
        <f t="shared" si="101"/>
        <v>0.12133327323458509</v>
      </c>
      <c r="K120" s="398">
        <f t="shared" si="101"/>
        <v>0.77411447765703101</v>
      </c>
      <c r="L120" s="36"/>
      <c r="M120" s="21"/>
      <c r="N120" s="21"/>
      <c r="O120" s="21"/>
      <c r="P120" s="21"/>
      <c r="Q120" s="21"/>
      <c r="R120" s="21"/>
      <c r="S120" s="21"/>
      <c r="T120" s="21"/>
      <c r="U120" s="21"/>
      <c r="V120" s="21"/>
      <c r="W120" s="21"/>
      <c r="X120" s="21"/>
      <c r="Y120" s="21"/>
      <c r="Z120" s="21"/>
      <c r="AA120" s="21"/>
    </row>
    <row r="121" spans="2:27" ht="15.75">
      <c r="B121" s="164"/>
      <c r="C121" s="88"/>
      <c r="D121" s="88"/>
      <c r="E121" s="88"/>
      <c r="F121" s="88"/>
      <c r="G121" s="170" t="s">
        <v>158</v>
      </c>
      <c r="H121" s="89">
        <f>+H79+H39</f>
        <v>38199.099437595811</v>
      </c>
      <c r="I121" s="89">
        <f t="shared" ref="I121:K121" si="102">+I79+I39</f>
        <v>0.76571175793589341</v>
      </c>
      <c r="J121" s="89">
        <f t="shared" si="102"/>
        <v>9.1721908859219312E-2</v>
      </c>
      <c r="K121" s="89">
        <f t="shared" si="102"/>
        <v>0.58519197309531945</v>
      </c>
      <c r="L121" s="36"/>
      <c r="M121" s="21"/>
      <c r="N121" s="21"/>
      <c r="O121" s="21"/>
      <c r="P121" s="21"/>
      <c r="Q121" s="21"/>
      <c r="R121" s="21"/>
      <c r="S121" s="21"/>
      <c r="T121" s="21"/>
      <c r="U121" s="21"/>
      <c r="V121" s="21"/>
      <c r="W121" s="21"/>
      <c r="X121" s="21"/>
      <c r="Y121" s="21"/>
      <c r="Z121" s="21"/>
      <c r="AA121" s="21"/>
    </row>
    <row r="122" spans="2:27" ht="15.75">
      <c r="B122" s="164"/>
      <c r="C122" s="88"/>
      <c r="D122" s="88"/>
      <c r="E122" s="88"/>
      <c r="F122" s="88"/>
      <c r="G122" s="170" t="s">
        <v>159</v>
      </c>
      <c r="H122" s="89">
        <f>+H80+H40</f>
        <v>12332.140339486468</v>
      </c>
      <c r="I122" s="89">
        <f t="shared" ref="I122:K122" si="103">+I80+I40</f>
        <v>0.24720124289544371</v>
      </c>
      <c r="J122" s="89">
        <f t="shared" si="103"/>
        <v>2.9611364375365785E-2</v>
      </c>
      <c r="K122" s="89">
        <f t="shared" si="103"/>
        <v>0.18892250456171161</v>
      </c>
      <c r="L122" s="36"/>
      <c r="M122" s="21"/>
      <c r="N122" s="21"/>
      <c r="O122" s="21"/>
      <c r="P122" s="21"/>
      <c r="Q122" s="21"/>
      <c r="R122" s="21"/>
      <c r="S122" s="21"/>
      <c r="T122" s="21"/>
      <c r="U122" s="21"/>
      <c r="V122" s="21"/>
      <c r="W122" s="21"/>
      <c r="X122" s="21"/>
      <c r="Y122" s="21"/>
      <c r="Z122" s="21"/>
      <c r="AA122" s="21"/>
    </row>
    <row r="123" spans="2:27" ht="15.75">
      <c r="B123" s="165" t="s">
        <v>63</v>
      </c>
      <c r="C123" s="90">
        <f>+C117</f>
        <v>6197.5511761130992</v>
      </c>
      <c r="D123" s="90">
        <f t="shared" ref="D123:E123" si="104">+D117</f>
        <v>0.12423166712900657</v>
      </c>
      <c r="E123" s="90">
        <f t="shared" si="104"/>
        <v>1.4881272922531771E-2</v>
      </c>
      <c r="F123" s="90">
        <f>+F117</f>
        <v>9.4943526274322676E-2</v>
      </c>
      <c r="G123" s="174" t="s">
        <v>63</v>
      </c>
      <c r="H123" s="90">
        <f>+H117+H118+H119+H120</f>
        <v>85080.566386188206</v>
      </c>
      <c r="I123" s="90">
        <f>+I117+I118+I119+I120</f>
        <v>1.7054640295951937</v>
      </c>
      <c r="J123" s="90">
        <f t="shared" ref="J123:K123" si="105">+J117+J118+J119+J120</f>
        <v>0.20429151657130973</v>
      </c>
      <c r="K123" s="90">
        <f t="shared" si="105"/>
        <v>1.3033936728518434</v>
      </c>
      <c r="L123" s="36"/>
      <c r="M123" s="21"/>
      <c r="N123" s="21"/>
      <c r="O123" s="21"/>
      <c r="P123" s="21"/>
      <c r="Q123" s="21"/>
      <c r="R123" s="21"/>
      <c r="S123" s="21"/>
      <c r="T123" s="21"/>
      <c r="U123" s="21"/>
      <c r="V123" s="21"/>
      <c r="W123" s="21"/>
      <c r="X123" s="21"/>
      <c r="Y123" s="21"/>
      <c r="Z123" s="21"/>
      <c r="AA123" s="21"/>
    </row>
    <row r="124" spans="2:27">
      <c r="C124" s="464">
        <f>+C41+C81</f>
        <v>6197.5511761130992</v>
      </c>
      <c r="D124" s="464">
        <f t="shared" ref="D124:K124" si="106">+D41+D81</f>
        <v>0.12423166712900657</v>
      </c>
      <c r="E124" s="464">
        <f t="shared" si="106"/>
        <v>1.4881272922531771E-2</v>
      </c>
      <c r="F124" s="464">
        <f t="shared" si="106"/>
        <v>9.4943526274322676E-2</v>
      </c>
      <c r="G124" s="17"/>
      <c r="H124" s="464">
        <f t="shared" si="106"/>
        <v>85080.566386188206</v>
      </c>
      <c r="I124" s="464">
        <f t="shared" si="106"/>
        <v>1.7054640295951937</v>
      </c>
      <c r="J124" s="464">
        <f t="shared" si="106"/>
        <v>0.20429151657130973</v>
      </c>
      <c r="K124" s="464">
        <f t="shared" si="106"/>
        <v>1.3033936728518434</v>
      </c>
      <c r="L124" s="36"/>
      <c r="M124" s="21"/>
      <c r="N124" s="21"/>
      <c r="O124" s="21"/>
      <c r="P124" s="21"/>
      <c r="Q124" s="21"/>
      <c r="R124" s="21"/>
      <c r="S124" s="21"/>
      <c r="T124" s="21"/>
      <c r="U124" s="21"/>
      <c r="V124" s="21"/>
      <c r="W124" s="21"/>
      <c r="X124" s="21"/>
      <c r="Y124" s="21"/>
      <c r="Z124" s="21"/>
      <c r="AA124" s="21"/>
    </row>
    <row r="125" spans="2:27">
      <c r="C125" s="17"/>
      <c r="D125" s="38"/>
      <c r="E125" s="39"/>
      <c r="F125" s="39"/>
      <c r="G125" s="36"/>
      <c r="H125" s="36"/>
      <c r="I125" s="36"/>
      <c r="J125" s="36"/>
      <c r="K125" s="36"/>
      <c r="L125" s="36"/>
      <c r="M125" s="21"/>
      <c r="N125" s="21"/>
      <c r="O125" s="21"/>
      <c r="P125" s="21"/>
      <c r="Q125" s="21"/>
      <c r="R125" s="21"/>
      <c r="S125" s="21"/>
      <c r="T125" s="21"/>
      <c r="U125" s="21"/>
      <c r="V125" s="21"/>
      <c r="W125" s="21"/>
      <c r="X125" s="21"/>
      <c r="Y125" s="21"/>
      <c r="Z125" s="21"/>
      <c r="AA125" s="21"/>
    </row>
    <row r="126" spans="2:27">
      <c r="C126" s="17"/>
      <c r="D126" s="38"/>
      <c r="E126" s="39"/>
      <c r="F126" s="39"/>
      <c r="G126" s="36"/>
      <c r="H126" s="36"/>
      <c r="I126" s="36"/>
      <c r="J126" s="36"/>
      <c r="K126" s="36"/>
      <c r="L126" s="36"/>
      <c r="M126" s="21"/>
      <c r="N126" s="21"/>
      <c r="O126" s="21"/>
      <c r="P126" s="21"/>
      <c r="Q126" s="21"/>
      <c r="R126" s="21"/>
      <c r="S126" s="21"/>
      <c r="T126" s="21"/>
      <c r="U126" s="21"/>
      <c r="V126" s="21"/>
      <c r="W126" s="21"/>
      <c r="X126" s="21"/>
      <c r="Y126" s="21"/>
      <c r="Z126" s="21"/>
      <c r="AA126" s="21"/>
    </row>
    <row r="127" spans="2:27">
      <c r="C127" s="17"/>
      <c r="D127" s="38"/>
      <c r="E127" s="39"/>
      <c r="F127" s="39"/>
      <c r="G127" s="36"/>
      <c r="H127" s="36"/>
      <c r="I127" s="36"/>
      <c r="J127" s="36"/>
      <c r="K127" s="36"/>
      <c r="L127" s="36"/>
      <c r="M127" s="21"/>
      <c r="N127" s="21"/>
      <c r="O127" s="21"/>
      <c r="P127" s="21"/>
      <c r="Q127" s="21"/>
      <c r="R127" s="21"/>
      <c r="S127" s="21"/>
      <c r="T127" s="21"/>
      <c r="U127" s="21"/>
      <c r="V127" s="21"/>
      <c r="W127" s="21"/>
      <c r="X127" s="21"/>
      <c r="Y127" s="21"/>
      <c r="Z127" s="21"/>
      <c r="AA127" s="21"/>
    </row>
    <row r="128" spans="2:27">
      <c r="C128" s="17"/>
      <c r="D128" s="38"/>
      <c r="E128" s="39"/>
      <c r="F128" s="39"/>
      <c r="G128" s="36"/>
      <c r="H128" s="36"/>
      <c r="I128" s="36"/>
      <c r="J128" s="36"/>
      <c r="K128" s="36"/>
      <c r="L128" s="36"/>
      <c r="M128" s="21"/>
      <c r="N128" s="21"/>
      <c r="O128" s="21"/>
      <c r="P128" s="21"/>
      <c r="Q128" s="21"/>
      <c r="R128" s="21"/>
      <c r="S128" s="21"/>
      <c r="T128" s="21"/>
      <c r="U128" s="21"/>
      <c r="V128" s="21"/>
      <c r="W128" s="21"/>
      <c r="X128" s="21"/>
      <c r="Y128" s="21"/>
      <c r="Z128" s="21"/>
      <c r="AA128" s="21"/>
    </row>
    <row r="129" spans="3:27">
      <c r="C129" s="17"/>
      <c r="D129" s="38"/>
      <c r="E129" s="39"/>
      <c r="F129" s="39"/>
      <c r="G129" s="36"/>
      <c r="H129" s="36"/>
      <c r="I129" s="36"/>
      <c r="J129" s="36"/>
      <c r="K129" s="36"/>
      <c r="L129" s="36"/>
      <c r="M129" s="21"/>
      <c r="N129" s="21"/>
      <c r="O129" s="21"/>
      <c r="P129" s="21"/>
      <c r="Q129" s="21"/>
      <c r="R129" s="21"/>
      <c r="S129" s="21"/>
      <c r="T129" s="21"/>
      <c r="U129" s="21"/>
      <c r="V129" s="21"/>
      <c r="W129" s="21"/>
      <c r="X129" s="21"/>
      <c r="Y129" s="21"/>
      <c r="Z129" s="21"/>
      <c r="AA129" s="21"/>
    </row>
    <row r="130" spans="3:27">
      <c r="C130" s="17"/>
      <c r="D130" s="38"/>
      <c r="E130" s="39"/>
      <c r="F130" s="39"/>
      <c r="G130" s="36"/>
      <c r="H130" s="36"/>
      <c r="I130" s="36"/>
      <c r="J130" s="36"/>
      <c r="K130" s="36"/>
      <c r="L130" s="36"/>
      <c r="M130" s="21"/>
      <c r="N130" s="21"/>
      <c r="O130" s="21"/>
      <c r="P130" s="21"/>
      <c r="Q130" s="21"/>
      <c r="R130" s="21"/>
      <c r="S130" s="21"/>
      <c r="T130" s="21"/>
      <c r="U130" s="21"/>
      <c r="V130" s="21"/>
      <c r="W130" s="21"/>
      <c r="X130" s="21"/>
      <c r="Y130" s="21"/>
      <c r="Z130" s="21"/>
      <c r="AA130" s="21"/>
    </row>
    <row r="131" spans="3:27" ht="32.25" customHeight="1">
      <c r="C131" s="40"/>
      <c r="D131" s="38"/>
      <c r="E131" s="38"/>
      <c r="F131" s="38"/>
      <c r="G131" s="36"/>
      <c r="H131" s="36"/>
      <c r="I131" s="36"/>
      <c r="J131" s="36"/>
      <c r="K131" s="36"/>
      <c r="L131" s="36"/>
      <c r="M131" s="21"/>
      <c r="N131" s="21"/>
      <c r="O131" s="21"/>
      <c r="P131" s="21"/>
      <c r="Q131" s="21"/>
      <c r="R131" s="21"/>
      <c r="S131" s="21"/>
      <c r="T131" s="21"/>
      <c r="U131" s="21"/>
      <c r="V131" s="21"/>
      <c r="W131" s="21"/>
      <c r="X131" s="21"/>
      <c r="Y131" s="21"/>
      <c r="Z131" s="21"/>
      <c r="AA131" s="21"/>
    </row>
    <row r="132" spans="3:27" ht="30.75" customHeight="1">
      <c r="C132" s="40"/>
      <c r="D132" s="38"/>
      <c r="E132" s="38"/>
      <c r="F132" s="38"/>
      <c r="G132" s="36"/>
      <c r="H132" s="36"/>
      <c r="I132" s="36"/>
      <c r="J132" s="36"/>
      <c r="K132" s="36"/>
      <c r="L132" s="36"/>
      <c r="M132" s="21"/>
      <c r="N132" s="21"/>
      <c r="O132" s="21"/>
      <c r="P132" s="21"/>
      <c r="Q132" s="21"/>
      <c r="R132" s="21"/>
      <c r="S132" s="21"/>
      <c r="T132" s="21"/>
      <c r="U132" s="21"/>
      <c r="V132" s="21"/>
      <c r="W132" s="21"/>
      <c r="X132" s="21"/>
      <c r="Y132" s="21"/>
      <c r="Z132" s="21"/>
      <c r="AA132" s="21"/>
    </row>
    <row r="133" spans="3:27" ht="30" customHeight="1">
      <c r="C133" s="40"/>
      <c r="D133" s="38"/>
      <c r="E133" s="38"/>
      <c r="F133" s="38"/>
      <c r="G133" s="36"/>
      <c r="H133" s="36"/>
      <c r="I133" s="36"/>
      <c r="J133" s="36"/>
      <c r="K133" s="36"/>
      <c r="L133" s="36"/>
      <c r="M133" s="21"/>
      <c r="N133" s="21"/>
      <c r="O133" s="21"/>
      <c r="P133" s="21"/>
      <c r="Q133" s="21"/>
      <c r="R133" s="21"/>
      <c r="S133" s="21"/>
      <c r="T133" s="21"/>
      <c r="U133" s="21"/>
      <c r="V133" s="21"/>
      <c r="W133" s="21"/>
      <c r="X133" s="21"/>
      <c r="Y133" s="21"/>
      <c r="Z133" s="21"/>
      <c r="AA133" s="21"/>
    </row>
    <row r="134" spans="3:27">
      <c r="C134" s="35"/>
      <c r="D134" s="36"/>
      <c r="G134" s="36"/>
      <c r="H134" s="36"/>
      <c r="I134" s="36"/>
      <c r="J134" s="36"/>
      <c r="K134" s="36"/>
      <c r="L134" s="36"/>
      <c r="M134" s="21"/>
      <c r="N134" s="21"/>
      <c r="O134" s="21"/>
      <c r="P134" s="21"/>
      <c r="Q134" s="21"/>
      <c r="R134" s="21"/>
      <c r="S134" s="21"/>
      <c r="T134" s="21"/>
      <c r="U134" s="21"/>
      <c r="V134" s="21"/>
      <c r="W134" s="21"/>
      <c r="X134" s="21"/>
      <c r="Y134" s="21"/>
      <c r="Z134" s="21"/>
      <c r="AA134" s="21"/>
    </row>
    <row r="135" spans="3:27">
      <c r="D135" s="36"/>
      <c r="E135" s="36"/>
      <c r="F135" s="36"/>
      <c r="G135" s="36"/>
      <c r="H135" s="36"/>
      <c r="I135" s="36"/>
      <c r="J135" s="36"/>
      <c r="K135" s="36"/>
      <c r="L135" s="36"/>
      <c r="M135" s="21"/>
      <c r="N135" s="21"/>
      <c r="O135" s="21"/>
      <c r="P135" s="21"/>
      <c r="Q135" s="21"/>
      <c r="R135" s="21"/>
      <c r="S135" s="21"/>
      <c r="T135" s="21"/>
      <c r="U135" s="21"/>
      <c r="V135" s="21"/>
      <c r="W135" s="21"/>
      <c r="X135" s="21"/>
      <c r="Y135" s="21"/>
      <c r="Z135" s="21"/>
      <c r="AA135" s="21"/>
    </row>
    <row r="136" spans="3:27" ht="15" customHeight="1">
      <c r="D136" s="36"/>
      <c r="G136" s="36"/>
      <c r="H136" s="36"/>
      <c r="I136" s="36"/>
      <c r="J136" s="36"/>
      <c r="K136" s="36"/>
      <c r="L136" s="36"/>
      <c r="M136" s="21"/>
      <c r="N136" s="21"/>
      <c r="O136" s="21"/>
      <c r="P136" s="21"/>
      <c r="Q136" s="21"/>
      <c r="R136" s="21"/>
      <c r="S136" s="21"/>
      <c r="T136" s="21"/>
      <c r="U136" s="21"/>
      <c r="V136" s="21"/>
      <c r="W136" s="21"/>
      <c r="X136" s="21"/>
      <c r="Y136" s="21"/>
      <c r="Z136" s="21"/>
      <c r="AA136" s="21"/>
    </row>
    <row r="137" spans="3:27">
      <c r="C137" s="760"/>
      <c r="D137" s="36"/>
      <c r="E137" s="36"/>
      <c r="F137" s="36"/>
      <c r="G137" s="36"/>
      <c r="H137" s="36"/>
      <c r="I137" s="36"/>
      <c r="J137" s="36"/>
      <c r="K137" s="36"/>
      <c r="L137" s="36"/>
      <c r="M137" s="21"/>
      <c r="N137" s="21"/>
      <c r="O137" s="21"/>
      <c r="P137" s="21"/>
      <c r="Q137" s="21"/>
      <c r="R137" s="21"/>
      <c r="S137" s="21"/>
      <c r="T137" s="21"/>
      <c r="U137" s="21"/>
      <c r="V137" s="21"/>
      <c r="W137" s="21"/>
      <c r="X137" s="21"/>
      <c r="Y137" s="21"/>
      <c r="Z137" s="21"/>
      <c r="AA137" s="21"/>
    </row>
    <row r="138" spans="3:27" ht="15" customHeight="1">
      <c r="C138" s="760"/>
      <c r="D138" s="36"/>
      <c r="E138" s="36"/>
      <c r="F138" s="36"/>
      <c r="G138" s="36"/>
      <c r="H138" s="36"/>
      <c r="I138" s="36"/>
      <c r="J138" s="36"/>
      <c r="K138" s="36"/>
      <c r="L138" s="36"/>
      <c r="M138" s="21"/>
      <c r="N138" s="21"/>
      <c r="O138" s="21"/>
      <c r="P138" s="21"/>
      <c r="Q138" s="21"/>
      <c r="R138" s="21"/>
      <c r="S138" s="21"/>
      <c r="T138" s="21"/>
      <c r="U138" s="21"/>
      <c r="V138" s="21"/>
      <c r="W138" s="21"/>
      <c r="X138" s="21"/>
      <c r="Y138" s="21"/>
      <c r="Z138" s="21"/>
      <c r="AA138" s="21"/>
    </row>
    <row r="139" spans="3:27">
      <c r="C139" s="760"/>
      <c r="D139" s="36"/>
      <c r="E139" s="36"/>
      <c r="F139" s="36"/>
      <c r="G139" s="36"/>
      <c r="H139" s="36"/>
      <c r="I139" s="36"/>
      <c r="J139" s="36"/>
      <c r="K139" s="36"/>
      <c r="L139" s="36"/>
      <c r="M139" s="21"/>
      <c r="N139" s="21"/>
      <c r="O139" s="21"/>
      <c r="P139" s="21"/>
      <c r="Q139" s="21"/>
      <c r="R139" s="21"/>
      <c r="S139" s="21"/>
      <c r="T139" s="21"/>
      <c r="U139" s="21"/>
      <c r="V139" s="21"/>
      <c r="W139" s="21"/>
      <c r="X139" s="21"/>
      <c r="Y139" s="21"/>
      <c r="Z139" s="21"/>
      <c r="AA139" s="21"/>
    </row>
    <row r="140" spans="3:27">
      <c r="C140" s="760"/>
      <c r="D140" s="36"/>
      <c r="E140" s="36"/>
      <c r="F140" s="36"/>
      <c r="G140" s="36"/>
      <c r="H140" s="36"/>
      <c r="I140" s="36"/>
      <c r="J140" s="36"/>
      <c r="K140" s="36"/>
      <c r="L140" s="36"/>
      <c r="M140" s="21"/>
      <c r="N140" s="21"/>
      <c r="O140" s="21"/>
      <c r="P140" s="21"/>
      <c r="Q140" s="21"/>
      <c r="R140" s="21"/>
      <c r="S140" s="21"/>
      <c r="T140" s="21"/>
      <c r="U140" s="21"/>
      <c r="V140" s="21"/>
      <c r="W140" s="21"/>
      <c r="X140" s="21"/>
      <c r="Y140" s="21"/>
      <c r="Z140" s="21"/>
      <c r="AA140" s="21"/>
    </row>
    <row r="141" spans="3:27" ht="21.75" customHeight="1">
      <c r="C141" s="760"/>
      <c r="D141" s="36"/>
      <c r="E141" s="36"/>
      <c r="F141" s="36"/>
      <c r="G141" s="36"/>
      <c r="H141" s="36"/>
      <c r="I141" s="36"/>
      <c r="J141" s="36"/>
      <c r="K141" s="36"/>
      <c r="L141" s="36"/>
      <c r="M141" s="21"/>
      <c r="N141" s="21"/>
      <c r="O141" s="21"/>
      <c r="P141" s="21"/>
      <c r="Q141" s="21"/>
      <c r="R141" s="21"/>
      <c r="S141" s="21"/>
      <c r="T141" s="21"/>
      <c r="U141" s="21"/>
      <c r="V141" s="21"/>
      <c r="W141" s="21"/>
      <c r="X141" s="21"/>
      <c r="Y141" s="21"/>
      <c r="Z141" s="21"/>
      <c r="AA141" s="21"/>
    </row>
    <row r="142" spans="3:27">
      <c r="C142" s="41"/>
      <c r="D142" s="36"/>
      <c r="E142" s="36"/>
      <c r="F142" s="36"/>
      <c r="G142" s="36"/>
      <c r="H142" s="36"/>
      <c r="I142" s="36"/>
      <c r="J142" s="36"/>
      <c r="K142" s="36"/>
      <c r="L142" s="36"/>
      <c r="M142" s="21"/>
      <c r="N142" s="21"/>
      <c r="O142" s="21"/>
      <c r="P142" s="21"/>
      <c r="Q142" s="21"/>
      <c r="R142" s="21"/>
      <c r="S142" s="21"/>
      <c r="T142" s="21"/>
      <c r="U142" s="21"/>
      <c r="V142" s="21"/>
      <c r="W142" s="21"/>
      <c r="X142" s="21"/>
      <c r="Y142" s="21"/>
      <c r="Z142" s="21"/>
      <c r="AA142" s="21"/>
    </row>
    <row r="143" spans="3:27">
      <c r="C143" s="42"/>
      <c r="D143" s="36"/>
      <c r="E143" s="36"/>
      <c r="F143" s="36"/>
      <c r="G143" s="36"/>
      <c r="H143" s="36"/>
      <c r="I143" s="36"/>
      <c r="J143" s="36"/>
      <c r="K143" s="36"/>
      <c r="L143" s="36"/>
      <c r="M143" s="21"/>
      <c r="N143" s="21"/>
      <c r="O143" s="21"/>
      <c r="P143" s="21"/>
      <c r="Q143" s="21"/>
      <c r="R143" s="21"/>
      <c r="S143" s="21"/>
      <c r="T143" s="21"/>
      <c r="U143" s="21"/>
      <c r="V143" s="21"/>
      <c r="W143" s="21"/>
      <c r="X143" s="21"/>
      <c r="Y143" s="21"/>
      <c r="Z143" s="21"/>
      <c r="AA143" s="21"/>
    </row>
    <row r="144" spans="3:27">
      <c r="C144" s="42"/>
      <c r="D144" s="36"/>
      <c r="E144" s="36"/>
      <c r="F144" s="36"/>
      <c r="G144" s="36"/>
      <c r="H144" s="36"/>
      <c r="I144" s="36"/>
      <c r="J144" s="36"/>
      <c r="K144" s="36"/>
      <c r="L144" s="36"/>
      <c r="M144" s="21"/>
      <c r="N144" s="21"/>
      <c r="O144" s="21"/>
      <c r="P144" s="21"/>
      <c r="Q144" s="21"/>
      <c r="R144" s="21"/>
      <c r="S144" s="21"/>
      <c r="T144" s="21"/>
      <c r="U144" s="21"/>
      <c r="V144" s="21"/>
      <c r="W144" s="21"/>
      <c r="X144" s="21"/>
      <c r="Y144" s="21"/>
      <c r="Z144" s="21"/>
      <c r="AA144" s="21"/>
    </row>
    <row r="145" spans="3:27">
      <c r="D145" s="36"/>
      <c r="E145" s="36"/>
      <c r="F145" s="36"/>
      <c r="G145" s="36"/>
      <c r="H145" s="36"/>
      <c r="I145" s="36"/>
      <c r="J145" s="36"/>
      <c r="K145" s="36"/>
      <c r="L145" s="36"/>
      <c r="M145" s="21"/>
      <c r="N145" s="21"/>
      <c r="O145" s="21"/>
      <c r="P145" s="21"/>
      <c r="Q145" s="21"/>
      <c r="R145" s="21"/>
      <c r="S145" s="21"/>
      <c r="T145" s="21"/>
      <c r="U145" s="21"/>
      <c r="V145" s="21"/>
      <c r="W145" s="21"/>
      <c r="X145" s="21"/>
      <c r="Y145" s="21"/>
      <c r="Z145" s="21"/>
      <c r="AA145" s="21"/>
    </row>
    <row r="146" spans="3:27">
      <c r="D146" s="36"/>
      <c r="E146" s="36"/>
      <c r="F146" s="36"/>
      <c r="G146" s="36"/>
      <c r="H146" s="36"/>
      <c r="I146" s="36"/>
      <c r="J146" s="36"/>
      <c r="K146" s="36"/>
      <c r="L146" s="36"/>
      <c r="M146" s="21"/>
      <c r="N146" s="21"/>
      <c r="O146" s="21"/>
      <c r="P146" s="21"/>
      <c r="Q146" s="21"/>
      <c r="R146" s="21"/>
      <c r="S146" s="21"/>
      <c r="T146" s="21"/>
      <c r="U146" s="21"/>
      <c r="V146" s="21"/>
      <c r="W146" s="21"/>
      <c r="X146" s="21"/>
      <c r="Y146" s="21"/>
      <c r="Z146" s="21"/>
      <c r="AA146" s="21"/>
    </row>
    <row r="147" spans="3:27">
      <c r="D147" s="36"/>
      <c r="E147" s="36"/>
      <c r="F147" s="36"/>
      <c r="G147" s="36"/>
      <c r="H147" s="36"/>
      <c r="I147" s="36"/>
      <c r="J147" s="36"/>
      <c r="K147" s="36"/>
      <c r="L147" s="36"/>
      <c r="M147" s="21"/>
      <c r="N147" s="21"/>
      <c r="O147" s="21"/>
      <c r="P147" s="21"/>
      <c r="Q147" s="21"/>
      <c r="R147" s="21"/>
      <c r="S147" s="21"/>
      <c r="T147" s="21"/>
      <c r="U147" s="21"/>
      <c r="V147" s="21"/>
      <c r="W147" s="21"/>
      <c r="X147" s="21"/>
      <c r="Y147" s="21"/>
      <c r="Z147" s="21"/>
      <c r="AA147" s="21"/>
    </row>
    <row r="148" spans="3:27">
      <c r="D148" s="36"/>
      <c r="E148" s="36"/>
      <c r="F148" s="36"/>
      <c r="G148" s="36"/>
      <c r="H148" s="36"/>
      <c r="I148" s="36"/>
      <c r="J148" s="36"/>
      <c r="K148" s="36"/>
      <c r="L148" s="36"/>
      <c r="M148" s="21"/>
      <c r="N148" s="21"/>
      <c r="O148" s="21"/>
      <c r="P148" s="21"/>
      <c r="Q148" s="21"/>
      <c r="R148" s="21"/>
      <c r="S148" s="21"/>
      <c r="T148" s="21"/>
      <c r="U148" s="21"/>
      <c r="V148" s="21"/>
      <c r="W148" s="21"/>
      <c r="X148" s="21"/>
      <c r="Y148" s="21"/>
      <c r="Z148" s="21"/>
      <c r="AA148" s="21"/>
    </row>
    <row r="149" spans="3:27">
      <c r="C149" s="13"/>
      <c r="D149" s="36"/>
      <c r="E149" s="36"/>
      <c r="F149" s="36"/>
      <c r="G149" s="36"/>
      <c r="H149" s="36"/>
      <c r="I149" s="36"/>
      <c r="J149" s="36"/>
      <c r="K149" s="36"/>
      <c r="L149" s="36"/>
      <c r="M149" s="21"/>
      <c r="N149" s="21"/>
      <c r="O149" s="21"/>
      <c r="P149" s="21"/>
      <c r="Q149" s="21"/>
      <c r="R149" s="21"/>
      <c r="S149" s="21"/>
      <c r="T149" s="21"/>
      <c r="U149" s="21"/>
      <c r="V149" s="21"/>
      <c r="W149" s="21"/>
      <c r="X149" s="21"/>
      <c r="Y149" s="21"/>
      <c r="Z149" s="21"/>
      <c r="AA149" s="21"/>
    </row>
    <row r="150" spans="3:27">
      <c r="C150" s="13"/>
      <c r="D150" s="36"/>
      <c r="E150" s="36"/>
      <c r="F150" s="36"/>
      <c r="G150" s="36"/>
      <c r="H150" s="36"/>
      <c r="I150" s="36"/>
      <c r="J150" s="36"/>
      <c r="K150" s="36"/>
      <c r="L150" s="36"/>
      <c r="M150" s="21"/>
      <c r="N150" s="21"/>
      <c r="O150" s="21"/>
      <c r="P150" s="21"/>
      <c r="Q150" s="21"/>
      <c r="R150" s="21"/>
      <c r="S150" s="21"/>
      <c r="T150" s="21"/>
      <c r="U150" s="21"/>
      <c r="V150" s="21"/>
      <c r="W150" s="21"/>
      <c r="X150" s="21"/>
      <c r="Y150" s="21"/>
      <c r="Z150" s="21"/>
      <c r="AA150" s="21"/>
    </row>
    <row r="151" spans="3:27">
      <c r="C151" s="13"/>
      <c r="D151" s="36"/>
      <c r="E151" s="36"/>
      <c r="F151" s="36"/>
      <c r="G151" s="36"/>
      <c r="H151" s="36"/>
      <c r="I151" s="36"/>
      <c r="J151" s="36"/>
      <c r="K151" s="36"/>
      <c r="L151" s="36"/>
      <c r="M151" s="21"/>
      <c r="N151" s="21"/>
      <c r="O151" s="21"/>
      <c r="P151" s="21"/>
      <c r="Q151" s="21"/>
      <c r="R151" s="21"/>
      <c r="S151" s="21"/>
      <c r="T151" s="21"/>
      <c r="U151" s="21"/>
      <c r="V151" s="21"/>
      <c r="W151" s="21"/>
      <c r="X151" s="21"/>
      <c r="Y151" s="21"/>
      <c r="Z151" s="21"/>
      <c r="AA151" s="21"/>
    </row>
    <row r="152" spans="3:27">
      <c r="C152" s="13"/>
      <c r="D152" s="36"/>
      <c r="E152" s="36"/>
      <c r="F152" s="36"/>
      <c r="G152" s="36"/>
      <c r="H152" s="36"/>
      <c r="I152" s="36"/>
      <c r="J152" s="36"/>
      <c r="K152" s="36"/>
      <c r="L152" s="36"/>
      <c r="M152" s="21"/>
      <c r="N152" s="21"/>
      <c r="O152" s="21"/>
      <c r="P152" s="21"/>
      <c r="Q152" s="21"/>
      <c r="R152" s="21"/>
      <c r="S152" s="21"/>
      <c r="T152" s="21"/>
      <c r="U152" s="21"/>
      <c r="V152" s="21"/>
      <c r="W152" s="21"/>
      <c r="X152" s="21"/>
      <c r="Y152" s="21"/>
      <c r="Z152" s="21"/>
      <c r="AA152" s="21"/>
    </row>
    <row r="153" spans="3:27">
      <c r="C153" s="13"/>
      <c r="D153" s="36"/>
      <c r="E153" s="36"/>
      <c r="F153" s="36"/>
      <c r="G153" s="36"/>
      <c r="H153" s="36"/>
      <c r="I153" s="36"/>
      <c r="J153" s="36"/>
      <c r="K153" s="36"/>
      <c r="L153" s="36"/>
      <c r="M153" s="21"/>
      <c r="N153" s="21"/>
      <c r="O153" s="21"/>
      <c r="P153" s="21"/>
      <c r="Q153" s="21"/>
      <c r="R153" s="21"/>
      <c r="S153" s="21"/>
      <c r="T153" s="21"/>
      <c r="U153" s="21"/>
      <c r="V153" s="21"/>
      <c r="W153" s="21"/>
      <c r="X153" s="21"/>
      <c r="Y153" s="21"/>
      <c r="Z153" s="21"/>
      <c r="AA153" s="21"/>
    </row>
    <row r="154" spans="3:27">
      <c r="C154" s="13"/>
      <c r="D154" s="36"/>
      <c r="E154" s="36"/>
      <c r="F154" s="36"/>
      <c r="G154" s="36"/>
      <c r="H154" s="36"/>
      <c r="I154" s="36"/>
      <c r="J154" s="36"/>
      <c r="K154" s="36"/>
      <c r="L154" s="36"/>
      <c r="M154" s="21"/>
      <c r="N154" s="21"/>
      <c r="O154" s="21"/>
      <c r="P154" s="21"/>
      <c r="Q154" s="21"/>
      <c r="R154" s="21"/>
      <c r="S154" s="21"/>
      <c r="T154" s="21"/>
      <c r="U154" s="21"/>
      <c r="V154" s="21"/>
      <c r="W154" s="21"/>
      <c r="X154" s="21"/>
      <c r="Y154" s="21"/>
      <c r="Z154" s="21"/>
      <c r="AA154" s="21"/>
    </row>
    <row r="155" spans="3:27">
      <c r="D155" s="36"/>
      <c r="E155" s="36"/>
      <c r="F155" s="36"/>
      <c r="G155" s="36"/>
      <c r="H155" s="36"/>
      <c r="I155" s="36"/>
      <c r="J155" s="36"/>
      <c r="K155" s="36"/>
      <c r="L155" s="36"/>
      <c r="M155" s="21"/>
      <c r="N155" s="21"/>
      <c r="O155" s="21"/>
      <c r="P155" s="21"/>
      <c r="Q155" s="21"/>
      <c r="R155" s="21"/>
      <c r="S155" s="21"/>
      <c r="T155" s="21"/>
      <c r="U155" s="21"/>
      <c r="V155" s="21"/>
      <c r="W155" s="21"/>
      <c r="X155" s="21"/>
      <c r="Y155" s="21"/>
      <c r="Z155" s="21"/>
      <c r="AA155" s="21"/>
    </row>
    <row r="156" spans="3:27">
      <c r="D156" s="36"/>
      <c r="E156" s="36"/>
      <c r="F156" s="36"/>
      <c r="G156" s="36"/>
      <c r="H156" s="36"/>
      <c r="I156" s="36"/>
      <c r="J156" s="36"/>
      <c r="K156" s="36"/>
      <c r="L156" s="36"/>
      <c r="M156" s="21"/>
      <c r="N156" s="21"/>
      <c r="O156" s="21"/>
      <c r="P156" s="21"/>
      <c r="Q156" s="21"/>
      <c r="R156" s="21"/>
      <c r="S156" s="21"/>
      <c r="T156" s="21"/>
      <c r="U156" s="21"/>
      <c r="V156" s="21"/>
      <c r="W156" s="21"/>
      <c r="X156" s="21"/>
      <c r="Y156" s="21"/>
      <c r="Z156" s="21"/>
      <c r="AA156" s="21"/>
    </row>
    <row r="157" spans="3:27">
      <c r="D157" s="36"/>
      <c r="E157" s="36"/>
      <c r="F157" s="36"/>
      <c r="G157" s="36"/>
      <c r="H157" s="36"/>
      <c r="I157" s="36"/>
      <c r="J157" s="36"/>
      <c r="K157" s="36"/>
      <c r="L157" s="36"/>
      <c r="M157" s="21"/>
      <c r="N157" s="21"/>
      <c r="O157" s="21"/>
      <c r="P157" s="21"/>
      <c r="Q157" s="21"/>
      <c r="R157" s="21"/>
      <c r="S157" s="21"/>
      <c r="T157" s="21"/>
      <c r="U157" s="21"/>
      <c r="V157" s="21"/>
      <c r="W157" s="21"/>
      <c r="X157" s="21"/>
      <c r="Y157" s="21"/>
      <c r="Z157" s="21"/>
      <c r="AA157" s="21"/>
    </row>
    <row r="158" spans="3:27">
      <c r="D158" s="36"/>
      <c r="E158" s="36"/>
      <c r="F158" s="36"/>
      <c r="G158" s="36"/>
      <c r="H158" s="36"/>
      <c r="I158" s="36"/>
      <c r="J158" s="36"/>
      <c r="K158" s="36"/>
      <c r="L158" s="36"/>
      <c r="M158" s="21"/>
      <c r="N158" s="21"/>
      <c r="O158" s="21"/>
      <c r="P158" s="21"/>
      <c r="Q158" s="21"/>
      <c r="R158" s="21"/>
      <c r="S158" s="21"/>
      <c r="T158" s="21"/>
      <c r="U158" s="21"/>
      <c r="V158" s="21"/>
      <c r="W158" s="21"/>
      <c r="X158" s="21"/>
      <c r="Y158" s="21"/>
      <c r="Z158" s="21"/>
      <c r="AA158" s="21"/>
    </row>
    <row r="159" spans="3:27">
      <c r="D159" s="36"/>
      <c r="E159" s="36"/>
      <c r="F159" s="36"/>
      <c r="G159" s="36"/>
      <c r="H159" s="36"/>
      <c r="I159" s="36"/>
      <c r="J159" s="36"/>
      <c r="K159" s="36"/>
      <c r="L159" s="36"/>
      <c r="M159" s="21"/>
      <c r="N159" s="21"/>
      <c r="O159" s="21"/>
      <c r="P159" s="21"/>
      <c r="Q159" s="21"/>
      <c r="R159" s="21"/>
      <c r="S159" s="21"/>
      <c r="T159" s="21"/>
      <c r="U159" s="21"/>
      <c r="V159" s="21"/>
      <c r="W159" s="21"/>
      <c r="X159" s="21"/>
      <c r="Y159" s="21"/>
      <c r="Z159" s="21"/>
      <c r="AA159" s="21"/>
    </row>
    <row r="160" spans="3:27">
      <c r="D160" s="36"/>
      <c r="E160" s="36"/>
      <c r="F160" s="36"/>
      <c r="G160" s="36"/>
      <c r="H160" s="36"/>
      <c r="I160" s="36"/>
      <c r="J160" s="36"/>
      <c r="K160" s="36"/>
      <c r="L160" s="36"/>
      <c r="M160" s="21"/>
      <c r="N160" s="21"/>
      <c r="O160" s="21"/>
      <c r="P160" s="21"/>
      <c r="Q160" s="21"/>
      <c r="R160" s="21"/>
      <c r="S160" s="21"/>
      <c r="T160" s="21"/>
      <c r="U160" s="21"/>
      <c r="V160" s="21"/>
      <c r="W160" s="21"/>
      <c r="X160" s="21"/>
      <c r="Y160" s="21"/>
      <c r="Z160" s="21"/>
      <c r="AA160" s="21"/>
    </row>
    <row r="161" spans="4:27">
      <c r="D161" s="36"/>
      <c r="E161" s="36"/>
      <c r="F161" s="36"/>
      <c r="G161" s="36"/>
      <c r="H161" s="36"/>
      <c r="I161" s="36"/>
      <c r="J161" s="36"/>
      <c r="K161" s="36"/>
      <c r="L161" s="36"/>
      <c r="M161" s="21"/>
      <c r="N161" s="21"/>
      <c r="O161" s="21"/>
      <c r="P161" s="21"/>
      <c r="Q161" s="21"/>
      <c r="R161" s="21"/>
      <c r="S161" s="21"/>
      <c r="T161" s="21"/>
      <c r="U161" s="21"/>
      <c r="V161" s="21"/>
      <c r="W161" s="21"/>
      <c r="X161" s="21"/>
      <c r="Y161" s="21"/>
      <c r="Z161" s="21"/>
      <c r="AA161" s="21"/>
    </row>
    <row r="162" spans="4:27">
      <c r="D162" s="36"/>
      <c r="E162" s="36"/>
      <c r="F162" s="36"/>
      <c r="G162" s="36"/>
      <c r="H162" s="36"/>
      <c r="I162" s="36"/>
      <c r="J162" s="36"/>
      <c r="K162" s="36"/>
      <c r="L162" s="36"/>
      <c r="M162" s="21"/>
      <c r="N162" s="21"/>
      <c r="O162" s="21"/>
      <c r="P162" s="21"/>
      <c r="Q162" s="21"/>
      <c r="R162" s="21"/>
      <c r="S162" s="21"/>
      <c r="T162" s="21"/>
      <c r="U162" s="21"/>
      <c r="V162" s="21"/>
      <c r="W162" s="21"/>
      <c r="X162" s="21"/>
      <c r="Y162" s="21"/>
      <c r="Z162" s="21"/>
      <c r="AA162" s="21"/>
    </row>
    <row r="163" spans="4:27">
      <c r="D163" s="36"/>
      <c r="E163" s="36"/>
      <c r="F163" s="36"/>
      <c r="G163" s="36"/>
      <c r="H163" s="36"/>
      <c r="I163" s="36"/>
      <c r="J163" s="36"/>
      <c r="K163" s="36"/>
      <c r="L163" s="36"/>
      <c r="M163" s="21"/>
      <c r="N163" s="21"/>
      <c r="O163" s="21"/>
      <c r="P163" s="21"/>
      <c r="Q163" s="21"/>
      <c r="R163" s="21"/>
      <c r="S163" s="21"/>
      <c r="T163" s="21"/>
      <c r="U163" s="21"/>
      <c r="V163" s="21"/>
      <c r="W163" s="21"/>
      <c r="X163" s="21"/>
      <c r="Y163" s="21"/>
      <c r="Z163" s="21"/>
      <c r="AA163" s="21"/>
    </row>
    <row r="164" spans="4:27">
      <c r="D164" s="36"/>
      <c r="E164" s="36"/>
      <c r="F164" s="36"/>
      <c r="G164" s="36"/>
      <c r="H164" s="36"/>
      <c r="I164" s="36"/>
      <c r="J164" s="36"/>
      <c r="K164" s="36"/>
      <c r="L164" s="36"/>
      <c r="M164" s="21"/>
      <c r="N164" s="21"/>
      <c r="O164" s="21"/>
      <c r="P164" s="21"/>
      <c r="Q164" s="21"/>
      <c r="R164" s="21"/>
      <c r="S164" s="21"/>
      <c r="T164" s="21"/>
      <c r="U164" s="21"/>
      <c r="V164" s="21"/>
      <c r="W164" s="21"/>
      <c r="X164" s="21"/>
      <c r="Y164" s="21"/>
      <c r="Z164" s="21"/>
      <c r="AA164" s="21"/>
    </row>
    <row r="165" spans="4:27">
      <c r="D165" s="36"/>
      <c r="E165" s="36"/>
      <c r="F165" s="36"/>
      <c r="G165" s="36"/>
      <c r="H165" s="36"/>
      <c r="I165" s="36"/>
      <c r="J165" s="36"/>
      <c r="K165" s="36"/>
      <c r="L165" s="36"/>
      <c r="M165" s="21"/>
      <c r="N165" s="21"/>
      <c r="O165" s="21"/>
      <c r="P165" s="21"/>
      <c r="Q165" s="21"/>
      <c r="R165" s="21"/>
      <c r="S165" s="21"/>
      <c r="T165" s="21"/>
      <c r="U165" s="21"/>
      <c r="V165" s="21"/>
      <c r="W165" s="21"/>
      <c r="X165" s="21"/>
      <c r="Y165" s="21"/>
      <c r="Z165" s="21"/>
      <c r="AA165" s="21"/>
    </row>
    <row r="166" spans="4:27">
      <c r="D166" s="36"/>
      <c r="E166" s="36"/>
      <c r="F166" s="36"/>
      <c r="G166" s="36"/>
      <c r="H166" s="36"/>
      <c r="I166" s="36"/>
      <c r="J166" s="36"/>
      <c r="K166" s="36"/>
      <c r="L166" s="36"/>
      <c r="M166" s="21"/>
      <c r="N166" s="21"/>
      <c r="O166" s="21"/>
      <c r="P166" s="21"/>
      <c r="Q166" s="21"/>
      <c r="R166" s="21"/>
      <c r="S166" s="21"/>
      <c r="T166" s="21"/>
      <c r="U166" s="21"/>
      <c r="V166" s="21"/>
      <c r="W166" s="21"/>
      <c r="X166" s="21"/>
      <c r="Y166" s="21"/>
      <c r="Z166" s="21"/>
      <c r="AA166" s="21"/>
    </row>
    <row r="167" spans="4:27">
      <c r="D167" s="36"/>
      <c r="E167" s="36"/>
      <c r="F167" s="36"/>
      <c r="G167" s="36"/>
      <c r="H167" s="36"/>
      <c r="I167" s="36"/>
      <c r="J167" s="36"/>
      <c r="K167" s="36"/>
      <c r="L167" s="36"/>
      <c r="M167" s="21"/>
      <c r="N167" s="21"/>
      <c r="O167" s="21"/>
      <c r="P167" s="21"/>
      <c r="Q167" s="21"/>
      <c r="R167" s="21"/>
      <c r="S167" s="21"/>
      <c r="T167" s="21"/>
      <c r="U167" s="21"/>
      <c r="V167" s="21"/>
      <c r="W167" s="21"/>
      <c r="X167" s="21"/>
      <c r="Y167" s="21"/>
      <c r="Z167" s="21"/>
      <c r="AA167" s="21"/>
    </row>
    <row r="168" spans="4:27">
      <c r="D168" s="36"/>
      <c r="E168" s="36"/>
      <c r="F168" s="36"/>
      <c r="G168" s="36"/>
      <c r="H168" s="36"/>
      <c r="I168" s="36"/>
      <c r="J168" s="36"/>
      <c r="K168" s="36"/>
      <c r="L168" s="36"/>
      <c r="M168" s="21"/>
      <c r="N168" s="21"/>
      <c r="O168" s="21"/>
      <c r="P168" s="21"/>
      <c r="Q168" s="21"/>
      <c r="R168" s="21"/>
      <c r="S168" s="21"/>
      <c r="T168" s="21"/>
      <c r="U168" s="21"/>
      <c r="V168" s="21"/>
      <c r="W168" s="21"/>
      <c r="X168" s="21"/>
      <c r="Y168" s="21"/>
      <c r="Z168" s="21"/>
      <c r="AA168" s="21"/>
    </row>
    <row r="169" spans="4:27">
      <c r="D169" s="36"/>
      <c r="E169" s="36"/>
      <c r="F169" s="36"/>
      <c r="G169" s="36"/>
      <c r="H169" s="36"/>
      <c r="I169" s="36"/>
      <c r="J169" s="36"/>
      <c r="K169" s="36"/>
      <c r="L169" s="36"/>
      <c r="M169" s="21"/>
      <c r="N169" s="21"/>
      <c r="O169" s="21"/>
      <c r="P169" s="21"/>
      <c r="Q169" s="21"/>
      <c r="R169" s="21"/>
      <c r="S169" s="21"/>
      <c r="T169" s="21"/>
      <c r="U169" s="21"/>
      <c r="V169" s="21"/>
      <c r="W169" s="21"/>
      <c r="X169" s="21"/>
      <c r="Y169" s="21"/>
      <c r="Z169" s="21"/>
      <c r="AA169" s="21"/>
    </row>
    <row r="170" spans="4:27">
      <c r="D170" s="36"/>
      <c r="E170" s="36"/>
      <c r="F170" s="36"/>
      <c r="G170" s="36"/>
      <c r="H170" s="36"/>
      <c r="I170" s="36"/>
      <c r="J170" s="36"/>
      <c r="K170" s="36"/>
      <c r="L170" s="36"/>
      <c r="M170" s="21"/>
      <c r="N170" s="21"/>
      <c r="O170" s="21"/>
      <c r="P170" s="21"/>
      <c r="Q170" s="21"/>
      <c r="R170" s="21"/>
      <c r="S170" s="21"/>
      <c r="T170" s="21"/>
      <c r="U170" s="21"/>
      <c r="V170" s="21"/>
      <c r="W170" s="21"/>
      <c r="X170" s="21"/>
      <c r="Y170" s="21"/>
      <c r="Z170" s="21"/>
      <c r="AA170" s="21"/>
    </row>
    <row r="171" spans="4:27">
      <c r="D171" s="36"/>
      <c r="E171" s="36"/>
      <c r="F171" s="36"/>
      <c r="G171" s="36"/>
      <c r="H171" s="36"/>
      <c r="I171" s="36"/>
      <c r="J171" s="36"/>
      <c r="K171" s="36"/>
      <c r="L171" s="36"/>
      <c r="M171" s="21"/>
      <c r="N171" s="21"/>
      <c r="O171" s="21"/>
      <c r="P171" s="21"/>
      <c r="Q171" s="21"/>
      <c r="R171" s="21"/>
      <c r="S171" s="21"/>
      <c r="T171" s="21"/>
      <c r="U171" s="21"/>
      <c r="V171" s="21"/>
      <c r="W171" s="21"/>
      <c r="X171" s="21"/>
      <c r="Y171" s="21"/>
      <c r="Z171" s="21"/>
      <c r="AA171" s="21"/>
    </row>
    <row r="172" spans="4:27">
      <c r="D172" s="36"/>
      <c r="E172" s="36"/>
      <c r="F172" s="36"/>
      <c r="G172" s="36"/>
      <c r="H172" s="36"/>
      <c r="I172" s="36"/>
      <c r="J172" s="36"/>
      <c r="K172" s="36"/>
      <c r="L172" s="36"/>
      <c r="M172" s="21"/>
      <c r="N172" s="21"/>
      <c r="O172" s="21"/>
      <c r="P172" s="21"/>
      <c r="Q172" s="21"/>
      <c r="R172" s="21"/>
      <c r="S172" s="21"/>
      <c r="T172" s="21"/>
      <c r="U172" s="21"/>
      <c r="V172" s="21"/>
      <c r="W172" s="21"/>
      <c r="X172" s="21"/>
      <c r="Y172" s="21"/>
      <c r="Z172" s="21"/>
      <c r="AA172" s="21"/>
    </row>
    <row r="173" spans="4:27">
      <c r="D173" s="36"/>
      <c r="E173" s="36"/>
      <c r="F173" s="36"/>
      <c r="G173" s="36"/>
      <c r="H173" s="36"/>
      <c r="I173" s="36"/>
      <c r="J173" s="36"/>
      <c r="K173" s="36"/>
      <c r="L173" s="36"/>
      <c r="M173" s="21"/>
      <c r="N173" s="21"/>
      <c r="O173" s="21"/>
      <c r="P173" s="21"/>
      <c r="Q173" s="21"/>
      <c r="R173" s="21"/>
      <c r="S173" s="21"/>
      <c r="T173" s="21"/>
      <c r="U173" s="21"/>
      <c r="V173" s="21"/>
      <c r="W173" s="21"/>
      <c r="X173" s="21"/>
      <c r="Y173" s="21"/>
      <c r="Z173" s="21"/>
      <c r="AA173" s="21"/>
    </row>
    <row r="174" spans="4:2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spans="4:2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spans="4:2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spans="4:2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spans="4:2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spans="4:2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spans="4:2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spans="4:2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spans="4:2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spans="4:2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spans="4:2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spans="4:2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spans="4:2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spans="4:2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spans="4:27">
      <c r="E188" s="18"/>
      <c r="F188" s="18"/>
    </row>
    <row r="189" spans="4:27">
      <c r="E189" s="18"/>
      <c r="F189" s="18"/>
    </row>
    <row r="190" spans="4:27">
      <c r="E190" s="18"/>
      <c r="F190" s="18"/>
    </row>
    <row r="191" spans="4:27">
      <c r="E191" s="18"/>
      <c r="F191" s="18"/>
    </row>
    <row r="192" spans="4:27">
      <c r="E192" s="18"/>
      <c r="F192" s="18"/>
    </row>
    <row r="193" spans="5:6">
      <c r="E193" s="18"/>
      <c r="F193" s="18"/>
    </row>
    <row r="194" spans="5:6">
      <c r="E194" s="18"/>
      <c r="F194" s="18"/>
    </row>
    <row r="195" spans="5:6">
      <c r="E195" s="18"/>
      <c r="F195" s="18"/>
    </row>
  </sheetData>
  <mergeCells count="7">
    <mergeCell ref="E1:G1"/>
    <mergeCell ref="C137:C141"/>
    <mergeCell ref="E2:G2"/>
    <mergeCell ref="E5:G5"/>
    <mergeCell ref="B44:P44"/>
    <mergeCell ref="E45:G45"/>
    <mergeCell ref="P79:Q7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R143"/>
  <sheetViews>
    <sheetView showGridLines="0" topLeftCell="A8" zoomScale="70" zoomScaleNormal="70" workbookViewId="0">
      <selection activeCell="L117" sqref="L117"/>
    </sheetView>
  </sheetViews>
  <sheetFormatPr baseColWidth="10" defaultRowHeight="15"/>
  <cols>
    <col min="2" max="2" width="28" customWidth="1"/>
    <col min="3" max="3" width="18.7109375" customWidth="1"/>
    <col min="4" max="4" width="17.85546875" customWidth="1"/>
    <col min="5" max="5" width="15.85546875" customWidth="1"/>
    <col min="6" max="6" width="14" customWidth="1"/>
    <col min="7" max="7" width="21.140625" customWidth="1"/>
    <col min="14" max="14" width="18.140625" bestFit="1" customWidth="1"/>
    <col min="16" max="16" width="14" customWidth="1"/>
    <col min="17" max="17" width="18.140625" bestFit="1" customWidth="1"/>
  </cols>
  <sheetData>
    <row r="2" spans="2:18" ht="23.25">
      <c r="B2" s="130">
        <v>2022</v>
      </c>
    </row>
    <row r="3" spans="2:18">
      <c r="B3" s="474" t="s">
        <v>237</v>
      </c>
    </row>
    <row r="4" spans="2:18">
      <c r="B4" s="776" t="s">
        <v>6</v>
      </c>
      <c r="C4" s="765" t="s">
        <v>34</v>
      </c>
      <c r="D4" s="767" t="s">
        <v>257</v>
      </c>
      <c r="E4" s="768"/>
      <c r="F4" s="768"/>
      <c r="G4" s="768"/>
      <c r="H4" s="768"/>
      <c r="I4" s="768"/>
      <c r="J4" s="768"/>
      <c r="K4" s="768"/>
      <c r="L4" s="768"/>
      <c r="M4" s="768"/>
      <c r="N4" s="768"/>
      <c r="O4" s="768"/>
      <c r="P4" s="768"/>
      <c r="Q4" s="768"/>
      <c r="R4" s="768"/>
    </row>
    <row r="5" spans="2:18" ht="25.5">
      <c r="B5" s="776"/>
      <c r="C5" s="766"/>
      <c r="D5" s="581" t="s">
        <v>18</v>
      </c>
      <c r="E5" s="582" t="s">
        <v>19</v>
      </c>
      <c r="F5" s="582" t="s">
        <v>238</v>
      </c>
      <c r="G5" s="582" t="s">
        <v>7</v>
      </c>
      <c r="H5" s="582" t="s">
        <v>21</v>
      </c>
      <c r="I5" s="582" t="s">
        <v>22</v>
      </c>
      <c r="J5" s="582" t="s">
        <v>23</v>
      </c>
      <c r="K5" s="582" t="s">
        <v>239</v>
      </c>
      <c r="L5" s="582" t="s">
        <v>25</v>
      </c>
      <c r="M5" s="582" t="s">
        <v>26</v>
      </c>
      <c r="N5" s="582" t="s">
        <v>240</v>
      </c>
      <c r="O5" s="582" t="s">
        <v>241</v>
      </c>
      <c r="P5" s="582" t="s">
        <v>242</v>
      </c>
      <c r="Q5" s="582" t="s">
        <v>27</v>
      </c>
      <c r="R5" s="582" t="s">
        <v>28</v>
      </c>
    </row>
    <row r="6" spans="2:18">
      <c r="B6" s="778" t="s">
        <v>11</v>
      </c>
      <c r="C6" s="483" t="s">
        <v>35</v>
      </c>
      <c r="D6" s="485" t="s">
        <v>12</v>
      </c>
      <c r="E6" s="485" t="s">
        <v>12</v>
      </c>
      <c r="F6" s="485" t="s">
        <v>12</v>
      </c>
      <c r="G6" s="485" t="s">
        <v>12</v>
      </c>
      <c r="H6" s="485" t="s">
        <v>12</v>
      </c>
      <c r="I6" s="485" t="s">
        <v>12</v>
      </c>
      <c r="J6" s="485" t="s">
        <v>12</v>
      </c>
      <c r="K6" s="485" t="s">
        <v>12</v>
      </c>
      <c r="L6" s="485">
        <f>+'Emisiones GEI_Electricidad'!F19</f>
        <v>1.1910367055686051</v>
      </c>
      <c r="M6" s="485" t="s">
        <v>12</v>
      </c>
      <c r="N6" s="487">
        <f>+'Emisiones GEI_Electricidad'!C19</f>
        <v>77746.332215036935</v>
      </c>
      <c r="O6" s="485">
        <f>+'Emisiones GEI_Electricidad'!D19</f>
        <v>1.5584472301682806</v>
      </c>
      <c r="P6" s="485">
        <f>+'Emisiones GEI_Electricidad'!E19</f>
        <v>0.18668089307225352</v>
      </c>
      <c r="Q6" s="487">
        <f>+G17</f>
        <v>77843.73782630467</v>
      </c>
      <c r="R6" s="485" t="s">
        <v>12</v>
      </c>
    </row>
    <row r="7" spans="2:18">
      <c r="B7" s="779"/>
      <c r="C7" s="484" t="s">
        <v>36</v>
      </c>
      <c r="D7" s="485" t="s">
        <v>12</v>
      </c>
      <c r="E7" s="485" t="s">
        <v>12</v>
      </c>
      <c r="F7" s="485" t="s">
        <v>12</v>
      </c>
      <c r="G7" s="485" t="s">
        <v>12</v>
      </c>
      <c r="H7" s="485" t="s">
        <v>12</v>
      </c>
      <c r="I7" s="485" t="s">
        <v>12</v>
      </c>
      <c r="J7" s="485" t="s">
        <v>12</v>
      </c>
      <c r="K7" s="485" t="s">
        <v>12</v>
      </c>
      <c r="L7" s="485">
        <f>+'Emisiones GEI_Electricidad'!K19</f>
        <v>6.296795887492479</v>
      </c>
      <c r="M7" s="485" t="s">
        <v>12</v>
      </c>
      <c r="N7" s="487">
        <f>+'Emisiones GEI_Electricidad'!H19</f>
        <v>411030.81262768852</v>
      </c>
      <c r="O7" s="485">
        <f>+'Emisiones GEI_Electricidad'!I19</f>
        <v>8.2392289540000423</v>
      </c>
      <c r="P7" s="485">
        <f>+'Emisiones GEI_Electricidad'!J19</f>
        <v>0.98694815556469839</v>
      </c>
      <c r="Q7" s="487">
        <f t="shared" ref="Q7:Q11" si="0">+G18</f>
        <v>411545.7784969869</v>
      </c>
      <c r="R7" s="485" t="s">
        <v>12</v>
      </c>
    </row>
    <row r="8" spans="2:18">
      <c r="B8" s="778" t="s">
        <v>13</v>
      </c>
      <c r="C8" s="483" t="s">
        <v>35</v>
      </c>
      <c r="D8" s="485" t="s">
        <v>12</v>
      </c>
      <c r="E8" s="485" t="s">
        <v>12</v>
      </c>
      <c r="F8" s="485" t="s">
        <v>12</v>
      </c>
      <c r="G8" s="485" t="s">
        <v>12</v>
      </c>
      <c r="H8" s="485" t="s">
        <v>12</v>
      </c>
      <c r="I8" s="485" t="s">
        <v>12</v>
      </c>
      <c r="J8" s="485" t="s">
        <v>12</v>
      </c>
      <c r="K8" s="485" t="s">
        <v>12</v>
      </c>
      <c r="L8" s="485">
        <f>+'Emisiones GEI_Electricidad'!F30</f>
        <v>3.3193563376499111</v>
      </c>
      <c r="M8" s="485" t="s">
        <v>12</v>
      </c>
      <c r="N8" s="487">
        <f>+'Emisiones GEI_Electricidad'!C30</f>
        <v>216674.91804445762</v>
      </c>
      <c r="O8" s="485">
        <f>+'Emisiones GEI_Electricidad'!D30</f>
        <v>4.3433100475962281</v>
      </c>
      <c r="P8" s="485">
        <f>+'Emisiones GEI_Electricidad'!E30</f>
        <v>0.52026978063761875</v>
      </c>
      <c r="Q8" s="487">
        <f t="shared" si="0"/>
        <v>216946.38233399004</v>
      </c>
      <c r="R8" s="485" t="s">
        <v>12</v>
      </c>
    </row>
    <row r="9" spans="2:18">
      <c r="B9" s="779"/>
      <c r="C9" s="484" t="s">
        <v>36</v>
      </c>
      <c r="D9" s="485" t="s">
        <v>12</v>
      </c>
      <c r="E9" s="485" t="s">
        <v>12</v>
      </c>
      <c r="F9" s="485" t="s">
        <v>12</v>
      </c>
      <c r="G9" s="485" t="s">
        <v>12</v>
      </c>
      <c r="H9" s="485" t="s">
        <v>12</v>
      </c>
      <c r="I9" s="485" t="s">
        <v>12</v>
      </c>
      <c r="J9" s="485" t="s">
        <v>12</v>
      </c>
      <c r="K9" s="485" t="s">
        <v>12</v>
      </c>
      <c r="L9" s="485">
        <f>+'Emisiones GEI_Electricidad'!K30</f>
        <v>41.014967023452499</v>
      </c>
      <c r="M9" s="485" t="s">
        <v>12</v>
      </c>
      <c r="N9" s="487">
        <f>+'Emisiones GEI_Electricidad'!H30</f>
        <v>2677300.5710783666</v>
      </c>
      <c r="O9" s="485">
        <f>+'Emisiones GEI_Electricidad'!I30</f>
        <v>53.667247578761604</v>
      </c>
      <c r="P9" s="485">
        <f>+'Emisiones GEI_Electricidad'!J30</f>
        <v>6.4286101658066048</v>
      </c>
      <c r="Q9" s="487">
        <f t="shared" si="0"/>
        <v>2680654.8656314788</v>
      </c>
      <c r="R9" s="485" t="s">
        <v>12</v>
      </c>
    </row>
    <row r="10" spans="2:18">
      <c r="B10" s="778" t="s">
        <v>168</v>
      </c>
      <c r="C10" s="483" t="s">
        <v>35</v>
      </c>
      <c r="D10" s="485" t="s">
        <v>12</v>
      </c>
      <c r="E10" s="485" t="s">
        <v>12</v>
      </c>
      <c r="F10" s="485" t="s">
        <v>12</v>
      </c>
      <c r="G10" s="485" t="s">
        <v>12</v>
      </c>
      <c r="H10" s="485" t="s">
        <v>12</v>
      </c>
      <c r="I10" s="485" t="s">
        <v>12</v>
      </c>
      <c r="J10" s="485" t="s">
        <v>12</v>
      </c>
      <c r="K10" s="485" t="s">
        <v>12</v>
      </c>
      <c r="L10" s="485">
        <f>+'Emisiones GEI_Electricidad'!F41</f>
        <v>9.4943526274322676E-2</v>
      </c>
      <c r="M10" s="485" t="s">
        <v>12</v>
      </c>
      <c r="N10" s="487">
        <f>+'Emisiones GEI_Electricidad'!C41</f>
        <v>6197.5511761130992</v>
      </c>
      <c r="O10" s="485">
        <f>+'Emisiones GEI_Electricidad'!D41</f>
        <v>0.12423166712900657</v>
      </c>
      <c r="P10" s="569">
        <f>+'Emisiones GEI_Electricidad'!E41</f>
        <v>1.4881272922531771E-2</v>
      </c>
      <c r="Q10" s="487">
        <f t="shared" si="0"/>
        <v>6205.315867301395</v>
      </c>
      <c r="R10" s="485" t="s">
        <v>12</v>
      </c>
    </row>
    <row r="11" spans="2:18">
      <c r="B11" s="779"/>
      <c r="C11" s="484" t="s">
        <v>36</v>
      </c>
      <c r="D11" s="485" t="s">
        <v>12</v>
      </c>
      <c r="E11" s="485" t="s">
        <v>12</v>
      </c>
      <c r="F11" s="485" t="s">
        <v>12</v>
      </c>
      <c r="G11" s="485" t="s">
        <v>12</v>
      </c>
      <c r="H11" s="485" t="s">
        <v>12</v>
      </c>
      <c r="I11" s="485" t="s">
        <v>12</v>
      </c>
      <c r="J11" s="485" t="s">
        <v>12</v>
      </c>
      <c r="K11" s="485" t="s">
        <v>12</v>
      </c>
      <c r="L11" s="485">
        <f>+'Emisiones GEI_Electricidad'!K41</f>
        <v>1.3033936728518434</v>
      </c>
      <c r="M11" s="485" t="s">
        <v>12</v>
      </c>
      <c r="N11" s="487">
        <f>+'Emisiones GEI_Electricidad'!H41</f>
        <v>85080.566386188206</v>
      </c>
      <c r="O11" s="485">
        <f>+'Emisiones GEI_Electricidad'!I41</f>
        <v>1.7054640295951937</v>
      </c>
      <c r="P11" s="485">
        <f>+'Emisiones GEI_Electricidad'!J41</f>
        <v>0.20429151657130973</v>
      </c>
      <c r="Q11" s="487">
        <f t="shared" si="0"/>
        <v>85187.160798294106</v>
      </c>
      <c r="R11" s="485" t="s">
        <v>12</v>
      </c>
    </row>
    <row r="12" spans="2:18">
      <c r="B12" s="780" t="s">
        <v>14</v>
      </c>
      <c r="C12" s="537" t="s">
        <v>35</v>
      </c>
      <c r="D12" s="538" t="s">
        <v>12</v>
      </c>
      <c r="E12" s="538" t="s">
        <v>12</v>
      </c>
      <c r="F12" s="538" t="s">
        <v>12</v>
      </c>
      <c r="G12" s="538" t="s">
        <v>12</v>
      </c>
      <c r="H12" s="538" t="s">
        <v>12</v>
      </c>
      <c r="I12" s="538" t="s">
        <v>12</v>
      </c>
      <c r="J12" s="538" t="s">
        <v>12</v>
      </c>
      <c r="K12" s="538" t="s">
        <v>12</v>
      </c>
      <c r="L12" s="539">
        <f>+L6+L8+L10</f>
        <v>4.605336569492839</v>
      </c>
      <c r="M12" s="539" t="s">
        <v>12</v>
      </c>
      <c r="N12" s="539">
        <f t="shared" ref="N12:Q13" si="1">+N6+N8+N10</f>
        <v>300618.8014356076</v>
      </c>
      <c r="O12" s="539">
        <f t="shared" si="1"/>
        <v>6.0259889448935144</v>
      </c>
      <c r="P12" s="539">
        <f t="shared" si="1"/>
        <v>0.72183194663240402</v>
      </c>
      <c r="Q12" s="539">
        <f t="shared" si="1"/>
        <v>300995.43602759606</v>
      </c>
      <c r="R12" s="538" t="s">
        <v>12</v>
      </c>
    </row>
    <row r="13" spans="2:18">
      <c r="B13" s="780"/>
      <c r="C13" s="540" t="s">
        <v>36</v>
      </c>
      <c r="D13" s="538" t="s">
        <v>12</v>
      </c>
      <c r="E13" s="538" t="s">
        <v>12</v>
      </c>
      <c r="F13" s="538" t="s">
        <v>12</v>
      </c>
      <c r="G13" s="538" t="s">
        <v>12</v>
      </c>
      <c r="H13" s="538" t="s">
        <v>12</v>
      </c>
      <c r="I13" s="538" t="s">
        <v>12</v>
      </c>
      <c r="J13" s="538" t="s">
        <v>12</v>
      </c>
      <c r="K13" s="538" t="s">
        <v>12</v>
      </c>
      <c r="L13" s="539">
        <f>+L7+L9+L11</f>
        <v>48.615156583796818</v>
      </c>
      <c r="M13" s="539" t="s">
        <v>12</v>
      </c>
      <c r="N13" s="539">
        <f t="shared" si="1"/>
        <v>3173411.9500922435</v>
      </c>
      <c r="O13" s="539">
        <f t="shared" si="1"/>
        <v>63.611940562356835</v>
      </c>
      <c r="P13" s="539">
        <f t="shared" si="1"/>
        <v>7.6198498379426134</v>
      </c>
      <c r="Q13" s="539">
        <f t="shared" si="1"/>
        <v>3177387.8049267596</v>
      </c>
      <c r="R13" s="538" t="s">
        <v>12</v>
      </c>
    </row>
    <row r="14" spans="2:18">
      <c r="O14" s="9"/>
      <c r="P14" s="9"/>
      <c r="Q14" s="9"/>
    </row>
    <row r="15" spans="2:18" hidden="1">
      <c r="C15" s="475" t="s">
        <v>15</v>
      </c>
    </row>
    <row r="16" spans="2:18" ht="21" hidden="1" customHeight="1">
      <c r="B16" s="349" t="s">
        <v>6</v>
      </c>
      <c r="C16" s="349" t="s">
        <v>34</v>
      </c>
      <c r="D16" s="473" t="s">
        <v>8</v>
      </c>
      <c r="E16" s="473" t="s">
        <v>9</v>
      </c>
      <c r="F16" s="473" t="s">
        <v>10</v>
      </c>
      <c r="G16" s="473" t="s">
        <v>16</v>
      </c>
      <c r="I16" s="777" t="s">
        <v>17</v>
      </c>
      <c r="J16" s="777"/>
    </row>
    <row r="17" spans="2:18" hidden="1">
      <c r="B17" s="773" t="s">
        <v>11</v>
      </c>
      <c r="C17" s="22" t="s">
        <v>35</v>
      </c>
      <c r="D17" s="19">
        <f t="shared" ref="D17:D22" si="2">+N6*$J$17</f>
        <v>77746.332215036935</v>
      </c>
      <c r="E17" s="19">
        <f t="shared" ref="E17:E22" si="3">+O6*$J$18</f>
        <v>46.441727459014764</v>
      </c>
      <c r="F17" s="19">
        <f t="shared" ref="F17:F22" si="4">+P6*$J$19</f>
        <v>50.963883808725214</v>
      </c>
      <c r="G17" s="19">
        <f>SUM(D17:F17)</f>
        <v>77843.73782630467</v>
      </c>
      <c r="I17" s="473" t="s">
        <v>8</v>
      </c>
      <c r="J17" s="5">
        <v>1</v>
      </c>
    </row>
    <row r="18" spans="2:18" hidden="1">
      <c r="B18" s="774"/>
      <c r="C18" s="5" t="s">
        <v>36</v>
      </c>
      <c r="D18" s="19">
        <f t="shared" si="2"/>
        <v>411030.81262768852</v>
      </c>
      <c r="E18" s="19">
        <f t="shared" si="3"/>
        <v>245.52902282920127</v>
      </c>
      <c r="F18" s="19">
        <f t="shared" si="4"/>
        <v>269.43684646916267</v>
      </c>
      <c r="G18" s="19">
        <f t="shared" ref="G18:G20" si="5">SUM(D18:F18)</f>
        <v>411545.7784969869</v>
      </c>
      <c r="I18" s="473" t="s">
        <v>9</v>
      </c>
      <c r="J18" s="5">
        <v>29.8</v>
      </c>
    </row>
    <row r="19" spans="2:18" hidden="1">
      <c r="B19" s="773" t="s">
        <v>13</v>
      </c>
      <c r="C19" s="22" t="s">
        <v>35</v>
      </c>
      <c r="D19" s="19">
        <f t="shared" si="2"/>
        <v>216674.91804445762</v>
      </c>
      <c r="E19" s="19">
        <f t="shared" si="3"/>
        <v>129.4306394183676</v>
      </c>
      <c r="F19" s="19">
        <f t="shared" si="4"/>
        <v>142.03365011406993</v>
      </c>
      <c r="G19" s="19">
        <f t="shared" si="5"/>
        <v>216946.38233399004</v>
      </c>
      <c r="I19" s="473" t="s">
        <v>10</v>
      </c>
      <c r="J19" s="5">
        <v>273</v>
      </c>
    </row>
    <row r="20" spans="2:18" hidden="1">
      <c r="B20" s="774"/>
      <c r="C20" s="5" t="s">
        <v>36</v>
      </c>
      <c r="D20" s="19">
        <f t="shared" si="2"/>
        <v>2677300.5710783666</v>
      </c>
      <c r="E20" s="19">
        <f t="shared" si="3"/>
        <v>1599.2839778470959</v>
      </c>
      <c r="F20" s="19">
        <f t="shared" si="4"/>
        <v>1755.0105752652032</v>
      </c>
      <c r="G20" s="19">
        <f t="shared" si="5"/>
        <v>2680654.8656314788</v>
      </c>
      <c r="I20" s="26"/>
    </row>
    <row r="21" spans="2:18" hidden="1">
      <c r="B21" s="771" t="s">
        <v>168</v>
      </c>
      <c r="C21" s="22" t="s">
        <v>35</v>
      </c>
      <c r="D21" s="19">
        <f t="shared" si="2"/>
        <v>6197.5511761130992</v>
      </c>
      <c r="E21" s="19">
        <f t="shared" si="3"/>
        <v>3.7021036804443961</v>
      </c>
      <c r="F21" s="19">
        <f t="shared" si="4"/>
        <v>4.0625875078511733</v>
      </c>
      <c r="G21" s="19">
        <f t="shared" ref="G21:G22" si="6">SUM(D21:F21)</f>
        <v>6205.315867301395</v>
      </c>
      <c r="I21" s="26"/>
    </row>
    <row r="22" spans="2:18" hidden="1">
      <c r="B22" s="772"/>
      <c r="C22" s="5" t="s">
        <v>36</v>
      </c>
      <c r="D22" s="19">
        <f t="shared" si="2"/>
        <v>85080.566386188206</v>
      </c>
      <c r="E22" s="19">
        <f t="shared" si="3"/>
        <v>50.822828081936777</v>
      </c>
      <c r="F22" s="19">
        <f t="shared" si="4"/>
        <v>55.771584023967556</v>
      </c>
      <c r="G22" s="19">
        <f t="shared" si="6"/>
        <v>85187.160798294106</v>
      </c>
      <c r="I22" s="26"/>
    </row>
    <row r="23" spans="2:18" hidden="1">
      <c r="B23" s="775" t="s">
        <v>14</v>
      </c>
      <c r="C23" s="25" t="s">
        <v>35</v>
      </c>
      <c r="D23" s="19">
        <f>+D17+D19+D21</f>
        <v>300618.8014356076</v>
      </c>
      <c r="E23" s="19">
        <f t="shared" ref="E23:F23" si="7">+E17+E19+E21</f>
        <v>179.57447055782677</v>
      </c>
      <c r="F23" s="19">
        <f t="shared" si="7"/>
        <v>197.06012143064629</v>
      </c>
      <c r="G23" s="19">
        <f>SUM(D23:F23)</f>
        <v>300995.43602759612</v>
      </c>
    </row>
    <row r="24" spans="2:18" hidden="1">
      <c r="B24" s="775"/>
      <c r="C24" s="5" t="s">
        <v>36</v>
      </c>
      <c r="D24" s="19">
        <f>+D18+D20+D22</f>
        <v>3173411.9500922435</v>
      </c>
      <c r="E24" s="19">
        <f t="shared" ref="E24:F24" si="8">+E18+E20+E22</f>
        <v>1895.6358287582339</v>
      </c>
      <c r="F24" s="19">
        <f t="shared" si="8"/>
        <v>2080.2190057583334</v>
      </c>
      <c r="G24" s="19">
        <f>SUM(D24:F24)</f>
        <v>3177387.80492676</v>
      </c>
    </row>
    <row r="26" spans="2:18">
      <c r="B26" s="474" t="s">
        <v>243</v>
      </c>
    </row>
    <row r="27" spans="2:18">
      <c r="B27" s="776" t="s">
        <v>6</v>
      </c>
      <c r="C27" s="765" t="s">
        <v>34</v>
      </c>
      <c r="D27" s="767" t="s">
        <v>258</v>
      </c>
      <c r="E27" s="768"/>
      <c r="F27" s="768"/>
      <c r="G27" s="768"/>
      <c r="H27" s="768"/>
      <c r="I27" s="768"/>
      <c r="J27" s="768"/>
      <c r="K27" s="768"/>
      <c r="L27" s="768"/>
      <c r="M27" s="768"/>
      <c r="N27" s="768"/>
      <c r="O27" s="768"/>
      <c r="P27" s="768"/>
      <c r="Q27" s="768"/>
      <c r="R27" s="768"/>
    </row>
    <row r="28" spans="2:18" ht="25.5">
      <c r="B28" s="776"/>
      <c r="C28" s="766"/>
      <c r="D28" s="581" t="s">
        <v>18</v>
      </c>
      <c r="E28" s="582" t="s">
        <v>19</v>
      </c>
      <c r="F28" s="582" t="s">
        <v>238</v>
      </c>
      <c r="G28" s="582" t="s">
        <v>7</v>
      </c>
      <c r="H28" s="582" t="s">
        <v>21</v>
      </c>
      <c r="I28" s="582" t="s">
        <v>22</v>
      </c>
      <c r="J28" s="582" t="s">
        <v>23</v>
      </c>
      <c r="K28" s="582" t="s">
        <v>239</v>
      </c>
      <c r="L28" s="582" t="s">
        <v>25</v>
      </c>
      <c r="M28" s="582" t="s">
        <v>26</v>
      </c>
      <c r="N28" s="582" t="s">
        <v>240</v>
      </c>
      <c r="O28" s="582" t="s">
        <v>241</v>
      </c>
      <c r="P28" s="582" t="s">
        <v>242</v>
      </c>
      <c r="Q28" s="582" t="s">
        <v>27</v>
      </c>
      <c r="R28" s="582" t="s">
        <v>28</v>
      </c>
    </row>
    <row r="29" spans="2:18">
      <c r="B29" s="769" t="s">
        <v>11</v>
      </c>
      <c r="C29" s="22" t="s">
        <v>35</v>
      </c>
      <c r="D29" s="485" t="s">
        <v>12</v>
      </c>
      <c r="E29" s="485" t="s">
        <v>12</v>
      </c>
      <c r="F29" s="485" t="s">
        <v>12</v>
      </c>
      <c r="G29" s="485" t="s">
        <v>12</v>
      </c>
      <c r="H29" s="485" t="s">
        <v>12</v>
      </c>
      <c r="I29" s="485" t="s">
        <v>12</v>
      </c>
      <c r="J29" s="485" t="s">
        <v>12</v>
      </c>
      <c r="K29" s="485" t="s">
        <v>12</v>
      </c>
      <c r="L29" s="485">
        <f>+'Emisiones GEI_Electricidad'!F59</f>
        <v>12.461126217022789</v>
      </c>
      <c r="M29" s="485" t="s">
        <v>12</v>
      </c>
      <c r="N29" s="486">
        <f>+'Emisiones GEI_Electricidad'!C59</f>
        <v>813414.77900099522</v>
      </c>
      <c r="O29" s="486">
        <f>+'Emisiones GEI_Electricidad'!D59</f>
        <v>16.305129427917446</v>
      </c>
      <c r="P29" s="486">
        <f>+'Emisiones GEI_Electricidad'!E59</f>
        <v>1.9531339042731899</v>
      </c>
      <c r="Q29" s="486">
        <f t="shared" ref="Q29:Q34" si="9">+G40</f>
        <v>814433.87741381372</v>
      </c>
      <c r="R29" s="485" t="s">
        <v>12</v>
      </c>
    </row>
    <row r="30" spans="2:18">
      <c r="B30" s="770"/>
      <c r="C30" s="5" t="s">
        <v>36</v>
      </c>
      <c r="D30" s="485" t="s">
        <v>12</v>
      </c>
      <c r="E30" s="485" t="s">
        <v>12</v>
      </c>
      <c r="F30" s="485" t="s">
        <v>12</v>
      </c>
      <c r="G30" s="485" t="s">
        <v>12</v>
      </c>
      <c r="H30" s="485" t="s">
        <v>12</v>
      </c>
      <c r="I30" s="485" t="s">
        <v>12</v>
      </c>
      <c r="J30" s="485" t="s">
        <v>12</v>
      </c>
      <c r="K30" s="485" t="s">
        <v>12</v>
      </c>
      <c r="L30" s="485">
        <f>+'Emisiones GEI_Electricidad'!K59</f>
        <v>65.879723059764387</v>
      </c>
      <c r="M30" s="485" t="s">
        <v>12</v>
      </c>
      <c r="N30" s="486">
        <f>+'Emisiones GEI_Electricidad'!H59</f>
        <v>4300376.9835908245</v>
      </c>
      <c r="O30" s="486">
        <f>+'Emisiones GEI_Electricidad'!I59</f>
        <v>86.202273571181124</v>
      </c>
      <c r="P30" s="486">
        <f>+'Emisiones GEI_Electricidad'!J59</f>
        <v>10.325866095183198</v>
      </c>
      <c r="Q30" s="486">
        <f t="shared" si="9"/>
        <v>4305764.772787231</v>
      </c>
      <c r="R30" s="485" t="s">
        <v>12</v>
      </c>
    </row>
    <row r="31" spans="2:18">
      <c r="B31" s="771" t="s">
        <v>13</v>
      </c>
      <c r="C31" s="22" t="s">
        <v>35</v>
      </c>
      <c r="D31" s="485" t="s">
        <v>12</v>
      </c>
      <c r="E31" s="485" t="s">
        <v>12</v>
      </c>
      <c r="F31" s="485" t="s">
        <v>12</v>
      </c>
      <c r="G31" s="485" t="s">
        <v>12</v>
      </c>
      <c r="H31" s="485" t="s">
        <v>12</v>
      </c>
      <c r="I31" s="485" t="s">
        <v>12</v>
      </c>
      <c r="J31" s="485" t="s">
        <v>12</v>
      </c>
      <c r="K31" s="485" t="s">
        <v>12</v>
      </c>
      <c r="L31" s="485">
        <f>+'Emisiones GEI_Electricidad'!F71</f>
        <v>3.603738663370005</v>
      </c>
      <c r="M31" s="485" t="s">
        <v>12</v>
      </c>
      <c r="N31" s="486">
        <f>+'Emisiones GEI_Electricidad'!C71</f>
        <v>235238.31132037184</v>
      </c>
      <c r="O31" s="486">
        <f>+'Emisiones GEI_Electricidad'!D71</f>
        <v>4.7154185189432214</v>
      </c>
      <c r="P31" s="486">
        <f>+'Emisiones GEI_Electricidad'!E71</f>
        <v>0.56484334104191103</v>
      </c>
      <c r="Q31" s="486">
        <f t="shared" si="9"/>
        <v>235533.03302434078</v>
      </c>
      <c r="R31" s="485" t="s">
        <v>12</v>
      </c>
    </row>
    <row r="32" spans="2:18">
      <c r="B32" s="772"/>
      <c r="C32" s="5" t="s">
        <v>36</v>
      </c>
      <c r="D32" s="485" t="s">
        <v>12</v>
      </c>
      <c r="E32" s="485" t="s">
        <v>12</v>
      </c>
      <c r="F32" s="485" t="s">
        <v>12</v>
      </c>
      <c r="G32" s="485" t="s">
        <v>12</v>
      </c>
      <c r="H32" s="485" t="s">
        <v>12</v>
      </c>
      <c r="I32" s="485" t="s">
        <v>12</v>
      </c>
      <c r="J32" s="485" t="s">
        <v>12</v>
      </c>
      <c r="K32" s="485" t="s">
        <v>12</v>
      </c>
      <c r="L32" s="485">
        <f>+'Emisiones GEI_Electricidad'!K71</f>
        <v>44.528880723878032</v>
      </c>
      <c r="M32" s="485" t="s">
        <v>12</v>
      </c>
      <c r="N32" s="486">
        <f>+'Emisiones GEI_Electricidad'!H71</f>
        <v>2906675.4515089663</v>
      </c>
      <c r="O32" s="486">
        <f>+'Emisiones GEI_Electricidad'!I71</f>
        <v>58.265131966265997</v>
      </c>
      <c r="P32" s="486">
        <f>+'Emisiones GEI_Electricidad'!J71</f>
        <v>6.9793745080869716</v>
      </c>
      <c r="Q32" s="486">
        <f t="shared" si="9"/>
        <v>2910317.1216822686</v>
      </c>
      <c r="R32" s="485" t="s">
        <v>12</v>
      </c>
    </row>
    <row r="33" spans="2:18">
      <c r="B33" s="771" t="s">
        <v>168</v>
      </c>
      <c r="C33" s="22" t="s">
        <v>35</v>
      </c>
      <c r="D33" s="485" t="s">
        <v>12</v>
      </c>
      <c r="E33" s="485" t="s">
        <v>12</v>
      </c>
      <c r="F33" s="485" t="s">
        <v>12</v>
      </c>
      <c r="G33" s="485" t="s">
        <v>12</v>
      </c>
      <c r="H33" s="485" t="s">
        <v>12</v>
      </c>
      <c r="I33" s="485" t="s">
        <v>12</v>
      </c>
      <c r="J33" s="485" t="s">
        <v>12</v>
      </c>
      <c r="K33" s="485" t="s">
        <v>12</v>
      </c>
      <c r="L33" s="485">
        <f>+'Emisiones GEI_Electricidad'!F81</f>
        <v>0</v>
      </c>
      <c r="M33" s="485" t="s">
        <v>12</v>
      </c>
      <c r="N33" s="486">
        <f>+'Emisiones GEI_Electricidad'!C81</f>
        <v>0</v>
      </c>
      <c r="O33" s="486">
        <f>+'Emisiones GEI_Electricidad'!D81</f>
        <v>0</v>
      </c>
      <c r="P33" s="486">
        <f>+'Emisiones GEI_Electricidad'!E81</f>
        <v>0</v>
      </c>
      <c r="Q33" s="486">
        <f t="shared" si="9"/>
        <v>0</v>
      </c>
      <c r="R33" s="485" t="s">
        <v>12</v>
      </c>
    </row>
    <row r="34" spans="2:18">
      <c r="B34" s="772"/>
      <c r="C34" s="5" t="s">
        <v>36</v>
      </c>
      <c r="D34" s="485" t="s">
        <v>12</v>
      </c>
      <c r="E34" s="485" t="s">
        <v>12</v>
      </c>
      <c r="F34" s="485" t="s">
        <v>12</v>
      </c>
      <c r="G34" s="485" t="s">
        <v>12</v>
      </c>
      <c r="H34" s="485" t="s">
        <v>12</v>
      </c>
      <c r="I34" s="485" t="s">
        <v>12</v>
      </c>
      <c r="J34" s="485" t="s">
        <v>12</v>
      </c>
      <c r="K34" s="485" t="s">
        <v>12</v>
      </c>
      <c r="L34" s="485">
        <f>+'Emisiones GEI_Electricidad'!K81</f>
        <v>0</v>
      </c>
      <c r="M34" s="485" t="s">
        <v>12</v>
      </c>
      <c r="N34" s="486">
        <f>+'Emisiones GEI_Electricidad'!H81</f>
        <v>0</v>
      </c>
      <c r="O34" s="486">
        <f>+'Emisiones GEI_Electricidad'!I81</f>
        <v>0</v>
      </c>
      <c r="P34" s="486">
        <f>+'Emisiones GEI_Electricidad'!J81</f>
        <v>0</v>
      </c>
      <c r="Q34" s="486">
        <f t="shared" si="9"/>
        <v>0</v>
      </c>
      <c r="R34" s="485" t="s">
        <v>12</v>
      </c>
    </row>
    <row r="35" spans="2:18">
      <c r="B35" s="780" t="s">
        <v>14</v>
      </c>
      <c r="C35" s="541" t="s">
        <v>35</v>
      </c>
      <c r="D35" s="538" t="s">
        <v>12</v>
      </c>
      <c r="E35" s="538" t="s">
        <v>12</v>
      </c>
      <c r="F35" s="538" t="s">
        <v>12</v>
      </c>
      <c r="G35" s="538" t="s">
        <v>12</v>
      </c>
      <c r="H35" s="538" t="s">
        <v>12</v>
      </c>
      <c r="I35" s="538" t="s">
        <v>12</v>
      </c>
      <c r="J35" s="538" t="s">
        <v>12</v>
      </c>
      <c r="K35" s="538" t="s">
        <v>12</v>
      </c>
      <c r="L35" s="539">
        <f>SUM(L29, L31,L33)</f>
        <v>16.064864880392793</v>
      </c>
      <c r="M35" s="538" t="s">
        <v>12</v>
      </c>
      <c r="N35" s="539">
        <f>SUM(N29, N31,N33)</f>
        <v>1048653.0903213671</v>
      </c>
      <c r="O35" s="539">
        <f t="shared" ref="O35:Q35" si="10">SUM(O29, O31,O33)</f>
        <v>21.020547946860667</v>
      </c>
      <c r="P35" s="539">
        <f t="shared" si="10"/>
        <v>2.5179772453151008</v>
      </c>
      <c r="Q35" s="539">
        <f t="shared" si="10"/>
        <v>1049966.9104381546</v>
      </c>
      <c r="R35" s="538" t="s">
        <v>12</v>
      </c>
    </row>
    <row r="36" spans="2:18">
      <c r="B36" s="780"/>
      <c r="C36" s="542" t="s">
        <v>36</v>
      </c>
      <c r="D36" s="538" t="s">
        <v>12</v>
      </c>
      <c r="E36" s="538" t="s">
        <v>12</v>
      </c>
      <c r="F36" s="538" t="s">
        <v>12</v>
      </c>
      <c r="G36" s="538" t="s">
        <v>12</v>
      </c>
      <c r="H36" s="538" t="s">
        <v>12</v>
      </c>
      <c r="I36" s="538" t="s">
        <v>12</v>
      </c>
      <c r="J36" s="538" t="s">
        <v>12</v>
      </c>
      <c r="K36" s="538" t="s">
        <v>12</v>
      </c>
      <c r="L36" s="539">
        <f>SUM(L30,L32,L34)</f>
        <v>110.40860378364242</v>
      </c>
      <c r="M36" s="538" t="s">
        <v>12</v>
      </c>
      <c r="N36" s="539">
        <f>SUM(N30,N32,N34)</f>
        <v>7207052.4350997908</v>
      </c>
      <c r="O36" s="539">
        <f t="shared" ref="O36:Q36" si="11">SUM(O30,O32,O34)</f>
        <v>144.46740553744712</v>
      </c>
      <c r="P36" s="539">
        <f t="shared" si="11"/>
        <v>17.305240603270171</v>
      </c>
      <c r="Q36" s="539">
        <f t="shared" si="11"/>
        <v>7216081.8944694996</v>
      </c>
      <c r="R36" s="538" t="s">
        <v>12</v>
      </c>
    </row>
    <row r="38" spans="2:18" hidden="1">
      <c r="C38" s="475" t="s">
        <v>15</v>
      </c>
    </row>
    <row r="39" spans="2:18" hidden="1">
      <c r="B39" s="349" t="s">
        <v>6</v>
      </c>
      <c r="C39" s="349" t="s">
        <v>34</v>
      </c>
      <c r="D39" s="473" t="s">
        <v>8</v>
      </c>
      <c r="E39" s="473" t="s">
        <v>9</v>
      </c>
      <c r="F39" s="473" t="s">
        <v>10</v>
      </c>
      <c r="G39" s="473" t="s">
        <v>16</v>
      </c>
    </row>
    <row r="40" spans="2:18" hidden="1">
      <c r="B40" s="773" t="s">
        <v>11</v>
      </c>
      <c r="C40" s="22" t="s">
        <v>35</v>
      </c>
      <c r="D40" s="19">
        <f t="shared" ref="D40:D45" si="12">+N29*$J$17</f>
        <v>813414.77900099522</v>
      </c>
      <c r="E40" s="19">
        <f t="shared" ref="E40:E45" si="13">+O29*$J$18</f>
        <v>485.8928569519399</v>
      </c>
      <c r="F40" s="19">
        <f t="shared" ref="F40:F45" si="14">+P29*$J$19</f>
        <v>533.20555586658088</v>
      </c>
      <c r="G40" s="8">
        <f t="shared" ref="G40:G47" si="15">SUM(D40:F40)</f>
        <v>814433.87741381372</v>
      </c>
    </row>
    <row r="41" spans="2:18" hidden="1">
      <c r="B41" s="774"/>
      <c r="C41" s="5" t="s">
        <v>36</v>
      </c>
      <c r="D41" s="19">
        <f t="shared" si="12"/>
        <v>4300376.9835908245</v>
      </c>
      <c r="E41" s="19">
        <f t="shared" si="13"/>
        <v>2568.8277524211976</v>
      </c>
      <c r="F41" s="19">
        <f t="shared" si="14"/>
        <v>2818.9614439850129</v>
      </c>
      <c r="G41" s="8">
        <f t="shared" si="15"/>
        <v>4305764.772787231</v>
      </c>
    </row>
    <row r="42" spans="2:18" hidden="1">
      <c r="B42" s="773" t="s">
        <v>13</v>
      </c>
      <c r="C42" s="22" t="s">
        <v>35</v>
      </c>
      <c r="D42" s="19">
        <f t="shared" si="12"/>
        <v>235238.31132037184</v>
      </c>
      <c r="E42" s="19">
        <f t="shared" si="13"/>
        <v>140.51947186450801</v>
      </c>
      <c r="F42" s="19">
        <f t="shared" si="14"/>
        <v>154.20223210444172</v>
      </c>
      <c r="G42" s="8">
        <f t="shared" si="15"/>
        <v>235533.03302434078</v>
      </c>
    </row>
    <row r="43" spans="2:18" hidden="1">
      <c r="B43" s="774"/>
      <c r="C43" s="5" t="s">
        <v>36</v>
      </c>
      <c r="D43" s="19">
        <f t="shared" si="12"/>
        <v>2906675.4515089663</v>
      </c>
      <c r="E43" s="19">
        <f t="shared" si="13"/>
        <v>1736.3009325947266</v>
      </c>
      <c r="F43" s="19">
        <f t="shared" si="14"/>
        <v>1905.3692407077433</v>
      </c>
      <c r="G43" s="8">
        <f>SUM(D43:F43)</f>
        <v>2910317.1216822686</v>
      </c>
    </row>
    <row r="44" spans="2:18" hidden="1">
      <c r="B44" s="771" t="s">
        <v>168</v>
      </c>
      <c r="C44" s="22" t="s">
        <v>35</v>
      </c>
      <c r="D44" s="19">
        <f t="shared" si="12"/>
        <v>0</v>
      </c>
      <c r="E44" s="19">
        <f t="shared" si="13"/>
        <v>0</v>
      </c>
      <c r="F44" s="19">
        <f t="shared" si="14"/>
        <v>0</v>
      </c>
      <c r="G44" s="8">
        <f t="shared" ref="G44:G45" si="16">SUM(D44:F44)</f>
        <v>0</v>
      </c>
    </row>
    <row r="45" spans="2:18" hidden="1">
      <c r="B45" s="772"/>
      <c r="C45" s="5" t="s">
        <v>36</v>
      </c>
      <c r="D45" s="19">
        <f t="shared" si="12"/>
        <v>0</v>
      </c>
      <c r="E45" s="19">
        <f t="shared" si="13"/>
        <v>0</v>
      </c>
      <c r="F45" s="19">
        <f t="shared" si="14"/>
        <v>0</v>
      </c>
      <c r="G45" s="8">
        <f t="shared" si="16"/>
        <v>0</v>
      </c>
    </row>
    <row r="46" spans="2:18" hidden="1">
      <c r="B46" s="775" t="s">
        <v>14</v>
      </c>
      <c r="C46" s="25" t="s">
        <v>35</v>
      </c>
      <c r="D46" s="19">
        <f>+D40+D42+D44</f>
        <v>1048653.0903213671</v>
      </c>
      <c r="E46" s="19">
        <f t="shared" ref="E46:F46" si="17">+E40+E42+E44</f>
        <v>626.41232881644794</v>
      </c>
      <c r="F46" s="19">
        <f t="shared" si="17"/>
        <v>687.40778797102257</v>
      </c>
      <c r="G46" s="8">
        <f>SUM(D46:F46)</f>
        <v>1049966.9104381546</v>
      </c>
    </row>
    <row r="47" spans="2:18" hidden="1">
      <c r="B47" s="775"/>
      <c r="C47" s="5" t="s">
        <v>36</v>
      </c>
      <c r="D47" s="19">
        <f>+D41+D43+D45</f>
        <v>7207052.4350997908</v>
      </c>
      <c r="E47" s="19">
        <f t="shared" ref="E47:F47" si="18">+E41+E43+E45</f>
        <v>4305.128685015924</v>
      </c>
      <c r="F47" s="19">
        <f t="shared" si="18"/>
        <v>4724.3306846927562</v>
      </c>
      <c r="G47" s="8">
        <f t="shared" si="15"/>
        <v>7216081.8944694996</v>
      </c>
    </row>
    <row r="48" spans="2:18" hidden="1"/>
    <row r="49" spans="2:18" ht="23.25">
      <c r="B49" s="130">
        <v>2020</v>
      </c>
    </row>
    <row r="50" spans="2:18">
      <c r="B50" s="474" t="s">
        <v>39</v>
      </c>
    </row>
    <row r="51" spans="2:18">
      <c r="B51" s="781" t="s">
        <v>6</v>
      </c>
      <c r="C51" s="782" t="s">
        <v>34</v>
      </c>
      <c r="D51" s="784" t="s">
        <v>329</v>
      </c>
      <c r="E51" s="785"/>
      <c r="F51" s="785"/>
      <c r="G51" s="785"/>
      <c r="H51" s="785"/>
      <c r="I51" s="785"/>
      <c r="J51" s="785"/>
      <c r="K51" s="785"/>
      <c r="L51" s="785"/>
      <c r="M51" s="785"/>
      <c r="N51" s="785"/>
      <c r="O51" s="785"/>
      <c r="P51" s="785"/>
      <c r="Q51" s="785"/>
      <c r="R51" s="785"/>
    </row>
    <row r="52" spans="2:18" ht="19.5">
      <c r="B52" s="781"/>
      <c r="C52" s="783"/>
      <c r="D52" s="472" t="s">
        <v>18</v>
      </c>
      <c r="E52" s="473" t="s">
        <v>19</v>
      </c>
      <c r="F52" s="473" t="s">
        <v>20</v>
      </c>
      <c r="G52" s="473" t="s">
        <v>7</v>
      </c>
      <c r="H52" s="473" t="s">
        <v>21</v>
      </c>
      <c r="I52" s="473" t="s">
        <v>22</v>
      </c>
      <c r="J52" s="473" t="s">
        <v>23</v>
      </c>
      <c r="K52" s="473" t="s">
        <v>24</v>
      </c>
      <c r="L52" s="473" t="s">
        <v>25</v>
      </c>
      <c r="M52" s="473" t="s">
        <v>26</v>
      </c>
      <c r="N52" s="473" t="s">
        <v>8</v>
      </c>
      <c r="O52" s="473" t="s">
        <v>9</v>
      </c>
      <c r="P52" s="473" t="s">
        <v>10</v>
      </c>
      <c r="Q52" s="473" t="s">
        <v>27</v>
      </c>
      <c r="R52" s="473" t="s">
        <v>28</v>
      </c>
    </row>
    <row r="53" spans="2:18">
      <c r="B53" s="769" t="s">
        <v>11</v>
      </c>
      <c r="C53" s="22" t="s">
        <v>35</v>
      </c>
      <c r="D53" s="23" t="str">
        <f>'[8]Emisiones por entidad'!D6</f>
        <v>N/A</v>
      </c>
      <c r="E53" s="23" t="str">
        <f>'[8]Emisiones por entidad'!E6</f>
        <v>N/A</v>
      </c>
      <c r="F53" s="23" t="str">
        <f>'[8]Emisiones por entidad'!F6</f>
        <v>N/A</v>
      </c>
      <c r="G53" s="23" t="str">
        <f>'[8]Emisiones por entidad'!G6</f>
        <v>N/A</v>
      </c>
      <c r="H53" s="23" t="str">
        <f>'[8]Emisiones por entidad'!H6</f>
        <v>N/A</v>
      </c>
      <c r="I53" s="23" t="str">
        <f>'[8]Emisiones por entidad'!I6</f>
        <v>N/A</v>
      </c>
      <c r="J53" s="23" t="str">
        <f>'[8]Emisiones por entidad'!J6</f>
        <v>N/A</v>
      </c>
      <c r="K53" s="23" t="str">
        <f>'[8]Emisiones por entidad'!K6</f>
        <v>N/A</v>
      </c>
      <c r="L53" s="23">
        <f>'[8]Emisiones por entidad'!L6</f>
        <v>2.259342258755809</v>
      </c>
      <c r="M53" s="23" t="str">
        <f>'[8]Emisiones por entidad'!M6</f>
        <v>N/A</v>
      </c>
      <c r="N53" s="23">
        <f>'[8]Emisiones por entidad'!N6</f>
        <v>85624.449858575696</v>
      </c>
      <c r="O53" s="23">
        <f>'[8]Emisiones por entidad'!O6</f>
        <v>2.3816353929456473</v>
      </c>
      <c r="P53" s="23">
        <f>'[8]Emisiones por entidad'!P6</f>
        <v>0.39716635153432889</v>
      </c>
      <c r="Q53" s="23">
        <f>'[8]Emisiones por entidad'!Q6</f>
        <v>85796.384732734776</v>
      </c>
      <c r="R53" s="23" t="str">
        <f>'[8]Emisiones por entidad'!R6</f>
        <v>N/A</v>
      </c>
    </row>
    <row r="54" spans="2:18">
      <c r="B54" s="770"/>
      <c r="C54" s="5" t="s">
        <v>36</v>
      </c>
      <c r="D54" s="23" t="str">
        <f>'[8]Emisiones por entidad'!D7</f>
        <v>N/A</v>
      </c>
      <c r="E54" s="23" t="str">
        <f>'[8]Emisiones por entidad'!E7</f>
        <v>N/A</v>
      </c>
      <c r="F54" s="23" t="str">
        <f>'[8]Emisiones por entidad'!F7</f>
        <v>N/A</v>
      </c>
      <c r="G54" s="23" t="str">
        <f>'[8]Emisiones por entidad'!G7</f>
        <v>N/A</v>
      </c>
      <c r="H54" s="23" t="str">
        <f>'[8]Emisiones por entidad'!H7</f>
        <v>N/A</v>
      </c>
      <c r="I54" s="23" t="str">
        <f>'[8]Emisiones por entidad'!I7</f>
        <v>N/A</v>
      </c>
      <c r="J54" s="23" t="str">
        <f>'[8]Emisiones por entidad'!J7</f>
        <v>N/A</v>
      </c>
      <c r="K54" s="23" t="str">
        <f>'[8]Emisiones por entidad'!K7</f>
        <v>N/A</v>
      </c>
      <c r="L54" s="23">
        <f>'[8]Emisiones por entidad'!L7</f>
        <v>11.052563146407874</v>
      </c>
      <c r="M54" s="23" t="str">
        <f>'[8]Emisiones por entidad'!M7</f>
        <v>N/A</v>
      </c>
      <c r="N54" s="23">
        <f>'[8]Emisiones por entidad'!N7</f>
        <v>418869.53394104022</v>
      </c>
      <c r="O54" s="23">
        <f>'[8]Emisiones por entidad'!O7</f>
        <v>11.650813625177591</v>
      </c>
      <c r="P54" s="23">
        <f>'[8]Emisiones por entidad'!P7</f>
        <v>1.9429133248624995</v>
      </c>
      <c r="Q54" s="23">
        <f>'[8]Emisiones por entidad'!Q7</f>
        <v>419710.62875363376</v>
      </c>
      <c r="R54" s="23" t="str">
        <f>'[8]Emisiones por entidad'!R7</f>
        <v>N/A</v>
      </c>
    </row>
    <row r="55" spans="2:18">
      <c r="B55" s="771" t="s">
        <v>13</v>
      </c>
      <c r="C55" s="22" t="s">
        <v>35</v>
      </c>
      <c r="D55" s="23" t="str">
        <f>'[8]Emisiones por entidad'!D8</f>
        <v>N/A</v>
      </c>
      <c r="E55" s="23" t="str">
        <f>'[8]Emisiones por entidad'!E8</f>
        <v>N/A</v>
      </c>
      <c r="F55" s="23" t="str">
        <f>'[8]Emisiones por entidad'!F8</f>
        <v>N/A</v>
      </c>
      <c r="G55" s="23" t="str">
        <f>'[8]Emisiones por entidad'!G8</f>
        <v>N/A</v>
      </c>
      <c r="H55" s="23" t="str">
        <f>'[8]Emisiones por entidad'!H8</f>
        <v>N/A</v>
      </c>
      <c r="I55" s="23" t="str">
        <f>'[8]Emisiones por entidad'!I8</f>
        <v>N/A</v>
      </c>
      <c r="J55" s="23" t="str">
        <f>'[8]Emisiones por entidad'!J8</f>
        <v>N/A</v>
      </c>
      <c r="K55" s="23" t="str">
        <f>'[8]Emisiones por entidad'!K8</f>
        <v>N/A</v>
      </c>
      <c r="L55" s="23">
        <f>'[8]Emisiones por entidad'!L8</f>
        <v>6.9089927054654421</v>
      </c>
      <c r="M55" s="23" t="str">
        <f>'[8]Emisiones por entidad'!M8</f>
        <v>N/A</v>
      </c>
      <c r="N55" s="23">
        <f>'[8]Emisiones por entidad'!N8</f>
        <v>261836.69038623921</v>
      </c>
      <c r="O55" s="23">
        <f>'[8]Emisiones por entidad'!O8</f>
        <v>7.2829610003405119</v>
      </c>
      <c r="P55" s="23">
        <f>'[8]Emisiones por entidad'!P8</f>
        <v>1.2145213568120921</v>
      </c>
      <c r="Q55" s="23">
        <f>'[8]Emisiones por entidad'!Q8</f>
        <v>262362.46145380393</v>
      </c>
      <c r="R55" s="23" t="str">
        <f>'[8]Emisiones por entidad'!R8</f>
        <v>N/A</v>
      </c>
    </row>
    <row r="56" spans="2:18">
      <c r="B56" s="772"/>
      <c r="C56" s="5" t="s">
        <v>36</v>
      </c>
      <c r="D56" s="23" t="str">
        <f>'[8]Emisiones por entidad'!D9</f>
        <v>N/A</v>
      </c>
      <c r="E56" s="23" t="str">
        <f>'[8]Emisiones por entidad'!E9</f>
        <v>N/A</v>
      </c>
      <c r="F56" s="23" t="str">
        <f>'[8]Emisiones por entidad'!F9</f>
        <v>N/A</v>
      </c>
      <c r="G56" s="23" t="str">
        <f>'[8]Emisiones por entidad'!G9</f>
        <v>N/A</v>
      </c>
      <c r="H56" s="23" t="str">
        <f>'[8]Emisiones por entidad'!H9</f>
        <v>N/A</v>
      </c>
      <c r="I56" s="23" t="str">
        <f>'[8]Emisiones por entidad'!I9</f>
        <v>N/A</v>
      </c>
      <c r="J56" s="23" t="str">
        <f>'[8]Emisiones por entidad'!J9</f>
        <v>N/A</v>
      </c>
      <c r="K56" s="23" t="str">
        <f>'[8]Emisiones por entidad'!K9</f>
        <v>N/A</v>
      </c>
      <c r="L56" s="23">
        <f>'[8]Emisiones por entidad'!L9</f>
        <v>77.131666348842884</v>
      </c>
      <c r="M56" s="23" t="str">
        <f>'[8]Emisiones por entidad'!M9</f>
        <v>N/A</v>
      </c>
      <c r="N56" s="23">
        <f>'[8]Emisiones por entidad'!N9</f>
        <v>2923132.3727958882</v>
      </c>
      <c r="O56" s="23">
        <f>'[8]Emisiones por entidad'!O9</f>
        <v>81.306630627287063</v>
      </c>
      <c r="P56" s="23">
        <f>'[8]Emisiones por entidad'!P9</f>
        <v>13.558858731037461</v>
      </c>
      <c r="Q56" s="23">
        <f>'[8]Emisiones por entidad'!Q9</f>
        <v>2929002.0560171772</v>
      </c>
      <c r="R56" s="23" t="str">
        <f>'[8]Emisiones por entidad'!R9</f>
        <v>N/A</v>
      </c>
    </row>
    <row r="57" spans="2:18">
      <c r="B57" s="786" t="s">
        <v>191</v>
      </c>
      <c r="C57" s="22" t="s">
        <v>35</v>
      </c>
      <c r="D57" s="23" t="str">
        <f>'[8]Emisiones por entidad'!D10</f>
        <v>N/A</v>
      </c>
      <c r="E57" s="23" t="str">
        <f>'[8]Emisiones por entidad'!E10</f>
        <v>N/A</v>
      </c>
      <c r="F57" s="23" t="str">
        <f>'[8]Emisiones por entidad'!F10</f>
        <v>N/A</v>
      </c>
      <c r="G57" s="23" t="str">
        <f>'[8]Emisiones por entidad'!G10</f>
        <v>N/A</v>
      </c>
      <c r="H57" s="23" t="str">
        <f>'[8]Emisiones por entidad'!H10</f>
        <v>N/A</v>
      </c>
      <c r="I57" s="23" t="str">
        <f>'[8]Emisiones por entidad'!I10</f>
        <v>N/A</v>
      </c>
      <c r="J57" s="23" t="str">
        <f>'[8]Emisiones por entidad'!J10</f>
        <v>N/A</v>
      </c>
      <c r="K57" s="23" t="str">
        <f>'[8]Emisiones por entidad'!K10</f>
        <v>N/A</v>
      </c>
      <c r="L57" s="23">
        <f>'[8]Emisiones por entidad'!L10</f>
        <v>0.39810642985884498</v>
      </c>
      <c r="M57" s="23" t="str">
        <f>'[8]Emisiones por entidad'!M10</f>
        <v>N/A</v>
      </c>
      <c r="N57" s="23">
        <f>'[8]Emisiones por entidad'!N10</f>
        <v>15087.419318486474</v>
      </c>
      <c r="O57" s="23">
        <f>'[8]Emisiones por entidad'!O10</f>
        <v>0.41965503891083322</v>
      </c>
      <c r="P57" s="23">
        <f>'[8]Emisiones por entidad'!P10</f>
        <v>6.9982525957119179E-2</v>
      </c>
      <c r="Q57" s="23">
        <f>'[8]Emisiones por entidad'!Q10</f>
        <v>15117.715028954615</v>
      </c>
      <c r="R57" s="23" t="str">
        <f>'[8]Emisiones por entidad'!R10</f>
        <v>N/A</v>
      </c>
    </row>
    <row r="58" spans="2:18">
      <c r="B58" s="787"/>
      <c r="C58" s="5" t="s">
        <v>36</v>
      </c>
      <c r="D58" s="23" t="str">
        <f>'[8]Emisiones por entidad'!D11</f>
        <v>N/A</v>
      </c>
      <c r="E58" s="23" t="str">
        <f>'[8]Emisiones por entidad'!E11</f>
        <v>N/A</v>
      </c>
      <c r="F58" s="23" t="str">
        <f>'[8]Emisiones por entidad'!F11</f>
        <v>N/A</v>
      </c>
      <c r="G58" s="23" t="str">
        <f>'[8]Emisiones por entidad'!G11</f>
        <v>N/A</v>
      </c>
      <c r="H58" s="23" t="str">
        <f>'[8]Emisiones por entidad'!H11</f>
        <v>N/A</v>
      </c>
      <c r="I58" s="23" t="str">
        <f>'[8]Emisiones por entidad'!I11</f>
        <v>N/A</v>
      </c>
      <c r="J58" s="23" t="str">
        <f>'[8]Emisiones por entidad'!J11</f>
        <v>N/A</v>
      </c>
      <c r="K58" s="23" t="str">
        <f>'[8]Emisiones por entidad'!K11</f>
        <v>N/A</v>
      </c>
      <c r="L58" s="23">
        <f>'[8]Emisiones por entidad'!L11</f>
        <v>2.1455034731867588</v>
      </c>
      <c r="M58" s="23" t="str">
        <f>'[8]Emisiones por entidad'!M11</f>
        <v>N/A</v>
      </c>
      <c r="N58" s="23">
        <f>'[8]Emisiones por entidad'!N11</f>
        <v>81310.192756030272</v>
      </c>
      <c r="O58" s="23">
        <f>'[8]Emisiones por entidad'!O11</f>
        <v>2.2616347689806426</v>
      </c>
      <c r="P58" s="23">
        <f>'[8]Emisiones por entidad'!P11</f>
        <v>0.37715480394682144</v>
      </c>
      <c r="Q58" s="23">
        <f>'[8]Emisiones por entidad'!Q11</f>
        <v>81473.464552607635</v>
      </c>
      <c r="R58" s="23" t="str">
        <f>'[8]Emisiones por entidad'!R11</f>
        <v>N/A</v>
      </c>
    </row>
    <row r="59" spans="2:18">
      <c r="B59" s="774" t="s">
        <v>14</v>
      </c>
      <c r="C59" s="22" t="s">
        <v>35</v>
      </c>
      <c r="D59" s="23" t="str">
        <f>'[8]Emisiones por entidad'!D12</f>
        <v>N/A</v>
      </c>
      <c r="E59" s="23" t="str">
        <f>'[8]Emisiones por entidad'!E12</f>
        <v>N/A</v>
      </c>
      <c r="F59" s="23" t="str">
        <f>'[8]Emisiones por entidad'!F12</f>
        <v>N/A</v>
      </c>
      <c r="G59" s="23" t="str">
        <f>'[8]Emisiones por entidad'!G12</f>
        <v>N/A</v>
      </c>
      <c r="H59" s="23" t="str">
        <f>'[8]Emisiones por entidad'!H12</f>
        <v>N/A</v>
      </c>
      <c r="I59" s="23" t="str">
        <f>'[8]Emisiones por entidad'!I12</f>
        <v>N/A</v>
      </c>
      <c r="J59" s="23" t="str">
        <f>'[8]Emisiones por entidad'!J12</f>
        <v>N/A</v>
      </c>
      <c r="K59" s="23" t="str">
        <f>'[8]Emisiones por entidad'!K12</f>
        <v>N/A</v>
      </c>
      <c r="L59" s="23">
        <f>'[8]Emisiones por entidad'!L12</f>
        <v>9.5664413940800976</v>
      </c>
      <c r="M59" s="23" t="str">
        <f>'[8]Emisiones por entidad'!M12</f>
        <v>N/A</v>
      </c>
      <c r="N59" s="23">
        <f>'[8]Emisiones por entidad'!N12</f>
        <v>362548.55956330139</v>
      </c>
      <c r="O59" s="23">
        <f>'[8]Emisiones por entidad'!O12</f>
        <v>10.084251432196991</v>
      </c>
      <c r="P59" s="23">
        <f>'[8]Emisiones por entidad'!P12</f>
        <v>1.6816702343035401</v>
      </c>
      <c r="Q59" s="23">
        <f>'[8]Emisiones por entidad'!Q12</f>
        <v>363276.5612154933</v>
      </c>
      <c r="R59" s="23" t="str">
        <f>'[8]Emisiones por entidad'!R12</f>
        <v>N/A</v>
      </c>
    </row>
    <row r="60" spans="2:18">
      <c r="B60" s="775"/>
      <c r="C60" s="5" t="s">
        <v>36</v>
      </c>
      <c r="D60" s="23" t="str">
        <f>'[8]Emisiones por entidad'!D13</f>
        <v>N/A</v>
      </c>
      <c r="E60" s="23" t="str">
        <f>'[8]Emisiones por entidad'!E13</f>
        <v>N/A</v>
      </c>
      <c r="F60" s="23" t="str">
        <f>'[8]Emisiones por entidad'!F13</f>
        <v>N/A</v>
      </c>
      <c r="G60" s="23" t="str">
        <f>'[8]Emisiones por entidad'!G13</f>
        <v>N/A</v>
      </c>
      <c r="H60" s="23" t="str">
        <f>'[8]Emisiones por entidad'!H13</f>
        <v>N/A</v>
      </c>
      <c r="I60" s="23" t="str">
        <f>'[8]Emisiones por entidad'!I13</f>
        <v>N/A</v>
      </c>
      <c r="J60" s="23" t="str">
        <f>'[8]Emisiones por entidad'!J13</f>
        <v>N/A</v>
      </c>
      <c r="K60" s="23" t="str">
        <f>'[8]Emisiones por entidad'!K13</f>
        <v>N/A</v>
      </c>
      <c r="L60" s="23">
        <f>'[8]Emisiones por entidad'!L13</f>
        <v>90.329732968437526</v>
      </c>
      <c r="M60" s="23" t="str">
        <f>'[8]Emisiones por entidad'!M13</f>
        <v>N/A</v>
      </c>
      <c r="N60" s="23">
        <f>'[8]Emisiones por entidad'!N13</f>
        <v>3423312.0994929587</v>
      </c>
      <c r="O60" s="23">
        <f>'[8]Emisiones por entidad'!O13</f>
        <v>95.219079021445296</v>
      </c>
      <c r="P60" s="23">
        <f>'[8]Emisiones por entidad'!P13</f>
        <v>15.87892685984678</v>
      </c>
      <c r="Q60" s="23">
        <f>'[8]Emisiones por entidad'!Q13</f>
        <v>3430186.1493234187</v>
      </c>
      <c r="R60" s="23" t="str">
        <f>'[8]Emisiones por entidad'!R13</f>
        <v>N/A</v>
      </c>
    </row>
    <row r="61" spans="2:18">
      <c r="B61" s="131"/>
      <c r="D61" s="132"/>
      <c r="E61" s="132"/>
      <c r="F61" s="132"/>
      <c r="G61" s="132"/>
      <c r="H61" s="132"/>
      <c r="I61" s="132"/>
      <c r="J61" s="132"/>
      <c r="K61" s="132"/>
      <c r="L61" s="132"/>
      <c r="M61" s="132"/>
      <c r="N61" s="132"/>
      <c r="O61" s="132"/>
      <c r="P61" s="132"/>
      <c r="Q61" s="132"/>
      <c r="R61" s="132"/>
    </row>
    <row r="62" spans="2:18">
      <c r="B62" s="474" t="s">
        <v>40</v>
      </c>
    </row>
    <row r="63" spans="2:18">
      <c r="B63" s="791" t="s">
        <v>6</v>
      </c>
      <c r="C63" s="792" t="s">
        <v>34</v>
      </c>
      <c r="D63" s="798" t="s">
        <v>328</v>
      </c>
      <c r="E63" s="799"/>
      <c r="F63" s="799"/>
      <c r="G63" s="799"/>
      <c r="H63" s="799"/>
      <c r="I63" s="799"/>
      <c r="J63" s="799"/>
      <c r="K63" s="799"/>
      <c r="L63" s="799"/>
      <c r="M63" s="799"/>
      <c r="N63" s="799"/>
      <c r="O63" s="799"/>
      <c r="P63" s="799"/>
      <c r="Q63" s="799"/>
      <c r="R63" s="784"/>
    </row>
    <row r="64" spans="2:18" ht="19.5">
      <c r="B64" s="791"/>
      <c r="C64" s="793"/>
      <c r="D64" s="543" t="s">
        <v>18</v>
      </c>
      <c r="E64" s="544" t="s">
        <v>19</v>
      </c>
      <c r="F64" s="544" t="s">
        <v>224</v>
      </c>
      <c r="G64" s="544" t="s">
        <v>7</v>
      </c>
      <c r="H64" s="544" t="s">
        <v>21</v>
      </c>
      <c r="I64" s="544" t="s">
        <v>22</v>
      </c>
      <c r="J64" s="544" t="s">
        <v>23</v>
      </c>
      <c r="K64" s="544" t="s">
        <v>225</v>
      </c>
      <c r="L64" s="544" t="s">
        <v>25</v>
      </c>
      <c r="M64" s="544" t="s">
        <v>26</v>
      </c>
      <c r="N64" s="544" t="s">
        <v>226</v>
      </c>
      <c r="O64" s="544" t="s">
        <v>227</v>
      </c>
      <c r="P64" s="544" t="s">
        <v>228</v>
      </c>
      <c r="Q64" s="544" t="s">
        <v>27</v>
      </c>
      <c r="R64" s="544" t="s">
        <v>28</v>
      </c>
    </row>
    <row r="65" spans="2:18">
      <c r="B65" s="769" t="s">
        <v>11</v>
      </c>
      <c r="C65" s="22" t="s">
        <v>35</v>
      </c>
      <c r="D65" s="23" t="str">
        <f>'[8]Emisiones por entidad'!D29</f>
        <v>N/A</v>
      </c>
      <c r="E65" s="23" t="str">
        <f>'[8]Emisiones por entidad'!E29</f>
        <v>N/A</v>
      </c>
      <c r="F65" s="23" t="str">
        <f>'[8]Emisiones por entidad'!F29</f>
        <v>N/A</v>
      </c>
      <c r="G65" s="23" t="str">
        <f>'[8]Emisiones por entidad'!G29</f>
        <v>N/A</v>
      </c>
      <c r="H65" s="23" t="str">
        <f>'[8]Emisiones por entidad'!H29</f>
        <v>N/A</v>
      </c>
      <c r="I65" s="23" t="str">
        <f>'[8]Emisiones por entidad'!I29</f>
        <v>N/A</v>
      </c>
      <c r="J65" s="23" t="str">
        <f>'[8]Emisiones por entidad'!J29</f>
        <v>N/A</v>
      </c>
      <c r="K65" s="23" t="str">
        <f>'[8]Emisiones por entidad'!K29</f>
        <v>N/A</v>
      </c>
      <c r="L65" s="23">
        <f>'[8]Emisiones por entidad'!L29</f>
        <v>22.499433480808655</v>
      </c>
      <c r="M65" s="23" t="str">
        <f>'[8]Emisiones por entidad'!M29</f>
        <v>N/A</v>
      </c>
      <c r="N65" s="23">
        <f>'[8]Emisiones por entidad'!N29</f>
        <v>852682.50370564044</v>
      </c>
      <c r="O65" s="23">
        <f>'[8]Emisiones por entidad'!O29</f>
        <v>23.717277402950451</v>
      </c>
      <c r="P65" s="23">
        <f>'[8]Emisiones por entidad'!P29</f>
        <v>3.955141312712422</v>
      </c>
      <c r="Q65" s="23">
        <f>'[8]Emisiones por entidad'!Q29</f>
        <v>854394.6999207919</v>
      </c>
      <c r="R65" s="23" t="str">
        <f>'[8]Emisiones por entidad'!R29</f>
        <v>N/A</v>
      </c>
    </row>
    <row r="66" spans="2:18">
      <c r="B66" s="770"/>
      <c r="C66" s="5" t="s">
        <v>36</v>
      </c>
      <c r="D66" s="23" t="str">
        <f>'[8]Emisiones por entidad'!D30</f>
        <v>N/A</v>
      </c>
      <c r="E66" s="23" t="str">
        <f>'[8]Emisiones por entidad'!E30</f>
        <v>N/A</v>
      </c>
      <c r="F66" s="23" t="str">
        <f>'[8]Emisiones por entidad'!F30</f>
        <v>N/A</v>
      </c>
      <c r="G66" s="23" t="str">
        <f>'[8]Emisiones por entidad'!G30</f>
        <v>N/A</v>
      </c>
      <c r="H66" s="23" t="str">
        <f>'[8]Emisiones por entidad'!H30</f>
        <v>N/A</v>
      </c>
      <c r="I66" s="23" t="str">
        <f>'[8]Emisiones por entidad'!I30</f>
        <v>N/A</v>
      </c>
      <c r="J66" s="23" t="str">
        <f>'[8]Emisiones por entidad'!J30</f>
        <v>N/A</v>
      </c>
      <c r="K66" s="23" t="str">
        <f>'[8]Emisiones por entidad'!K30</f>
        <v>N/A</v>
      </c>
      <c r="L66" s="23">
        <f>'[8]Emisiones por entidad'!L30</f>
        <v>110.0658425439199</v>
      </c>
      <c r="M66" s="23" t="str">
        <f>'[8]Emisiones por entidad'!M30</f>
        <v>N/A</v>
      </c>
      <c r="N66" s="23">
        <f>'[8]Emisiones por entidad'!N30</f>
        <v>4171270.2798882788</v>
      </c>
      <c r="O66" s="23">
        <f>'[8]Emisiones por entidad'!O30</f>
        <v>116.02345998757079</v>
      </c>
      <c r="P66" s="23">
        <f>'[8]Emisiones por entidad'!P30</f>
        <v>19.348307651180559</v>
      </c>
      <c r="Q66" s="23">
        <f>'[8]Emisiones por entidad'!Q30</f>
        <v>4179646.2382954936</v>
      </c>
      <c r="R66" s="23" t="str">
        <f>'[8]Emisiones por entidad'!R30</f>
        <v>N/A</v>
      </c>
    </row>
    <row r="67" spans="2:18">
      <c r="B67" s="771" t="s">
        <v>13</v>
      </c>
      <c r="C67" s="22" t="s">
        <v>35</v>
      </c>
      <c r="D67" s="23" t="str">
        <f>'[8]Emisiones por entidad'!D31</f>
        <v>N/A</v>
      </c>
      <c r="E67" s="23" t="str">
        <f>'[8]Emisiones por entidad'!E31</f>
        <v>N/A</v>
      </c>
      <c r="F67" s="23" t="str">
        <f>'[8]Emisiones por entidad'!F31</f>
        <v>N/A</v>
      </c>
      <c r="G67" s="23" t="str">
        <f>'[8]Emisiones por entidad'!G31</f>
        <v>N/A</v>
      </c>
      <c r="H67" s="23" t="str">
        <f>'[8]Emisiones por entidad'!H31</f>
        <v>N/A</v>
      </c>
      <c r="I67" s="23" t="str">
        <f>'[8]Emisiones por entidad'!I31</f>
        <v>N/A</v>
      </c>
      <c r="J67" s="23" t="str">
        <f>'[8]Emisiones por entidad'!J31</f>
        <v>N/A</v>
      </c>
      <c r="K67" s="23" t="str">
        <f>'[8]Emisiones por entidad'!K31</f>
        <v>N/A</v>
      </c>
      <c r="L67" s="23">
        <f>'[8]Emisiones por entidad'!L31</f>
        <v>4.7493519820052441</v>
      </c>
      <c r="M67" s="23" t="str">
        <f>'[8]Emisiones por entidad'!M31</f>
        <v>N/A</v>
      </c>
      <c r="N67" s="23">
        <f>'[8]Emisiones por entidad'!N31</f>
        <v>179990.72476424088</v>
      </c>
      <c r="O67" s="23">
        <f>'[8]Emisiones por entidad'!O31</f>
        <v>5.0064237634050155</v>
      </c>
      <c r="P67" s="23">
        <f>'[8]Emisiones por entidad'!P31</f>
        <v>0.83488138706532589</v>
      </c>
      <c r="Q67" s="23">
        <f>'[8]Emisiones por entidad'!Q31</f>
        <v>180352.14819718854</v>
      </c>
      <c r="R67" s="23" t="str">
        <f>'[8]Emisiones por entidad'!R31</f>
        <v>N/A</v>
      </c>
    </row>
    <row r="68" spans="2:18">
      <c r="B68" s="772"/>
      <c r="C68" s="5" t="s">
        <v>36</v>
      </c>
      <c r="D68" s="23" t="str">
        <f>'[8]Emisiones por entidad'!D32</f>
        <v>N/A</v>
      </c>
      <c r="E68" s="23" t="str">
        <f>'[8]Emisiones por entidad'!E32</f>
        <v>N/A</v>
      </c>
      <c r="F68" s="23" t="str">
        <f>'[8]Emisiones por entidad'!F32</f>
        <v>N/A</v>
      </c>
      <c r="G68" s="23" t="str">
        <f>'[8]Emisiones por entidad'!G32</f>
        <v>N/A</v>
      </c>
      <c r="H68" s="23" t="str">
        <f>'[8]Emisiones por entidad'!H32</f>
        <v>N/A</v>
      </c>
      <c r="I68" s="23" t="str">
        <f>'[8]Emisiones por entidad'!I32</f>
        <v>N/A</v>
      </c>
      <c r="J68" s="23" t="str">
        <f>'[8]Emisiones por entidad'!J32</f>
        <v>N/A</v>
      </c>
      <c r="K68" s="23" t="str">
        <f>'[8]Emisiones por entidad'!K32</f>
        <v>N/A</v>
      </c>
      <c r="L68" s="23">
        <f>'[8]Emisiones por entidad'!L32</f>
        <v>49.431247259539248</v>
      </c>
      <c r="M68" s="23" t="str">
        <f>'[8]Emisiones por entidad'!M32</f>
        <v>N/A</v>
      </c>
      <c r="N68" s="23">
        <f>'[8]Emisiones por entidad'!N32</f>
        <v>1873343.1537513367</v>
      </c>
      <c r="O68" s="23">
        <f>'[8]Emisiones por entidad'!O32</f>
        <v>52.106849918169132</v>
      </c>
      <c r="P68" s="23">
        <f>'[8]Emisiones por entidad'!P32</f>
        <v>8.6894440405296631</v>
      </c>
      <c r="Q68" s="23">
        <f>'[8]Emisiones por entidad'!Q32</f>
        <v>1877104.8482197858</v>
      </c>
      <c r="R68" s="23" t="str">
        <f>'[8]Emisiones por entidad'!R32</f>
        <v>N/A</v>
      </c>
    </row>
    <row r="69" spans="2:18">
      <c r="B69" s="771" t="s">
        <v>168</v>
      </c>
      <c r="C69" s="22" t="s">
        <v>35</v>
      </c>
      <c r="D69" s="23" t="str">
        <f>'[8]Emisiones por entidad'!D33</f>
        <v>N/A</v>
      </c>
      <c r="E69" s="23" t="str">
        <f>'[8]Emisiones por entidad'!E33</f>
        <v>N/A</v>
      </c>
      <c r="F69" s="23" t="str">
        <f>'[8]Emisiones por entidad'!F33</f>
        <v>N/A</v>
      </c>
      <c r="G69" s="23" t="str">
        <f>'[8]Emisiones por entidad'!G33</f>
        <v>N/A</v>
      </c>
      <c r="H69" s="23" t="str">
        <f>'[8]Emisiones por entidad'!H33</f>
        <v>N/A</v>
      </c>
      <c r="I69" s="23" t="str">
        <f>'[8]Emisiones por entidad'!I33</f>
        <v>N/A</v>
      </c>
      <c r="J69" s="23" t="str">
        <f>'[8]Emisiones por entidad'!J33</f>
        <v>N/A</v>
      </c>
      <c r="K69" s="23" t="str">
        <f>'[8]Emisiones por entidad'!K33</f>
        <v>N/A</v>
      </c>
      <c r="L69" s="23">
        <f>'[8]Emisiones por entidad'!L33</f>
        <v>0</v>
      </c>
      <c r="M69" s="23" t="str">
        <f>'[8]Emisiones por entidad'!M33</f>
        <v>N/A</v>
      </c>
      <c r="N69" s="23">
        <f>'[8]Emisiones por entidad'!N33</f>
        <v>0</v>
      </c>
      <c r="O69" s="23">
        <f>'[8]Emisiones por entidad'!O33</f>
        <v>0</v>
      </c>
      <c r="P69" s="23">
        <f>'[8]Emisiones por entidad'!P33</f>
        <v>0</v>
      </c>
      <c r="Q69" s="23">
        <f>'[8]Emisiones por entidad'!Q33</f>
        <v>0</v>
      </c>
      <c r="R69" s="23" t="str">
        <f>'[8]Emisiones por entidad'!R33</f>
        <v>N/A</v>
      </c>
    </row>
    <row r="70" spans="2:18">
      <c r="B70" s="772"/>
      <c r="C70" s="5" t="s">
        <v>36</v>
      </c>
      <c r="D70" s="23" t="str">
        <f>'[8]Emisiones por entidad'!D34</f>
        <v>N/A</v>
      </c>
      <c r="E70" s="23" t="str">
        <f>'[8]Emisiones por entidad'!E34</f>
        <v>N/A</v>
      </c>
      <c r="F70" s="23" t="str">
        <f>'[8]Emisiones por entidad'!F34</f>
        <v>N/A</v>
      </c>
      <c r="G70" s="23" t="str">
        <f>'[8]Emisiones por entidad'!G34</f>
        <v>N/A</v>
      </c>
      <c r="H70" s="23" t="str">
        <f>'[8]Emisiones por entidad'!H34</f>
        <v>N/A</v>
      </c>
      <c r="I70" s="23" t="str">
        <f>'[8]Emisiones por entidad'!I34</f>
        <v>N/A</v>
      </c>
      <c r="J70" s="23" t="str">
        <f>'[8]Emisiones por entidad'!J34</f>
        <v>N/A</v>
      </c>
      <c r="K70" s="23" t="str">
        <f>'[8]Emisiones por entidad'!K34</f>
        <v>N/A</v>
      </c>
      <c r="L70" s="23">
        <f>'[8]Emisiones por entidad'!L34</f>
        <v>0</v>
      </c>
      <c r="M70" s="23" t="str">
        <f>'[8]Emisiones por entidad'!M34</f>
        <v>N/A</v>
      </c>
      <c r="N70" s="23">
        <f>'[8]Emisiones por entidad'!N34</f>
        <v>0</v>
      </c>
      <c r="O70" s="23">
        <f>'[8]Emisiones por entidad'!O34</f>
        <v>0</v>
      </c>
      <c r="P70" s="23">
        <f>'[8]Emisiones por entidad'!P34</f>
        <v>0</v>
      </c>
      <c r="Q70" s="23">
        <f>'[8]Emisiones por entidad'!Q34</f>
        <v>0</v>
      </c>
      <c r="R70" s="23" t="str">
        <f>'[8]Emisiones por entidad'!R34</f>
        <v>N/A</v>
      </c>
    </row>
    <row r="71" spans="2:18">
      <c r="B71" s="790" t="s">
        <v>14</v>
      </c>
      <c r="C71" s="656" t="s">
        <v>35</v>
      </c>
      <c r="D71" s="657" t="str">
        <f>'[8]Emisiones por entidad'!D35</f>
        <v>N/A</v>
      </c>
      <c r="E71" s="657" t="str">
        <f>'[8]Emisiones por entidad'!E35</f>
        <v>N/A</v>
      </c>
      <c r="F71" s="657" t="str">
        <f>'[8]Emisiones por entidad'!F35</f>
        <v>N/A</v>
      </c>
      <c r="G71" s="657" t="str">
        <f>'[8]Emisiones por entidad'!G35</f>
        <v>N/A</v>
      </c>
      <c r="H71" s="657" t="str">
        <f>'[8]Emisiones por entidad'!H35</f>
        <v>N/A</v>
      </c>
      <c r="I71" s="657" t="str">
        <f>'[8]Emisiones por entidad'!I35</f>
        <v>N/A</v>
      </c>
      <c r="J71" s="657" t="str">
        <f>'[8]Emisiones por entidad'!J35</f>
        <v>N/A</v>
      </c>
      <c r="K71" s="657" t="str">
        <f>'[8]Emisiones por entidad'!K35</f>
        <v>N/A</v>
      </c>
      <c r="L71" s="657">
        <f>'[8]Emisiones por entidad'!L35</f>
        <v>27.248785462813899</v>
      </c>
      <c r="M71" s="657" t="str">
        <f>'[8]Emisiones por entidad'!M35</f>
        <v>N/A</v>
      </c>
      <c r="N71" s="659">
        <f>'[8]Emisiones por entidad'!N35</f>
        <v>1032673.2284698813</v>
      </c>
      <c r="O71" s="659">
        <f>'[8]Emisiones por entidad'!O35</f>
        <v>28.723701166355468</v>
      </c>
      <c r="P71" s="659">
        <f>'[8]Emisiones por entidad'!P35</f>
        <v>4.7900226997777482</v>
      </c>
      <c r="Q71" s="659">
        <f>'[8]Emisiones por entidad'!Q35</f>
        <v>1034746.8481179804</v>
      </c>
      <c r="R71" s="657" t="str">
        <f>'[8]Emisiones por entidad'!R35</f>
        <v>N/A</v>
      </c>
    </row>
    <row r="72" spans="2:18">
      <c r="B72" s="790"/>
      <c r="C72" s="658" t="s">
        <v>36</v>
      </c>
      <c r="D72" s="657" t="str">
        <f>'[8]Emisiones por entidad'!D36</f>
        <v>N/A</v>
      </c>
      <c r="E72" s="657" t="str">
        <f>'[8]Emisiones por entidad'!E36</f>
        <v>N/A</v>
      </c>
      <c r="F72" s="657" t="str">
        <f>'[8]Emisiones por entidad'!F36</f>
        <v>N/A</v>
      </c>
      <c r="G72" s="657" t="str">
        <f>'[8]Emisiones por entidad'!G36</f>
        <v>N/A</v>
      </c>
      <c r="H72" s="657" t="str">
        <f>'[8]Emisiones por entidad'!H36</f>
        <v>N/A</v>
      </c>
      <c r="I72" s="657" t="str">
        <f>'[8]Emisiones por entidad'!I36</f>
        <v>N/A</v>
      </c>
      <c r="J72" s="657" t="str">
        <f>'[8]Emisiones por entidad'!J36</f>
        <v>N/A</v>
      </c>
      <c r="K72" s="657" t="str">
        <f>'[8]Emisiones por entidad'!K36</f>
        <v>N/A</v>
      </c>
      <c r="L72" s="657">
        <f>'[8]Emisiones por entidad'!L36</f>
        <v>159.49708980345915</v>
      </c>
      <c r="M72" s="657" t="str">
        <f>'[8]Emisiones por entidad'!M36</f>
        <v>N/A</v>
      </c>
      <c r="N72" s="659">
        <f>'[8]Emisiones por entidad'!N36</f>
        <v>6044613.4336396158</v>
      </c>
      <c r="O72" s="659">
        <f>'[8]Emisiones por entidad'!O36</f>
        <v>168.13030990573992</v>
      </c>
      <c r="P72" s="659">
        <f>'[8]Emisiones por entidad'!P36</f>
        <v>28.03775169171022</v>
      </c>
      <c r="Q72" s="659">
        <f>'[8]Emisiones por entidad'!Q36</f>
        <v>6056751.0865152795</v>
      </c>
      <c r="R72" s="657" t="str">
        <f>'[8]Emisiones por entidad'!R36</f>
        <v>N/A</v>
      </c>
    </row>
    <row r="74" spans="2:18" ht="21">
      <c r="B74" s="476" t="s">
        <v>325</v>
      </c>
    </row>
    <row r="75" spans="2:18">
      <c r="B75" s="474" t="s">
        <v>39</v>
      </c>
    </row>
    <row r="76" spans="2:18">
      <c r="B76" s="794" t="s">
        <v>6</v>
      </c>
      <c r="C76" s="788" t="s">
        <v>34</v>
      </c>
      <c r="D76" s="800" t="s">
        <v>229</v>
      </c>
      <c r="E76" s="801"/>
      <c r="F76" s="801"/>
      <c r="G76" s="801"/>
      <c r="H76" s="801"/>
      <c r="I76" s="801"/>
      <c r="J76" s="801"/>
      <c r="K76" s="801"/>
      <c r="L76" s="801"/>
      <c r="M76" s="801"/>
      <c r="N76" s="801"/>
      <c r="O76" s="801"/>
      <c r="P76" s="801"/>
      <c r="Q76" s="801"/>
      <c r="R76" s="802"/>
    </row>
    <row r="77" spans="2:18" ht="24">
      <c r="B77" s="794"/>
      <c r="C77" s="789"/>
      <c r="D77" s="545" t="s">
        <v>18</v>
      </c>
      <c r="E77" s="546" t="s">
        <v>19</v>
      </c>
      <c r="F77" s="546" t="s">
        <v>230</v>
      </c>
      <c r="G77" s="546" t="s">
        <v>7</v>
      </c>
      <c r="H77" s="546" t="s">
        <v>21</v>
      </c>
      <c r="I77" s="546" t="s">
        <v>22</v>
      </c>
      <c r="J77" s="546" t="s">
        <v>23</v>
      </c>
      <c r="K77" s="546" t="s">
        <v>231</v>
      </c>
      <c r="L77" s="546" t="s">
        <v>25</v>
      </c>
      <c r="M77" s="546" t="s">
        <v>26</v>
      </c>
      <c r="N77" s="546" t="s">
        <v>232</v>
      </c>
      <c r="O77" s="546" t="s">
        <v>233</v>
      </c>
      <c r="P77" s="546" t="s">
        <v>234</v>
      </c>
      <c r="Q77" s="546" t="s">
        <v>27</v>
      </c>
      <c r="R77" s="546" t="s">
        <v>28</v>
      </c>
    </row>
    <row r="78" spans="2:18">
      <c r="B78" s="769" t="s">
        <v>11</v>
      </c>
      <c r="C78" s="22" t="s">
        <v>35</v>
      </c>
      <c r="D78" s="23" t="s">
        <v>12</v>
      </c>
      <c r="E78" s="23" t="s">
        <v>12</v>
      </c>
      <c r="F78" s="23" t="s">
        <v>12</v>
      </c>
      <c r="G78" s="23" t="s">
        <v>12</v>
      </c>
      <c r="H78" s="23" t="s">
        <v>12</v>
      </c>
      <c r="I78" s="23" t="s">
        <v>12</v>
      </c>
      <c r="J78" s="23" t="s">
        <v>12</v>
      </c>
      <c r="K78" s="23" t="s">
        <v>12</v>
      </c>
      <c r="L78" s="133">
        <f>(L6/L53)-1</f>
        <v>-0.47283918540766201</v>
      </c>
      <c r="M78" s="23" t="s">
        <v>12</v>
      </c>
      <c r="N78" s="133">
        <f>(N6/N53)-1</f>
        <v>-9.2007804506200053E-2</v>
      </c>
      <c r="O78" s="133">
        <f t="shared" ref="N78:Q81" si="19">(O6/O53)-1</f>
        <v>-0.34563987637051097</v>
      </c>
      <c r="P78" s="133">
        <f t="shared" si="19"/>
        <v>-0.52996800370658326</v>
      </c>
      <c r="Q78" s="133">
        <f t="shared" si="19"/>
        <v>-9.2692098055220828E-2</v>
      </c>
      <c r="R78" s="23" t="s">
        <v>12</v>
      </c>
    </row>
    <row r="79" spans="2:18">
      <c r="B79" s="770"/>
      <c r="C79" s="5" t="s">
        <v>36</v>
      </c>
      <c r="D79" s="23" t="s">
        <v>12</v>
      </c>
      <c r="E79" s="23" t="s">
        <v>12</v>
      </c>
      <c r="F79" s="23" t="s">
        <v>12</v>
      </c>
      <c r="G79" s="23" t="s">
        <v>12</v>
      </c>
      <c r="H79" s="23" t="s">
        <v>12</v>
      </c>
      <c r="I79" s="23" t="s">
        <v>12</v>
      </c>
      <c r="J79" s="23" t="s">
        <v>12</v>
      </c>
      <c r="K79" s="23" t="s">
        <v>12</v>
      </c>
      <c r="L79" s="133">
        <f>(L7/L54)-1</f>
        <v>-0.43028636850277013</v>
      </c>
      <c r="M79" s="23" t="s">
        <v>12</v>
      </c>
      <c r="N79" s="133">
        <f t="shared" si="19"/>
        <v>-1.8713992492123022E-2</v>
      </c>
      <c r="O79" s="133">
        <f t="shared" si="19"/>
        <v>-0.29281943570061586</v>
      </c>
      <c r="P79" s="133">
        <f t="shared" si="19"/>
        <v>-0.49202666792429095</v>
      </c>
      <c r="Q79" s="133">
        <f t="shared" si="19"/>
        <v>-1.9453522730394246E-2</v>
      </c>
      <c r="R79" s="23" t="s">
        <v>12</v>
      </c>
    </row>
    <row r="80" spans="2:18">
      <c r="B80" s="771" t="s">
        <v>13</v>
      </c>
      <c r="C80" s="22" t="s">
        <v>35</v>
      </c>
      <c r="D80" s="23" t="s">
        <v>12</v>
      </c>
      <c r="E80" s="23" t="s">
        <v>12</v>
      </c>
      <c r="F80" s="23" t="s">
        <v>12</v>
      </c>
      <c r="G80" s="23" t="s">
        <v>12</v>
      </c>
      <c r="H80" s="23" t="s">
        <v>12</v>
      </c>
      <c r="I80" s="23" t="s">
        <v>12</v>
      </c>
      <c r="J80" s="23" t="s">
        <v>12</v>
      </c>
      <c r="K80" s="23" t="s">
        <v>12</v>
      </c>
      <c r="L80" s="133">
        <f>(L8/L55)-1</f>
        <v>-0.51956001704501809</v>
      </c>
      <c r="M80" s="23" t="s">
        <v>12</v>
      </c>
      <c r="N80" s="133">
        <f t="shared" si="19"/>
        <v>-0.17248068739015443</v>
      </c>
      <c r="O80" s="133">
        <f t="shared" si="19"/>
        <v>-0.4036340373931484</v>
      </c>
      <c r="P80" s="133">
        <f t="shared" si="19"/>
        <v>-0.57162566329567333</v>
      </c>
      <c r="Q80" s="133">
        <f t="shared" si="19"/>
        <v>-0.17310433385993607</v>
      </c>
      <c r="R80" s="23" t="s">
        <v>12</v>
      </c>
    </row>
    <row r="81" spans="2:18">
      <c r="B81" s="772"/>
      <c r="C81" s="5" t="s">
        <v>36</v>
      </c>
      <c r="D81" s="23" t="s">
        <v>12</v>
      </c>
      <c r="E81" s="23" t="s">
        <v>12</v>
      </c>
      <c r="F81" s="23" t="s">
        <v>12</v>
      </c>
      <c r="G81" s="23" t="s">
        <v>12</v>
      </c>
      <c r="H81" s="23" t="s">
        <v>12</v>
      </c>
      <c r="I81" s="23" t="s">
        <v>12</v>
      </c>
      <c r="J81" s="23" t="s">
        <v>12</v>
      </c>
      <c r="K81" s="23" t="s">
        <v>12</v>
      </c>
      <c r="L81" s="133">
        <f>(L9/L56)-1</f>
        <v>-0.46824736240036124</v>
      </c>
      <c r="M81" s="23" t="s">
        <v>12</v>
      </c>
      <c r="N81" s="133">
        <f t="shared" si="19"/>
        <v>-8.4098757895931686E-2</v>
      </c>
      <c r="O81" s="133">
        <f t="shared" si="19"/>
        <v>-0.33994008650076191</v>
      </c>
      <c r="P81" s="133">
        <f t="shared" si="19"/>
        <v>-0.52587380004993101</v>
      </c>
      <c r="Q81" s="133">
        <f t="shared" si="19"/>
        <v>-8.4789011969284123E-2</v>
      </c>
      <c r="R81" s="23" t="s">
        <v>12</v>
      </c>
    </row>
    <row r="82" spans="2:18">
      <c r="B82" s="775" t="s">
        <v>14</v>
      </c>
      <c r="C82" s="22" t="s">
        <v>35</v>
      </c>
      <c r="D82" s="23" t="s">
        <v>12</v>
      </c>
      <c r="E82" s="23" t="s">
        <v>12</v>
      </c>
      <c r="F82" s="23" t="s">
        <v>12</v>
      </c>
      <c r="G82" s="23" t="s">
        <v>12</v>
      </c>
      <c r="H82" s="23" t="s">
        <v>12</v>
      </c>
      <c r="I82" s="23" t="s">
        <v>12</v>
      </c>
      <c r="J82" s="23" t="s">
        <v>12</v>
      </c>
      <c r="K82" s="23" t="s">
        <v>12</v>
      </c>
      <c r="L82" s="133">
        <f>(L12/L59)-1</f>
        <v>-0.51859459753313164</v>
      </c>
      <c r="M82" s="23" t="s">
        <v>12</v>
      </c>
      <c r="N82" s="133">
        <f t="shared" ref="N82:Q83" si="20">(N12/N59)-1</f>
        <v>-0.17081782976131443</v>
      </c>
      <c r="O82" s="133">
        <f t="shared" si="20"/>
        <v>-0.40243567056908747</v>
      </c>
      <c r="P82" s="133">
        <f t="shared" si="20"/>
        <v>-0.57076486703033713</v>
      </c>
      <c r="Q82" s="133">
        <f t="shared" si="20"/>
        <v>-0.17144272941670047</v>
      </c>
      <c r="R82" s="23" t="s">
        <v>12</v>
      </c>
    </row>
    <row r="83" spans="2:18">
      <c r="B83" s="775"/>
      <c r="C83" s="5" t="s">
        <v>36</v>
      </c>
      <c r="D83" s="23" t="s">
        <v>12</v>
      </c>
      <c r="E83" s="23" t="s">
        <v>12</v>
      </c>
      <c r="F83" s="23" t="s">
        <v>12</v>
      </c>
      <c r="G83" s="23" t="s">
        <v>12</v>
      </c>
      <c r="H83" s="23" t="s">
        <v>12</v>
      </c>
      <c r="I83" s="23" t="s">
        <v>12</v>
      </c>
      <c r="J83" s="23" t="s">
        <v>12</v>
      </c>
      <c r="K83" s="23" t="s">
        <v>12</v>
      </c>
      <c r="L83" s="133">
        <f>(L13/L60)-1</f>
        <v>-0.46180338426569212</v>
      </c>
      <c r="M83" s="23" t="s">
        <v>12</v>
      </c>
      <c r="N83" s="133">
        <f t="shared" si="20"/>
        <v>-7.2999522724711219E-2</v>
      </c>
      <c r="O83" s="133">
        <f t="shared" si="20"/>
        <v>-0.33194123261757114</v>
      </c>
      <c r="P83" s="133">
        <f t="shared" si="20"/>
        <v>-0.52012816072533141</v>
      </c>
      <c r="Q83" s="133">
        <f t="shared" si="20"/>
        <v>-7.3698141556114094E-2</v>
      </c>
      <c r="R83" s="23" t="s">
        <v>12</v>
      </c>
    </row>
    <row r="84" spans="2:18">
      <c r="B84" s="131"/>
      <c r="D84" s="132"/>
      <c r="E84" s="132"/>
      <c r="F84" s="132"/>
      <c r="G84" s="132"/>
      <c r="H84" s="132"/>
      <c r="I84" s="132"/>
      <c r="J84" s="132"/>
      <c r="K84" s="132"/>
      <c r="L84" s="132"/>
      <c r="M84" s="132"/>
      <c r="N84" s="132"/>
      <c r="O84" s="132"/>
      <c r="P84" s="132"/>
      <c r="Q84" s="132"/>
      <c r="R84" s="132"/>
    </row>
    <row r="86" spans="2:18">
      <c r="B86" s="474" t="s">
        <v>40</v>
      </c>
    </row>
    <row r="87" spans="2:18">
      <c r="B87" s="791" t="s">
        <v>6</v>
      </c>
      <c r="C87" s="792" t="s">
        <v>34</v>
      </c>
      <c r="D87" s="803" t="s">
        <v>229</v>
      </c>
      <c r="E87" s="804"/>
      <c r="F87" s="804"/>
      <c r="G87" s="804"/>
      <c r="H87" s="804"/>
      <c r="I87" s="804"/>
      <c r="J87" s="804"/>
      <c r="K87" s="804"/>
      <c r="L87" s="804"/>
      <c r="M87" s="804"/>
      <c r="N87" s="804"/>
      <c r="O87" s="804"/>
      <c r="P87" s="804"/>
      <c r="Q87" s="804"/>
      <c r="R87" s="805"/>
    </row>
    <row r="88" spans="2:18" ht="19.5">
      <c r="B88" s="791"/>
      <c r="C88" s="793"/>
      <c r="D88" s="543" t="s">
        <v>18</v>
      </c>
      <c r="E88" s="544" t="s">
        <v>19</v>
      </c>
      <c r="F88" s="544" t="s">
        <v>224</v>
      </c>
      <c r="G88" s="544" t="s">
        <v>7</v>
      </c>
      <c r="H88" s="544" t="s">
        <v>21</v>
      </c>
      <c r="I88" s="544" t="s">
        <v>22</v>
      </c>
      <c r="J88" s="544" t="s">
        <v>23</v>
      </c>
      <c r="K88" s="544" t="s">
        <v>225</v>
      </c>
      <c r="L88" s="544" t="s">
        <v>25</v>
      </c>
      <c r="M88" s="544" t="s">
        <v>26</v>
      </c>
      <c r="N88" s="544" t="s">
        <v>226</v>
      </c>
      <c r="O88" s="544" t="s">
        <v>227</v>
      </c>
      <c r="P88" s="544" t="s">
        <v>228</v>
      </c>
      <c r="Q88" s="544" t="s">
        <v>27</v>
      </c>
      <c r="R88" s="544" t="s">
        <v>28</v>
      </c>
    </row>
    <row r="89" spans="2:18">
      <c r="B89" s="769" t="s">
        <v>11</v>
      </c>
      <c r="C89" s="22" t="s">
        <v>35</v>
      </c>
      <c r="D89" s="23" t="s">
        <v>12</v>
      </c>
      <c r="E89" s="23" t="s">
        <v>12</v>
      </c>
      <c r="F89" s="23" t="s">
        <v>12</v>
      </c>
      <c r="G89" s="23" t="s">
        <v>12</v>
      </c>
      <c r="H89" s="23" t="s">
        <v>12</v>
      </c>
      <c r="I89" s="23" t="s">
        <v>12</v>
      </c>
      <c r="J89" s="23" t="s">
        <v>12</v>
      </c>
      <c r="K89" s="23" t="s">
        <v>12</v>
      </c>
      <c r="L89" s="133">
        <f>(L29/L65)-1</f>
        <v>-0.44615822315474041</v>
      </c>
      <c r="M89" s="23" t="s">
        <v>12</v>
      </c>
      <c r="N89" s="133">
        <f t="shared" ref="N89:Q96" si="21">(N29/N65)-1</f>
        <v>-4.6051988323899118E-2</v>
      </c>
      <c r="O89" s="133">
        <f t="shared" si="21"/>
        <v>-0.31252103051722646</v>
      </c>
      <c r="P89" s="133">
        <f t="shared" si="21"/>
        <v>-0.50617847761961821</v>
      </c>
      <c r="Q89" s="133">
        <f t="shared" si="21"/>
        <v>-4.6770915726283002E-2</v>
      </c>
      <c r="R89" s="23" t="s">
        <v>12</v>
      </c>
    </row>
    <row r="90" spans="2:18">
      <c r="B90" s="770"/>
      <c r="C90" s="5" t="s">
        <v>36</v>
      </c>
      <c r="D90" s="23" t="s">
        <v>12</v>
      </c>
      <c r="E90" s="23" t="s">
        <v>12</v>
      </c>
      <c r="F90" s="23" t="s">
        <v>12</v>
      </c>
      <c r="G90" s="23" t="s">
        <v>12</v>
      </c>
      <c r="H90" s="23" t="s">
        <v>12</v>
      </c>
      <c r="I90" s="23" t="s">
        <v>12</v>
      </c>
      <c r="J90" s="23" t="s">
        <v>12</v>
      </c>
      <c r="K90" s="23" t="s">
        <v>12</v>
      </c>
      <c r="L90" s="133">
        <f t="shared" ref="L90:L96" si="22">(L30/L66)-1</f>
        <v>-0.40145169893669597</v>
      </c>
      <c r="M90" s="23" t="s">
        <v>12</v>
      </c>
      <c r="N90" s="133">
        <f t="shared" si="21"/>
        <v>3.0951411689871033E-2</v>
      </c>
      <c r="O90" s="133">
        <f t="shared" si="21"/>
        <v>-0.25702721173445708</v>
      </c>
      <c r="P90" s="133">
        <f t="shared" si="21"/>
        <v>-0.46631683342325014</v>
      </c>
      <c r="Q90" s="133">
        <f t="shared" si="21"/>
        <v>3.0174451927579948E-2</v>
      </c>
      <c r="R90" s="23" t="s">
        <v>12</v>
      </c>
    </row>
    <row r="91" spans="2:18">
      <c r="B91" s="771" t="s">
        <v>13</v>
      </c>
      <c r="C91" s="22" t="s">
        <v>35</v>
      </c>
      <c r="D91" s="23" t="s">
        <v>12</v>
      </c>
      <c r="E91" s="23" t="s">
        <v>12</v>
      </c>
      <c r="F91" s="23" t="s">
        <v>12</v>
      </c>
      <c r="G91" s="23" t="s">
        <v>12</v>
      </c>
      <c r="H91" s="23" t="s">
        <v>12</v>
      </c>
      <c r="I91" s="23" t="s">
        <v>12</v>
      </c>
      <c r="J91" s="23" t="s">
        <v>12</v>
      </c>
      <c r="K91" s="23" t="s">
        <v>12</v>
      </c>
      <c r="L91" s="133">
        <f t="shared" si="22"/>
        <v>-0.24121465896312544</v>
      </c>
      <c r="M91" s="23" t="s">
        <v>12</v>
      </c>
      <c r="N91" s="133">
        <f>(N31/N67)-1</f>
        <v>0.30694685311421721</v>
      </c>
      <c r="O91" s="133">
        <f t="shared" si="21"/>
        <v>-5.812637088153183E-2</v>
      </c>
      <c r="P91" s="133">
        <f t="shared" si="21"/>
        <v>-0.32344480330627556</v>
      </c>
      <c r="Q91" s="133">
        <f t="shared" si="21"/>
        <v>0.30596189387675077</v>
      </c>
      <c r="R91" s="23" t="s">
        <v>12</v>
      </c>
    </row>
    <row r="92" spans="2:18">
      <c r="B92" s="772"/>
      <c r="C92" s="5" t="s">
        <v>36</v>
      </c>
      <c r="D92" s="23" t="s">
        <v>12</v>
      </c>
      <c r="E92" s="23" t="s">
        <v>12</v>
      </c>
      <c r="F92" s="23" t="s">
        <v>12</v>
      </c>
      <c r="G92" s="23" t="s">
        <v>12</v>
      </c>
      <c r="H92" s="23" t="s">
        <v>12</v>
      </c>
      <c r="I92" s="23" t="s">
        <v>12</v>
      </c>
      <c r="J92" s="23" t="s">
        <v>12</v>
      </c>
      <c r="K92" s="23" t="s">
        <v>12</v>
      </c>
      <c r="L92" s="133">
        <f t="shared" si="22"/>
        <v>-9.9175456972009912E-2</v>
      </c>
      <c r="M92" s="23" t="s">
        <v>12</v>
      </c>
      <c r="N92" s="133">
        <f>(N32/N68)-1</f>
        <v>0.55159797909336561</v>
      </c>
      <c r="O92" s="133">
        <f t="shared" si="21"/>
        <v>0.11818565232341038</v>
      </c>
      <c r="P92" s="133">
        <f t="shared" si="21"/>
        <v>-0.19679849763304935</v>
      </c>
      <c r="Q92" s="133">
        <f t="shared" si="21"/>
        <v>0.55042864251422263</v>
      </c>
      <c r="R92" s="23" t="s">
        <v>12</v>
      </c>
    </row>
    <row r="93" spans="2:18">
      <c r="B93" s="771" t="s">
        <v>168</v>
      </c>
      <c r="C93" s="22" t="s">
        <v>35</v>
      </c>
      <c r="D93" s="23" t="s">
        <v>12</v>
      </c>
      <c r="E93" s="23" t="s">
        <v>12</v>
      </c>
      <c r="F93" s="23" t="s">
        <v>12</v>
      </c>
      <c r="G93" s="23" t="s">
        <v>12</v>
      </c>
      <c r="H93" s="23" t="s">
        <v>12</v>
      </c>
      <c r="I93" s="23" t="s">
        <v>12</v>
      </c>
      <c r="J93" s="23" t="s">
        <v>12</v>
      </c>
      <c r="K93" s="23" t="s">
        <v>12</v>
      </c>
      <c r="L93" s="23" t="s">
        <v>12</v>
      </c>
      <c r="M93" s="23" t="s">
        <v>12</v>
      </c>
      <c r="N93" s="23" t="s">
        <v>12</v>
      </c>
      <c r="O93" s="23" t="s">
        <v>12</v>
      </c>
      <c r="P93" s="23" t="s">
        <v>12</v>
      </c>
      <c r="Q93" s="23" t="s">
        <v>12</v>
      </c>
      <c r="R93" s="23" t="s">
        <v>12</v>
      </c>
    </row>
    <row r="94" spans="2:18">
      <c r="B94" s="772"/>
      <c r="C94" s="5" t="s">
        <v>36</v>
      </c>
      <c r="D94" s="23" t="s">
        <v>12</v>
      </c>
      <c r="E94" s="23" t="s">
        <v>12</v>
      </c>
      <c r="F94" s="23" t="s">
        <v>12</v>
      </c>
      <c r="G94" s="23" t="s">
        <v>12</v>
      </c>
      <c r="H94" s="23" t="s">
        <v>12</v>
      </c>
      <c r="I94" s="23" t="s">
        <v>12</v>
      </c>
      <c r="J94" s="23" t="s">
        <v>12</v>
      </c>
      <c r="K94" s="23" t="s">
        <v>12</v>
      </c>
      <c r="L94" s="23" t="s">
        <v>12</v>
      </c>
      <c r="M94" s="23" t="s">
        <v>12</v>
      </c>
      <c r="N94" s="23" t="s">
        <v>12</v>
      </c>
      <c r="O94" s="23" t="s">
        <v>12</v>
      </c>
      <c r="P94" s="23" t="s">
        <v>12</v>
      </c>
      <c r="Q94" s="23" t="s">
        <v>12</v>
      </c>
      <c r="R94" s="23" t="s">
        <v>12</v>
      </c>
    </row>
    <row r="95" spans="2:18">
      <c r="B95" s="775" t="s">
        <v>14</v>
      </c>
      <c r="C95" s="22" t="s">
        <v>35</v>
      </c>
      <c r="D95" s="23" t="s">
        <v>12</v>
      </c>
      <c r="E95" s="23" t="s">
        <v>12</v>
      </c>
      <c r="F95" s="23" t="s">
        <v>12</v>
      </c>
      <c r="G95" s="23" t="s">
        <v>12</v>
      </c>
      <c r="H95" s="23" t="s">
        <v>12</v>
      </c>
      <c r="I95" s="23" t="s">
        <v>12</v>
      </c>
      <c r="J95" s="23" t="s">
        <v>12</v>
      </c>
      <c r="K95" s="23" t="s">
        <v>12</v>
      </c>
      <c r="L95" s="133">
        <f t="shared" si="22"/>
        <v>-0.41043739720743411</v>
      </c>
      <c r="M95" s="23" t="s">
        <v>12</v>
      </c>
      <c r="N95" s="133">
        <f>(N35/N71)-1</f>
        <v>1.547426757171122E-2</v>
      </c>
      <c r="O95" s="133">
        <f t="shared" si="21"/>
        <v>-0.26818108066510693</v>
      </c>
      <c r="P95" s="133">
        <f t="shared" si="21"/>
        <v>-0.47432874474020092</v>
      </c>
      <c r="Q95" s="133">
        <f t="shared" si="21"/>
        <v>1.4708971907338331E-2</v>
      </c>
      <c r="R95" s="23" t="s">
        <v>12</v>
      </c>
    </row>
    <row r="96" spans="2:18">
      <c r="B96" s="775"/>
      <c r="C96" s="5" t="s">
        <v>36</v>
      </c>
      <c r="D96" s="23" t="s">
        <v>12</v>
      </c>
      <c r="E96" s="23" t="s">
        <v>12</v>
      </c>
      <c r="F96" s="23" t="s">
        <v>12</v>
      </c>
      <c r="G96" s="23" t="s">
        <v>12</v>
      </c>
      <c r="H96" s="23" t="s">
        <v>12</v>
      </c>
      <c r="I96" s="23" t="s">
        <v>12</v>
      </c>
      <c r="J96" s="23" t="s">
        <v>12</v>
      </c>
      <c r="K96" s="23" t="s">
        <v>12</v>
      </c>
      <c r="L96" s="133">
        <f t="shared" si="22"/>
        <v>-0.30777041813305928</v>
      </c>
      <c r="M96" s="23" t="s">
        <v>12</v>
      </c>
      <c r="N96" s="133">
        <f t="shared" si="21"/>
        <v>0.19230989942068821</v>
      </c>
      <c r="O96" s="133">
        <f t="shared" si="21"/>
        <v>-0.14074145453939324</v>
      </c>
      <c r="P96" s="133">
        <f t="shared" si="21"/>
        <v>-0.38278786424994538</v>
      </c>
      <c r="Q96" s="133">
        <f t="shared" si="21"/>
        <v>0.19141133445872471</v>
      </c>
      <c r="R96" s="23" t="s">
        <v>12</v>
      </c>
    </row>
    <row r="99" spans="1:11">
      <c r="B99" t="s">
        <v>330</v>
      </c>
    </row>
    <row r="100" spans="1:11">
      <c r="A100">
        <v>1</v>
      </c>
      <c r="B100" s="78" t="s">
        <v>244</v>
      </c>
      <c r="C100" s="78"/>
      <c r="D100" s="78"/>
      <c r="E100" s="78"/>
      <c r="F100" s="78"/>
      <c r="G100" s="78"/>
    </row>
    <row r="101" spans="1:11">
      <c r="A101">
        <v>2</v>
      </c>
      <c r="B101" s="78" t="s">
        <v>236</v>
      </c>
      <c r="C101" s="78"/>
      <c r="D101" s="78"/>
      <c r="E101" s="78"/>
      <c r="F101" s="78"/>
      <c r="G101" s="78"/>
    </row>
    <row r="102" spans="1:11" ht="15" customHeight="1">
      <c r="A102">
        <v>3</v>
      </c>
      <c r="B102" s="655" t="s">
        <v>326</v>
      </c>
      <c r="C102" s="654"/>
      <c r="D102" s="654"/>
      <c r="E102" s="654"/>
      <c r="F102" s="654"/>
      <c r="G102" s="654"/>
      <c r="H102" s="654"/>
      <c r="I102" s="654"/>
      <c r="J102" s="654"/>
      <c r="K102" s="654"/>
    </row>
    <row r="103" spans="1:11">
      <c r="A103">
        <v>4</v>
      </c>
      <c r="B103" s="655" t="s">
        <v>327</v>
      </c>
      <c r="C103" s="654"/>
      <c r="D103" s="654"/>
      <c r="E103" s="654"/>
      <c r="F103" s="654"/>
      <c r="G103" s="654"/>
      <c r="H103" s="654"/>
      <c r="I103" s="654"/>
      <c r="J103" s="654"/>
      <c r="K103" s="654"/>
    </row>
    <row r="104" spans="1:11">
      <c r="B104" s="580"/>
      <c r="C104" s="580"/>
      <c r="D104" s="580"/>
      <c r="E104" s="580"/>
      <c r="F104" s="580"/>
      <c r="G104" s="580"/>
      <c r="H104" s="580"/>
      <c r="I104" s="580"/>
      <c r="J104" s="580"/>
      <c r="K104" s="580"/>
    </row>
    <row r="106" spans="1:11">
      <c r="B106" s="752" t="s">
        <v>169</v>
      </c>
      <c r="C106" s="806" t="s">
        <v>170</v>
      </c>
      <c r="D106" s="806"/>
      <c r="E106" s="806"/>
      <c r="F106" s="806"/>
    </row>
    <row r="107" spans="1:11">
      <c r="B107" s="752"/>
      <c r="C107" s="477" t="s">
        <v>65</v>
      </c>
      <c r="D107" s="478" t="s">
        <v>66</v>
      </c>
      <c r="E107" s="478" t="s">
        <v>110</v>
      </c>
      <c r="F107" s="478" t="s">
        <v>125</v>
      </c>
    </row>
    <row r="108" spans="1:11">
      <c r="B108" s="25">
        <v>2022</v>
      </c>
      <c r="C108" s="235">
        <f>+'Metodología y FE'!C23</f>
        <v>471.71582953898684</v>
      </c>
      <c r="D108" s="235">
        <f>+'Metodología y FE'!D23</f>
        <v>9.4556772908366525E-3</v>
      </c>
      <c r="E108" s="235">
        <f>+'Metodología y FE'!E23</f>
        <v>1.1326622083096187E-3</v>
      </c>
      <c r="F108" s="235">
        <f>+'Metodología y FE'!F23</f>
        <v>7.2264613850171145E-3</v>
      </c>
    </row>
    <row r="109" spans="1:11">
      <c r="B109" s="25">
        <v>2020</v>
      </c>
      <c r="C109" s="257">
        <f>'[8]Metodología y FE'!C23</f>
        <v>486.88405457673053</v>
      </c>
      <c r="D109" s="257">
        <f>'[8]Metodología y FE'!D23</f>
        <v>1.3542630621931919E-2</v>
      </c>
      <c r="E109" s="257">
        <f>'[8]Metodología y FE'!E23</f>
        <v>2.2583965665866849E-3</v>
      </c>
      <c r="F109" s="257">
        <f>'[8]Metodología y FE'!F23</f>
        <v>1.2847238393198304E-2</v>
      </c>
    </row>
    <row r="110" spans="1:11">
      <c r="B110" s="1" t="s">
        <v>325</v>
      </c>
      <c r="C110" s="255">
        <f>(C108/C109)-1</f>
        <v>-3.1153669739564793E-2</v>
      </c>
      <c r="D110" s="255">
        <f t="shared" ref="D110:F110" si="23">(D108/D109)-1</f>
        <v>-0.30178430211901064</v>
      </c>
      <c r="E110" s="255">
        <f t="shared" si="23"/>
        <v>-0.49846620161068012</v>
      </c>
      <c r="F110" s="255">
        <f t="shared" si="23"/>
        <v>-0.43750857858736314</v>
      </c>
    </row>
    <row r="113" spans="2:8">
      <c r="B113" s="4"/>
    </row>
    <row r="114" spans="2:8">
      <c r="B114" s="474">
        <v>2022</v>
      </c>
    </row>
    <row r="115" spans="2:8">
      <c r="B115" s="795" t="s">
        <v>331</v>
      </c>
      <c r="C115" s="795"/>
      <c r="D115" s="795"/>
      <c r="E115" s="795"/>
      <c r="F115" s="795"/>
      <c r="G115" s="795"/>
    </row>
    <row r="116" spans="2:8">
      <c r="B116" s="347" t="s">
        <v>119</v>
      </c>
      <c r="C116" s="348" t="s">
        <v>120</v>
      </c>
      <c r="D116" s="349" t="s">
        <v>11</v>
      </c>
      <c r="E116" s="349" t="s">
        <v>13</v>
      </c>
      <c r="F116" s="349" t="s">
        <v>168</v>
      </c>
      <c r="G116" s="349" t="s">
        <v>14</v>
      </c>
    </row>
    <row r="117" spans="2:8">
      <c r="B117" s="807" t="s">
        <v>333</v>
      </c>
      <c r="C117" s="563" t="s">
        <v>121</v>
      </c>
      <c r="D117" s="564">
        <f>+Consumo_CDMX!D98</f>
        <v>10840.831369999996</v>
      </c>
      <c r="E117" s="565">
        <f>+Consumo_EDOMEX!D58</f>
        <v>6660.6070139727244</v>
      </c>
      <c r="F117" s="565">
        <f>+Consumo_Tizayuca!D56</f>
        <v>0</v>
      </c>
      <c r="G117" s="565">
        <f>+F117+E117+D117</f>
        <v>17501.43838397272</v>
      </c>
    </row>
    <row r="118" spans="2:8">
      <c r="B118" s="807"/>
      <c r="C118" s="672" t="s">
        <v>122</v>
      </c>
      <c r="D118" s="673">
        <f>+Consumo_CDMX!D99</f>
        <v>1036.1686299999997</v>
      </c>
      <c r="E118" s="674">
        <f>+Consumo_EDOMEX!D59</f>
        <v>6134.9976148799997</v>
      </c>
      <c r="F118" s="674">
        <f>+Consumo_Tizayuca!D57</f>
        <v>205.96615930306515</v>
      </c>
      <c r="G118" s="674">
        <f t="shared" ref="G118:G122" si="24">+F118+E118+D118</f>
        <v>7377.1324041830649</v>
      </c>
      <c r="H118" s="109" t="s">
        <v>336</v>
      </c>
    </row>
    <row r="119" spans="2:8">
      <c r="B119" s="755" t="s">
        <v>124</v>
      </c>
      <c r="C119" s="99" t="s">
        <v>121</v>
      </c>
      <c r="D119" s="101">
        <f>+Consumo_CDMX!D100</f>
        <v>1724.3745663484615</v>
      </c>
      <c r="E119" s="19">
        <f>+Consumo_EDOMEX!D60</f>
        <v>498.68649002148783</v>
      </c>
      <c r="F119" s="19">
        <f>+Consumo_Tizayuca!D58</f>
        <v>0</v>
      </c>
      <c r="G119" s="19">
        <f t="shared" si="24"/>
        <v>2223.0610563699493</v>
      </c>
    </row>
    <row r="120" spans="2:8">
      <c r="B120" s="755"/>
      <c r="C120" s="100" t="s">
        <v>122</v>
      </c>
      <c r="D120" s="101">
        <f>+Consumo_CDMX!D101</f>
        <v>164.81603403264901</v>
      </c>
      <c r="E120" s="19">
        <f>+Consumo_EDOMEX!D61</f>
        <v>459.33357431786095</v>
      </c>
      <c r="F120" s="19">
        <f>+Consumo_Tizayuca!D59</f>
        <v>13.138315036343036</v>
      </c>
      <c r="G120" s="19">
        <f t="shared" si="24"/>
        <v>637.28792338685298</v>
      </c>
    </row>
    <row r="121" spans="2:8">
      <c r="B121" s="755" t="s">
        <v>36</v>
      </c>
      <c r="C121" s="99" t="s">
        <v>121</v>
      </c>
      <c r="D121" s="101">
        <f>+Consumo_CDMX!D102</f>
        <v>9116.4568036515357</v>
      </c>
      <c r="E121" s="19">
        <f>+Consumo_EDOMEX!D62</f>
        <v>6161.9205239512366</v>
      </c>
      <c r="F121" s="19">
        <f>+Consumo_Tizayuca!D60</f>
        <v>0</v>
      </c>
      <c r="G121" s="19">
        <f t="shared" si="24"/>
        <v>15278.377327602771</v>
      </c>
    </row>
    <row r="122" spans="2:8">
      <c r="B122" s="755"/>
      <c r="C122" s="100" t="s">
        <v>122</v>
      </c>
      <c r="D122" s="101">
        <f>+Consumo_CDMX!D103</f>
        <v>871.35259596735068</v>
      </c>
      <c r="E122" s="19">
        <f>+Consumo_EDOMEX!D63</f>
        <v>5675.6640405621383</v>
      </c>
      <c r="F122" s="19">
        <f>+Consumo_Tizayuca!D61</f>
        <v>192.82784426672211</v>
      </c>
      <c r="G122" s="19">
        <f t="shared" si="24"/>
        <v>6739.8444807962114</v>
      </c>
    </row>
    <row r="124" spans="2:8" ht="15.75">
      <c r="B124" s="488">
        <v>2020</v>
      </c>
    </row>
    <row r="125" spans="2:8">
      <c r="B125" s="795" t="s">
        <v>260</v>
      </c>
      <c r="C125" s="795"/>
      <c r="D125" s="795"/>
      <c r="E125" s="795"/>
      <c r="F125" s="795"/>
      <c r="G125" s="795"/>
    </row>
    <row r="126" spans="2:8">
      <c r="B126" s="347" t="s">
        <v>119</v>
      </c>
      <c r="C126" s="348" t="s">
        <v>120</v>
      </c>
      <c r="D126" s="349" t="s">
        <v>11</v>
      </c>
      <c r="E126" s="349" t="s">
        <v>13</v>
      </c>
      <c r="F126" s="349" t="s">
        <v>168</v>
      </c>
      <c r="G126" s="349" t="s">
        <v>14</v>
      </c>
    </row>
    <row r="127" spans="2:8">
      <c r="B127" s="796" t="s">
        <v>333</v>
      </c>
      <c r="C127" s="566" t="s">
        <v>121</v>
      </c>
      <c r="D127" s="567">
        <f>'[8]Emisiones por entidad'!D118</f>
        <v>10318.581469999997</v>
      </c>
      <c r="E127" s="567">
        <f>'[8]Emisiones por entidad'!E118</f>
        <v>4217.2953893522554</v>
      </c>
      <c r="F127" s="567">
        <f>'[8]Emisiones por entidad'!F118</f>
        <v>0</v>
      </c>
      <c r="G127" s="567">
        <f>SUM(D127:F127)</f>
        <v>14535.876859352253</v>
      </c>
    </row>
    <row r="128" spans="2:8">
      <c r="B128" s="796"/>
      <c r="C128" s="568" t="s">
        <v>122</v>
      </c>
      <c r="D128" s="567">
        <f>'[8]Emisiones por entidad'!D119</f>
        <v>1036.1686299999994</v>
      </c>
      <c r="E128" s="567">
        <f>'[8]Emisiones por entidad'!E119</f>
        <v>6134.9976148799997</v>
      </c>
      <c r="F128" s="567">
        <f>'[8]Emisiones por entidad'!F119</f>
        <v>211.76739804054799</v>
      </c>
      <c r="G128" s="567">
        <f>SUM(D128:F128)</f>
        <v>7382.9336429205468</v>
      </c>
    </row>
    <row r="129" spans="2:8">
      <c r="B129" s="797" t="s">
        <v>124</v>
      </c>
      <c r="C129" s="479" t="s">
        <v>121</v>
      </c>
      <c r="D129" s="480">
        <f>'[8]Emisiones por entidad'!D120</f>
        <v>1751.3050503305442</v>
      </c>
      <c r="E129" s="480">
        <f>'[8]Emisiones por entidad'!E120</f>
        <v>369.67882409029528</v>
      </c>
      <c r="F129" s="480">
        <f>'[8]Emisiones por entidad'!F120</f>
        <v>0</v>
      </c>
      <c r="G129" s="480">
        <f>SUM(D129:F129)</f>
        <v>2120.9838744208396</v>
      </c>
    </row>
    <row r="130" spans="2:8">
      <c r="B130" s="797"/>
      <c r="C130" s="481" t="s">
        <v>122</v>
      </c>
      <c r="D130" s="480">
        <f>'[8]Emisiones por entidad'!D121</f>
        <v>175.86209499716057</v>
      </c>
      <c r="E130" s="480">
        <f>'[8]Emisiones por entidad'!E121</f>
        <v>537.7803769192343</v>
      </c>
      <c r="F130" s="480">
        <f>'[8]Emisiones por entidad'!F121</f>
        <v>30.987704724901338</v>
      </c>
      <c r="G130" s="480">
        <f t="shared" ref="G130:G132" si="25">SUM(D130:F130)</f>
        <v>744.63017664129632</v>
      </c>
    </row>
    <row r="131" spans="2:8">
      <c r="B131" s="797" t="s">
        <v>36</v>
      </c>
      <c r="C131" s="479" t="s">
        <v>121</v>
      </c>
      <c r="D131" s="480">
        <f>'[8]Emisiones por entidad'!D122</f>
        <v>8567.2764196694534</v>
      </c>
      <c r="E131" s="480">
        <f>'[8]Emisiones por entidad'!E122</f>
        <v>3847.6165652619602</v>
      </c>
      <c r="F131" s="480">
        <f>'[8]Emisiones por entidad'!F122</f>
        <v>0</v>
      </c>
      <c r="G131" s="480">
        <f t="shared" si="25"/>
        <v>12414.892984931414</v>
      </c>
    </row>
    <row r="132" spans="2:8">
      <c r="B132" s="797"/>
      <c r="C132" s="481" t="s">
        <v>122</v>
      </c>
      <c r="D132" s="480">
        <f>'[8]Emisiones por entidad'!D123</f>
        <v>860.30653500283893</v>
      </c>
      <c r="E132" s="480">
        <f>'[8]Emisiones por entidad'!E123</f>
        <v>5597.2172379607655</v>
      </c>
      <c r="F132" s="480">
        <f>'[8]Emisiones por entidad'!F123</f>
        <v>180.77969331564665</v>
      </c>
      <c r="G132" s="480">
        <f t="shared" si="25"/>
        <v>6638.3034662792516</v>
      </c>
    </row>
    <row r="134" spans="2:8" ht="15.75">
      <c r="B134" s="488" t="s">
        <v>325</v>
      </c>
    </row>
    <row r="135" spans="2:8">
      <c r="B135" s="795" t="s">
        <v>332</v>
      </c>
      <c r="C135" s="795"/>
      <c r="D135" s="795"/>
      <c r="E135" s="795"/>
      <c r="F135" s="795"/>
      <c r="G135" s="795"/>
    </row>
    <row r="136" spans="2:8">
      <c r="B136" s="347" t="s">
        <v>119</v>
      </c>
      <c r="C136" s="348" t="s">
        <v>120</v>
      </c>
      <c r="D136" s="349" t="s">
        <v>11</v>
      </c>
      <c r="E136" s="349" t="s">
        <v>13</v>
      </c>
      <c r="F136" s="349" t="s">
        <v>168</v>
      </c>
      <c r="G136" s="349" t="s">
        <v>14</v>
      </c>
    </row>
    <row r="137" spans="2:8">
      <c r="B137" s="755" t="s">
        <v>99</v>
      </c>
      <c r="C137" s="562" t="s">
        <v>121</v>
      </c>
      <c r="D137" s="482">
        <f>(D117/D127)-1</f>
        <v>5.0612567388102381E-2</v>
      </c>
      <c r="E137" s="482">
        <f t="shared" ref="E137" si="26">(E117/E127)-1</f>
        <v>0.57935510772835452</v>
      </c>
      <c r="F137" s="482" t="str">
        <f>IF(F117=0,"NA",(F117/F127)-1)</f>
        <v>NA</v>
      </c>
      <c r="G137" s="482">
        <f>(G117/G127)-1</f>
        <v>0.20401669285691915</v>
      </c>
      <c r="H137" s="64"/>
    </row>
    <row r="138" spans="2:8">
      <c r="B138" s="755"/>
      <c r="C138" s="100" t="s">
        <v>122</v>
      </c>
      <c r="D138" s="482">
        <f>(D118/D128)-1</f>
        <v>0</v>
      </c>
      <c r="E138" s="482">
        <f t="shared" ref="E138:G138" si="27">(E118/E128)-1</f>
        <v>0</v>
      </c>
      <c r="F138" s="482">
        <f t="shared" ref="F138:F142" si="28">IF(F118=0,"NA",(F118/F128)-1)</f>
        <v>-2.7394390218517195E-2</v>
      </c>
      <c r="G138" s="482">
        <f t="shared" si="27"/>
        <v>-7.8576335885727211E-4</v>
      </c>
      <c r="H138" s="64"/>
    </row>
    <row r="139" spans="2:8">
      <c r="B139" s="755" t="s">
        <v>124</v>
      </c>
      <c r="C139" s="562" t="s">
        <v>121</v>
      </c>
      <c r="D139" s="482">
        <f>(D119/D129)-1</f>
        <v>-1.537738041525083E-2</v>
      </c>
      <c r="E139" s="482">
        <f t="shared" ref="E139:G139" si="29">(E119/E129)-1</f>
        <v>0.34897229033514243</v>
      </c>
      <c r="F139" s="482" t="str">
        <f t="shared" si="28"/>
        <v>NA</v>
      </c>
      <c r="G139" s="482">
        <f t="shared" si="29"/>
        <v>4.8127278655988315E-2</v>
      </c>
      <c r="H139" s="64"/>
    </row>
    <row r="140" spans="2:8">
      <c r="B140" s="755"/>
      <c r="C140" s="19" t="s">
        <v>122</v>
      </c>
      <c r="D140" s="482">
        <f t="shared" ref="D140:G140" si="30">(D120/D130)-1</f>
        <v>-6.2810925598776102E-2</v>
      </c>
      <c r="E140" s="482">
        <f t="shared" si="30"/>
        <v>-0.14587144858421408</v>
      </c>
      <c r="F140" s="482">
        <f t="shared" si="28"/>
        <v>-0.57601522432911123</v>
      </c>
      <c r="G140" s="482">
        <f t="shared" si="30"/>
        <v>-0.14415512105434358</v>
      </c>
      <c r="H140" s="64"/>
    </row>
    <row r="141" spans="2:8">
      <c r="B141" s="755" t="s">
        <v>36</v>
      </c>
      <c r="C141" s="562" t="s">
        <v>121</v>
      </c>
      <c r="D141" s="482">
        <f t="shared" ref="D141:G141" si="31">(D121/D131)-1</f>
        <v>6.4102096988633228E-2</v>
      </c>
      <c r="E141" s="482">
        <f t="shared" si="31"/>
        <v>0.60149027831511837</v>
      </c>
      <c r="F141" s="482" t="str">
        <f t="shared" si="28"/>
        <v>NA</v>
      </c>
      <c r="G141" s="482">
        <f t="shared" si="31"/>
        <v>0.23064913617434435</v>
      </c>
      <c r="H141" s="64"/>
    </row>
    <row r="142" spans="2:8">
      <c r="B142" s="755"/>
      <c r="C142" s="19" t="s">
        <v>122</v>
      </c>
      <c r="D142" s="482">
        <f t="shared" ref="D142:G142" si="32">(D122/D132)-1</f>
        <v>1.2839680410512422E-2</v>
      </c>
      <c r="E142" s="482">
        <f t="shared" si="32"/>
        <v>1.4015322126384566E-2</v>
      </c>
      <c r="F142" s="482">
        <f t="shared" si="28"/>
        <v>6.6645488384799112E-2</v>
      </c>
      <c r="G142" s="482">
        <f t="shared" si="32"/>
        <v>1.5296229681688978E-2</v>
      </c>
      <c r="H142" s="64"/>
    </row>
    <row r="143" spans="2:8">
      <c r="D143" s="64"/>
      <c r="E143" s="64"/>
      <c r="F143" s="64"/>
      <c r="G143" s="64"/>
      <c r="H143" s="64"/>
    </row>
  </sheetData>
  <mergeCells count="64">
    <mergeCell ref="D63:R63"/>
    <mergeCell ref="D76:R76"/>
    <mergeCell ref="D87:R87"/>
    <mergeCell ref="B137:B138"/>
    <mergeCell ref="B139:B140"/>
    <mergeCell ref="B119:B120"/>
    <mergeCell ref="B121:B122"/>
    <mergeCell ref="B115:G115"/>
    <mergeCell ref="C106:F106"/>
    <mergeCell ref="B106:B107"/>
    <mergeCell ref="B117:B118"/>
    <mergeCell ref="B89:B90"/>
    <mergeCell ref="B91:B92"/>
    <mergeCell ref="B95:B96"/>
    <mergeCell ref="B87:B88"/>
    <mergeCell ref="C87:C88"/>
    <mergeCell ref="B141:B142"/>
    <mergeCell ref="B125:G125"/>
    <mergeCell ref="B127:B128"/>
    <mergeCell ref="B129:B130"/>
    <mergeCell ref="B131:B132"/>
    <mergeCell ref="B135:G135"/>
    <mergeCell ref="B93:B94"/>
    <mergeCell ref="B78:B79"/>
    <mergeCell ref="B80:B81"/>
    <mergeCell ref="B82:B83"/>
    <mergeCell ref="B76:B77"/>
    <mergeCell ref="C76:C77"/>
    <mergeCell ref="B71:B72"/>
    <mergeCell ref="B63:B64"/>
    <mergeCell ref="C63:C64"/>
    <mergeCell ref="B65:B66"/>
    <mergeCell ref="B67:B68"/>
    <mergeCell ref="B69:B70"/>
    <mergeCell ref="B59:B60"/>
    <mergeCell ref="B51:B52"/>
    <mergeCell ref="C51:C52"/>
    <mergeCell ref="D51:R51"/>
    <mergeCell ref="B53:B54"/>
    <mergeCell ref="B55:B56"/>
    <mergeCell ref="B57:B58"/>
    <mergeCell ref="B35:B36"/>
    <mergeCell ref="B40:B41"/>
    <mergeCell ref="B42:B43"/>
    <mergeCell ref="B46:B47"/>
    <mergeCell ref="B27:B28"/>
    <mergeCell ref="B33:B34"/>
    <mergeCell ref="B44:B45"/>
    <mergeCell ref="B4:B5"/>
    <mergeCell ref="D4:R4"/>
    <mergeCell ref="I16:J16"/>
    <mergeCell ref="C4:C5"/>
    <mergeCell ref="B6:B7"/>
    <mergeCell ref="B12:B13"/>
    <mergeCell ref="B8:B9"/>
    <mergeCell ref="B10:B11"/>
    <mergeCell ref="C27:C28"/>
    <mergeCell ref="D27:R27"/>
    <mergeCell ref="B29:B30"/>
    <mergeCell ref="B31:B32"/>
    <mergeCell ref="B17:B18"/>
    <mergeCell ref="B19:B20"/>
    <mergeCell ref="B23:B24"/>
    <mergeCell ref="B21:B22"/>
  </mergeCells>
  <pageMargins left="0.7" right="0.7" top="0.75" bottom="0.75" header="0.3" footer="0.3"/>
  <pageSetup paperSize="11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G8"/>
  <sheetViews>
    <sheetView showGridLines="0" workbookViewId="0">
      <selection activeCell="H14" sqref="H14"/>
    </sheetView>
  </sheetViews>
  <sheetFormatPr baseColWidth="10" defaultRowHeight="15"/>
  <cols>
    <col min="3" max="3" width="14.140625" bestFit="1" customWidth="1"/>
  </cols>
  <sheetData>
    <row r="3" spans="2:7">
      <c r="B3" s="1" t="s">
        <v>173</v>
      </c>
      <c r="F3" s="1" t="s">
        <v>176</v>
      </c>
    </row>
    <row r="4" spans="2:7">
      <c r="C4" s="74" t="s">
        <v>68</v>
      </c>
      <c r="D4" s="74" t="s">
        <v>178</v>
      </c>
      <c r="F4" s="547">
        <f>[1]GEI_eléctrico!$F$18</f>
        <v>8.2083807626636314E-3</v>
      </c>
      <c r="G4" t="s">
        <v>177</v>
      </c>
    </row>
    <row r="5" spans="2:7">
      <c r="B5" t="s">
        <v>11</v>
      </c>
      <c r="C5" s="66">
        <f>+'Dato de Actividad'!C49</f>
        <v>11877000</v>
      </c>
      <c r="D5" s="238">
        <f>+C5*$F$4</f>
        <v>97490.938318155953</v>
      </c>
      <c r="F5" s="490">
        <f>[8]TJ!$F$4</f>
        <v>7.5150739259753005E-3</v>
      </c>
      <c r="G5" t="s">
        <v>277</v>
      </c>
    </row>
    <row r="6" spans="2:7">
      <c r="B6" t="s">
        <v>13</v>
      </c>
      <c r="C6" s="239">
        <f>+'Dato de Actividad'!C83</f>
        <v>12795604.628852725</v>
      </c>
      <c r="D6" s="238">
        <f>+C6*$F$4</f>
        <v>105031.19488212443</v>
      </c>
      <c r="F6" s="255">
        <f>+F4/F5-1</f>
        <v>9.2255491232357212E-2</v>
      </c>
    </row>
    <row r="7" spans="2:7">
      <c r="B7" t="s">
        <v>174</v>
      </c>
      <c r="C7" s="66">
        <f>+'Dato de Actividad'!C94</f>
        <v>205966.15930306516</v>
      </c>
      <c r="D7" s="238">
        <f>+C7*$F$4</f>
        <v>1690.648659782993</v>
      </c>
    </row>
    <row r="8" spans="2:7">
      <c r="B8" s="1" t="s">
        <v>175</v>
      </c>
      <c r="C8" s="489">
        <f>+SUM(C5:C7)</f>
        <v>24878570.78815579</v>
      </c>
      <c r="D8" s="489">
        <f>+SUM(D5:D7)</f>
        <v>204212.78186006335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Generales</vt:lpstr>
      <vt:lpstr>Metodología y FE</vt:lpstr>
      <vt:lpstr>Dato de Actividad</vt:lpstr>
      <vt:lpstr>Consumo_CDMX</vt:lpstr>
      <vt:lpstr>Consumo_EDOMEX</vt:lpstr>
      <vt:lpstr>Consumo_Tizayuca</vt:lpstr>
      <vt:lpstr>Emisiones GEI_Electricidad</vt:lpstr>
      <vt:lpstr>Emisiones por entidad</vt:lpstr>
      <vt:lpstr>TJ</vt:lpstr>
      <vt:lpstr>Propuesta Población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vrodriguez</dc:creator>
  <cp:lastModifiedBy>Petra Paz Ramírez</cp:lastModifiedBy>
  <dcterms:created xsi:type="dcterms:W3CDTF">2016-11-01T14:27:16Z</dcterms:created>
  <dcterms:modified xsi:type="dcterms:W3CDTF">2024-10-24T19:38:42Z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d5cef5aa-9459-4453-8732-05b1a0f04357</vt:lpwstr>
  </property>
</Properties>
</file>