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HANG_JOSH\Downloads\"/>
    </mc:Choice>
  </mc:AlternateContent>
  <xr:revisionPtr revIDLastSave="0" documentId="13_ncr:1_{FB62A0C5-E8E6-4964-BFA2-02D309503051}" xr6:coauthVersionLast="43" xr6:coauthVersionMax="45" xr10:uidLastSave="{00000000-0000-0000-0000-000000000000}"/>
  <bookViews>
    <workbookView xWindow="-120" yWindow="-120" windowWidth="19440" windowHeight="10440" xr2:uid="{109889DF-B5A2-4A33-8E79-B045640FE180}"/>
  </bookViews>
  <sheets>
    <sheet name="Final" sheetId="3" r:id="rId1"/>
    <sheet name="More Data" sheetId="4" r:id="rId2"/>
    <sheet name="Sheet1" sheetId="1" r:id="rId3"/>
    <sheet name="Standardize NHL Performance" sheetId="2" r:id="rId4"/>
  </sheets>
  <definedNames>
    <definedName name="_xlnm._FilterDatabase" localSheetId="0" hidden="1">Final!$A$1:$AC$1</definedName>
    <definedName name="_xlnm._FilterDatabase" localSheetId="2" hidden="1">Sheet1!$A$1:$AK$472</definedName>
    <definedName name="solver_typ" localSheetId="2" hidden="1">2</definedName>
    <definedName name="solver_ver" localSheetId="2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63" i="3" l="1"/>
  <c r="W146" i="3"/>
  <c r="W365" i="3"/>
  <c r="W430" i="3"/>
  <c r="W275" i="3"/>
  <c r="W156" i="3"/>
  <c r="W284" i="3"/>
  <c r="W301" i="3"/>
  <c r="W265" i="3"/>
  <c r="W198" i="3"/>
  <c r="W315" i="3"/>
  <c r="W176" i="3"/>
  <c r="W236" i="3"/>
  <c r="W279" i="3"/>
  <c r="W202" i="3"/>
  <c r="W2" i="3"/>
  <c r="W210" i="3"/>
  <c r="W138" i="3"/>
  <c r="W91" i="3"/>
  <c r="W403" i="3"/>
  <c r="W434" i="3"/>
  <c r="W139" i="3"/>
  <c r="W424" i="3"/>
  <c r="W448" i="3"/>
  <c r="W41" i="3"/>
  <c r="W272" i="3"/>
  <c r="W245" i="3"/>
  <c r="W51" i="3"/>
  <c r="W402" i="3"/>
  <c r="W305" i="3"/>
  <c r="W371" i="3"/>
  <c r="W72" i="3"/>
  <c r="W262" i="3"/>
  <c r="W269" i="3"/>
  <c r="W239" i="3"/>
  <c r="W92" i="3"/>
  <c r="W469" i="3"/>
  <c r="W323" i="3"/>
  <c r="W105" i="3"/>
  <c r="W155" i="3"/>
  <c r="W133" i="3"/>
  <c r="W144" i="3"/>
  <c r="W64" i="3"/>
  <c r="W336" i="3"/>
  <c r="W19" i="3"/>
  <c r="W96" i="3"/>
  <c r="W47" i="3"/>
  <c r="W62" i="3"/>
  <c r="W14" i="3"/>
  <c r="W87" i="3"/>
  <c r="W335" i="3"/>
  <c r="W128" i="3"/>
  <c r="W3" i="3"/>
  <c r="W6" i="3"/>
  <c r="W316" i="3"/>
  <c r="W178" i="3"/>
  <c r="W203" i="3"/>
  <c r="W124" i="3"/>
  <c r="W213" i="3"/>
  <c r="W33" i="3"/>
  <c r="W266" i="3"/>
  <c r="W49" i="3"/>
  <c r="W93" i="3"/>
  <c r="W330" i="3"/>
  <c r="W324" i="3"/>
  <c r="W46" i="3"/>
  <c r="W101" i="3"/>
  <c r="W312" i="3"/>
  <c r="W409" i="3"/>
  <c r="W415" i="3"/>
  <c r="W95" i="3"/>
  <c r="W111" i="3"/>
  <c r="W237" i="3"/>
  <c r="W238" i="3"/>
  <c r="W8" i="3"/>
  <c r="W189" i="3"/>
  <c r="W211" i="3"/>
  <c r="W419" i="3"/>
  <c r="W407" i="3"/>
  <c r="W174" i="3"/>
  <c r="W115" i="3"/>
  <c r="W377" i="3"/>
  <c r="W454" i="3"/>
  <c r="W76" i="3"/>
  <c r="W427" i="3"/>
  <c r="W188" i="3"/>
  <c r="W278" i="3"/>
  <c r="W187" i="3"/>
  <c r="W422" i="3"/>
  <c r="W428" i="3"/>
  <c r="W219" i="3"/>
  <c r="W436" i="3"/>
  <c r="W467" i="3"/>
  <c r="W201" i="3"/>
  <c r="W147" i="3"/>
  <c r="W38" i="3"/>
  <c r="W136" i="3"/>
  <c r="W342" i="3"/>
  <c r="W180" i="3"/>
  <c r="W450" i="3"/>
  <c r="W81" i="3"/>
  <c r="W259" i="3"/>
  <c r="W308" i="3"/>
  <c r="W438" i="3"/>
  <c r="W429" i="3"/>
  <c r="W126" i="3"/>
  <c r="W391" i="3"/>
  <c r="W363" i="3"/>
  <c r="W253" i="3"/>
  <c r="W423" i="3"/>
  <c r="W215" i="3"/>
  <c r="W50" i="3"/>
  <c r="W223" i="3"/>
  <c r="W37" i="3"/>
  <c r="W137" i="3"/>
  <c r="W205" i="3"/>
  <c r="W281" i="3"/>
  <c r="W375" i="3"/>
  <c r="W140" i="3"/>
  <c r="W7" i="3"/>
  <c r="W471" i="3"/>
  <c r="W249" i="3"/>
  <c r="W48" i="3"/>
  <c r="W118" i="3"/>
  <c r="W182" i="3"/>
  <c r="W383" i="3"/>
  <c r="W432" i="3"/>
  <c r="W382" i="3"/>
  <c r="W171" i="3"/>
  <c r="W121" i="3"/>
  <c r="W232" i="3"/>
  <c r="W364" i="3"/>
  <c r="W462" i="3"/>
  <c r="W286" i="3"/>
  <c r="W288" i="3"/>
  <c r="W185" i="3"/>
  <c r="W459" i="3"/>
  <c r="W84" i="3"/>
  <c r="W306" i="3"/>
  <c r="W73" i="3"/>
  <c r="W66" i="3"/>
  <c r="W268" i="3"/>
  <c r="W5" i="3"/>
  <c r="W338" i="3"/>
  <c r="W461" i="3"/>
  <c r="W71" i="3"/>
  <c r="W378" i="3"/>
  <c r="W170" i="3"/>
  <c r="W169" i="3"/>
  <c r="W387" i="3"/>
  <c r="W39" i="3"/>
  <c r="W11" i="3"/>
  <c r="W120" i="3"/>
  <c r="W240" i="3"/>
  <c r="W110" i="3"/>
  <c r="W61" i="3"/>
  <c r="W277" i="3"/>
  <c r="W405" i="3"/>
  <c r="W4" i="3"/>
  <c r="W17" i="3"/>
  <c r="W227" i="3"/>
  <c r="W183" i="3"/>
  <c r="W372" i="3"/>
  <c r="W379" i="3"/>
  <c r="W31" i="3"/>
  <c r="W159" i="3"/>
  <c r="W334" i="3"/>
  <c r="W425" i="3"/>
  <c r="W235" i="3"/>
  <c r="W302" i="3"/>
  <c r="W394" i="3"/>
  <c r="W311" i="3"/>
  <c r="W314" i="3"/>
  <c r="W29" i="3"/>
  <c r="W131" i="3"/>
  <c r="W352" i="3"/>
  <c r="W152" i="3"/>
  <c r="W376" i="3"/>
  <c r="W25" i="3"/>
  <c r="W385" i="3"/>
  <c r="W200" i="3"/>
  <c r="W445" i="3"/>
  <c r="W446" i="3"/>
  <c r="W190" i="3"/>
  <c r="W224" i="3"/>
  <c r="W341" i="3"/>
  <c r="W56" i="3"/>
  <c r="W44" i="3"/>
  <c r="W90" i="3"/>
  <c r="W179" i="3"/>
  <c r="W194" i="3"/>
  <c r="W163" i="3"/>
  <c r="W326" i="3"/>
  <c r="W24" i="3"/>
  <c r="W88" i="3"/>
  <c r="W13" i="3"/>
  <c r="W209" i="3"/>
  <c r="W299" i="3"/>
  <c r="W348" i="3"/>
  <c r="W329" i="3"/>
  <c r="W317" i="3"/>
  <c r="W186" i="3"/>
  <c r="W150" i="3"/>
  <c r="W303" i="3"/>
  <c r="W231" i="3"/>
  <c r="W104" i="3"/>
  <c r="W43" i="3"/>
  <c r="W113" i="3"/>
  <c r="W82" i="3"/>
  <c r="W294" i="3"/>
  <c r="W380" i="3"/>
  <c r="W319" i="3"/>
  <c r="W325" i="3"/>
  <c r="W449" i="3"/>
  <c r="W57" i="3"/>
  <c r="W206" i="3"/>
  <c r="W164" i="3"/>
  <c r="W142" i="3"/>
  <c r="W157" i="3"/>
  <c r="W320" i="3"/>
  <c r="W177" i="3"/>
  <c r="W293" i="3"/>
  <c r="W191" i="3"/>
  <c r="W333" i="3"/>
  <c r="W63" i="3"/>
  <c r="W75" i="3"/>
  <c r="W452" i="3"/>
  <c r="W455" i="3"/>
  <c r="W145" i="3"/>
  <c r="W106" i="3"/>
  <c r="W397" i="3"/>
  <c r="W212" i="3"/>
  <c r="W369" i="3"/>
  <c r="W83" i="3"/>
  <c r="W437" i="3"/>
  <c r="W175" i="3"/>
  <c r="W358" i="3"/>
  <c r="W350" i="3"/>
  <c r="W460" i="3"/>
  <c r="W264" i="3"/>
  <c r="W60" i="3"/>
  <c r="W321" i="3"/>
  <c r="W70" i="3"/>
  <c r="W390" i="3"/>
  <c r="W362" i="3"/>
  <c r="W360" i="3"/>
  <c r="W220" i="3"/>
  <c r="W243" i="3"/>
  <c r="W276" i="3"/>
  <c r="W331" i="3"/>
  <c r="W166" i="3"/>
  <c r="W389" i="3"/>
  <c r="W229" i="3"/>
  <c r="W30" i="3"/>
  <c r="W398" i="3"/>
  <c r="W114" i="3"/>
  <c r="W233" i="3"/>
  <c r="W127" i="3"/>
  <c r="W77" i="3"/>
  <c r="W267" i="3"/>
  <c r="W246" i="3"/>
  <c r="W59" i="3"/>
  <c r="W162" i="3"/>
  <c r="W392" i="3"/>
  <c r="W418" i="3"/>
  <c r="W103" i="3"/>
  <c r="W355" i="3"/>
  <c r="W345" i="3"/>
  <c r="W247" i="3"/>
  <c r="W337" i="3"/>
  <c r="W173" i="3"/>
  <c r="W45" i="3"/>
  <c r="W327" i="3"/>
  <c r="W225" i="3"/>
  <c r="W384" i="3"/>
  <c r="W339" i="3"/>
  <c r="W417" i="3"/>
  <c r="W79" i="3"/>
  <c r="W370" i="3"/>
  <c r="W361" i="3"/>
  <c r="W395" i="3"/>
  <c r="W298" i="3"/>
  <c r="W447" i="3"/>
  <c r="W10" i="3"/>
  <c r="W439" i="3"/>
  <c r="W416" i="3"/>
  <c r="W154" i="3"/>
  <c r="W172" i="3"/>
  <c r="W401" i="3"/>
  <c r="W431" i="3"/>
  <c r="W366" i="3"/>
  <c r="W257" i="3"/>
  <c r="W260" i="3"/>
  <c r="W244" i="3"/>
  <c r="W248" i="3"/>
  <c r="W165" i="3"/>
  <c r="W368" i="3"/>
  <c r="W193" i="3"/>
  <c r="W295" i="3"/>
  <c r="W54" i="3"/>
  <c r="W357" i="3"/>
  <c r="W443" i="3"/>
  <c r="W218" i="3"/>
  <c r="W290" i="3"/>
  <c r="W21" i="3"/>
  <c r="W457" i="3"/>
  <c r="W453" i="3"/>
  <c r="W112" i="3"/>
  <c r="W216" i="3"/>
  <c r="W297" i="3"/>
  <c r="W285" i="3"/>
  <c r="W158" i="3"/>
  <c r="W222" i="3"/>
  <c r="W86" i="3"/>
  <c r="W208" i="3"/>
  <c r="W251" i="3"/>
  <c r="W109" i="3"/>
  <c r="W119" i="3"/>
  <c r="W426" i="3"/>
  <c r="W318" i="3"/>
  <c r="W195" i="3"/>
  <c r="W18" i="3"/>
  <c r="W117" i="3"/>
  <c r="W304" i="3"/>
  <c r="W151" i="3"/>
  <c r="W287" i="3"/>
  <c r="W386" i="3"/>
  <c r="W53" i="3"/>
  <c r="W346" i="3"/>
  <c r="W472" i="3"/>
  <c r="W373" i="3"/>
  <c r="W80" i="3"/>
  <c r="W399" i="3"/>
  <c r="W68" i="3"/>
  <c r="W413" i="3"/>
  <c r="W356" i="3"/>
  <c r="W28" i="3"/>
  <c r="W433" i="3"/>
  <c r="W412" i="3"/>
  <c r="W141" i="3"/>
  <c r="W199" i="3"/>
  <c r="W270" i="3"/>
  <c r="W274" i="3"/>
  <c r="W354" i="3"/>
  <c r="W181" i="3"/>
  <c r="W123" i="3"/>
  <c r="W414" i="3"/>
  <c r="W435" i="3"/>
  <c r="W328" i="3"/>
  <c r="W273" i="3"/>
  <c r="W65" i="3"/>
  <c r="W291" i="3"/>
  <c r="W98" i="3"/>
  <c r="W258" i="3"/>
  <c r="W252" i="3"/>
  <c r="W347" i="3"/>
  <c r="W52" i="3"/>
  <c r="W78" i="3"/>
  <c r="W69" i="3"/>
  <c r="W74" i="3"/>
  <c r="W85" i="3"/>
  <c r="W55" i="3"/>
  <c r="W367" i="3"/>
  <c r="W283" i="3"/>
  <c r="W214" i="3"/>
  <c r="W310" i="3"/>
  <c r="W353" i="3"/>
  <c r="W458" i="3"/>
  <c r="W107" i="3"/>
  <c r="W89" i="3"/>
  <c r="W410" i="3"/>
  <c r="W263" i="3"/>
  <c r="W9" i="3"/>
  <c r="W400" i="3"/>
  <c r="W167" i="3"/>
  <c r="W35" i="3"/>
  <c r="W255" i="3"/>
  <c r="W102" i="3"/>
  <c r="W374" i="3"/>
  <c r="W408" i="3"/>
  <c r="W307" i="3"/>
  <c r="W197" i="3"/>
  <c r="W58" i="3"/>
  <c r="W456" i="3"/>
  <c r="W132" i="3"/>
  <c r="W143" i="3"/>
  <c r="W388" i="3"/>
  <c r="W322" i="3"/>
  <c r="W309" i="3"/>
  <c r="W296" i="3"/>
  <c r="W27" i="3"/>
  <c r="W340" i="3"/>
  <c r="W130" i="3"/>
  <c r="W234" i="3"/>
  <c r="W242" i="3"/>
  <c r="W161" i="3"/>
  <c r="W256" i="3"/>
  <c r="W108" i="3"/>
  <c r="W67" i="3"/>
  <c r="W282" i="3"/>
  <c r="W280" i="3"/>
  <c r="W192" i="3"/>
  <c r="W289" i="3"/>
  <c r="W420" i="3"/>
  <c r="W217" i="3"/>
  <c r="W122" i="3"/>
  <c r="W421" i="3"/>
  <c r="W228" i="3"/>
  <c r="W135" i="3"/>
  <c r="W207" i="3"/>
  <c r="W300" i="3"/>
  <c r="W12" i="3"/>
  <c r="W15" i="3"/>
  <c r="W441" i="3"/>
  <c r="W332" i="3"/>
  <c r="W22" i="3"/>
  <c r="W381" i="3"/>
  <c r="W94" i="3"/>
  <c r="W468" i="3"/>
  <c r="W160" i="3"/>
  <c r="W26" i="3"/>
  <c r="W261" i="3"/>
  <c r="W313" i="3"/>
  <c r="W184" i="3"/>
  <c r="W442" i="3"/>
  <c r="W40" i="3"/>
  <c r="W16" i="3"/>
  <c r="W148" i="3"/>
  <c r="W168" i="3"/>
  <c r="W466" i="3"/>
  <c r="W271" i="3"/>
  <c r="W129" i="3"/>
  <c r="W153" i="3"/>
  <c r="W406" i="3"/>
  <c r="W292" i="3"/>
  <c r="W464" i="3"/>
  <c r="W444" i="3"/>
  <c r="W226" i="3"/>
  <c r="W230" i="3"/>
  <c r="W97" i="3"/>
  <c r="W241" i="3"/>
  <c r="W32" i="3"/>
  <c r="W134" i="3"/>
  <c r="W221" i="3"/>
  <c r="W359" i="3"/>
  <c r="W349" i="3"/>
  <c r="W411" i="3"/>
  <c r="W149" i="3"/>
  <c r="W465" i="3"/>
  <c r="W125" i="3"/>
  <c r="W343" i="3"/>
  <c r="W344" i="3"/>
  <c r="W204" i="3"/>
  <c r="W396" i="3"/>
  <c r="W451" i="3"/>
  <c r="W250" i="3"/>
  <c r="W34" i="3"/>
  <c r="W440" i="3"/>
  <c r="W23" i="3"/>
  <c r="W351" i="3"/>
  <c r="W254" i="3"/>
  <c r="W393" i="3"/>
  <c r="W36" i="3"/>
  <c r="W42" i="3"/>
  <c r="W404" i="3"/>
  <c r="W470" i="3"/>
  <c r="W99" i="3"/>
  <c r="W100" i="3"/>
  <c r="W20" i="3"/>
  <c r="W196" i="3"/>
  <c r="W116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2" i="4"/>
  <c r="AO467" i="1" l="1"/>
  <c r="AO464" i="1"/>
  <c r="AO463" i="1"/>
  <c r="AO462" i="1"/>
  <c r="AO459" i="1"/>
  <c r="AO458" i="1"/>
  <c r="AO457" i="1"/>
  <c r="AO455" i="1"/>
  <c r="AO454" i="1"/>
  <c r="AO453" i="1"/>
  <c r="AO452" i="1"/>
  <c r="AO451" i="1"/>
  <c r="AO448" i="1"/>
  <c r="AO447" i="1"/>
  <c r="AO446" i="1"/>
  <c r="AO445" i="1"/>
  <c r="AO444" i="1"/>
  <c r="AO443" i="1"/>
  <c r="AO442" i="1"/>
  <c r="AO441" i="1"/>
  <c r="AO440" i="1"/>
  <c r="AO435" i="1"/>
  <c r="AO434" i="1"/>
  <c r="AO432" i="1"/>
  <c r="AO430" i="1"/>
  <c r="AO428" i="1"/>
  <c r="AO427" i="1"/>
  <c r="AO426" i="1"/>
  <c r="AO424" i="1"/>
  <c r="AO423" i="1"/>
  <c r="AO422" i="1"/>
  <c r="AO421" i="1"/>
  <c r="AO420" i="1"/>
  <c r="AO415" i="1"/>
  <c r="AO414" i="1"/>
  <c r="AO412" i="1"/>
  <c r="AO410" i="1"/>
  <c r="AO409" i="1"/>
  <c r="AO408" i="1"/>
  <c r="AO407" i="1"/>
  <c r="AO406" i="1"/>
  <c r="AO404" i="1"/>
  <c r="AO403" i="1"/>
  <c r="AO402" i="1"/>
  <c r="AO401" i="1"/>
  <c r="AO399" i="1"/>
  <c r="AO398" i="1"/>
  <c r="AO396" i="1"/>
  <c r="AO394" i="1"/>
  <c r="AO392" i="1"/>
  <c r="AO390" i="1"/>
  <c r="AO389" i="1"/>
  <c r="AO388" i="1"/>
  <c r="AO386" i="1"/>
  <c r="AO385" i="1"/>
  <c r="AO384" i="1"/>
  <c r="AO383" i="1"/>
  <c r="AO382" i="1"/>
  <c r="AO380" i="1"/>
  <c r="AO379" i="1"/>
  <c r="AO378" i="1"/>
  <c r="AO376" i="1"/>
  <c r="AO375" i="1"/>
  <c r="AO372" i="1"/>
  <c r="AO371" i="1"/>
  <c r="AO370" i="1"/>
  <c r="AO368" i="1"/>
  <c r="AO360" i="1"/>
  <c r="AO358" i="1"/>
  <c r="AO356" i="1"/>
  <c r="AO355" i="1"/>
  <c r="AO354" i="1"/>
  <c r="AO353" i="1"/>
  <c r="AO351" i="1"/>
  <c r="AO348" i="1"/>
  <c r="AO347" i="1"/>
  <c r="AO346" i="1"/>
  <c r="AO344" i="1"/>
  <c r="AO339" i="1"/>
  <c r="AO338" i="1"/>
  <c r="AO326" i="1"/>
  <c r="AO324" i="1"/>
  <c r="AO322" i="1"/>
  <c r="AO320" i="1"/>
  <c r="AO318" i="1"/>
  <c r="AO317" i="1"/>
  <c r="AO315" i="1"/>
  <c r="AO314" i="1"/>
  <c r="AO308" i="1"/>
  <c r="AO307" i="1"/>
  <c r="AO305" i="1"/>
  <c r="AO304" i="1"/>
  <c r="AO303" i="1"/>
  <c r="AO302" i="1"/>
  <c r="AO298" i="1"/>
  <c r="AO297" i="1"/>
  <c r="AO294" i="1"/>
  <c r="AO288" i="1"/>
  <c r="AO287" i="1"/>
  <c r="AO282" i="1"/>
  <c r="AO281" i="1"/>
  <c r="AO279" i="1"/>
  <c r="AO273" i="1"/>
  <c r="AO271" i="1"/>
  <c r="AO268" i="1"/>
  <c r="AO262" i="1"/>
  <c r="AO260" i="1"/>
  <c r="AO259" i="1"/>
  <c r="AO256" i="1"/>
  <c r="AO253" i="1"/>
  <c r="AO245" i="1"/>
  <c r="AO244" i="1"/>
  <c r="AO241" i="1"/>
  <c r="AO238" i="1"/>
  <c r="AO237" i="1"/>
  <c r="AO234" i="1"/>
  <c r="AO233" i="1"/>
  <c r="AO232" i="1"/>
  <c r="AO231" i="1"/>
  <c r="AO228" i="1"/>
  <c r="AO227" i="1"/>
  <c r="AO226" i="1"/>
  <c r="AO225" i="1"/>
  <c r="AO223" i="1"/>
  <c r="AO220" i="1"/>
  <c r="AO219" i="1"/>
  <c r="AO213" i="1"/>
  <c r="AO212" i="1"/>
  <c r="AO208" i="1"/>
  <c r="AO207" i="1"/>
  <c r="AO205" i="1"/>
  <c r="AO203" i="1"/>
  <c r="AO202" i="1"/>
  <c r="AO196" i="1"/>
  <c r="AO192" i="1"/>
  <c r="AO189" i="1"/>
  <c r="AO187" i="1"/>
  <c r="AO176" i="1"/>
  <c r="AO175" i="1"/>
  <c r="AO159" i="1"/>
  <c r="AO157" i="1"/>
  <c r="AO156" i="1"/>
  <c r="AO155" i="1"/>
  <c r="AO150" i="1"/>
  <c r="AO146" i="1"/>
  <c r="AO145" i="1"/>
  <c r="AO131" i="1"/>
  <c r="AO130" i="1"/>
  <c r="AO129" i="1"/>
  <c r="AO127" i="1"/>
  <c r="AO124" i="1"/>
  <c r="AO122" i="1"/>
  <c r="AO108" i="1"/>
  <c r="AO106" i="1"/>
  <c r="AO105" i="1"/>
  <c r="AO103" i="1"/>
  <c r="AO99" i="1"/>
  <c r="AO97" i="1"/>
  <c r="AO82" i="1"/>
  <c r="AO57" i="1"/>
  <c r="AO35" i="1"/>
  <c r="AO5" i="1"/>
  <c r="J471" i="3" l="1"/>
  <c r="J294" i="3"/>
  <c r="J215" i="3"/>
  <c r="J446" i="3"/>
  <c r="J463" i="3"/>
  <c r="J229" i="3"/>
  <c r="J396" i="3"/>
  <c r="J316" i="3"/>
  <c r="J191" i="3"/>
  <c r="J58" i="3"/>
  <c r="J427" i="3"/>
  <c r="J451" i="3"/>
  <c r="J314" i="3"/>
  <c r="J59" i="3"/>
  <c r="J452" i="3"/>
  <c r="J185" i="3"/>
  <c r="J368" i="3"/>
  <c r="J157" i="3"/>
  <c r="J458" i="3"/>
  <c r="J419" i="3"/>
  <c r="J234" i="3"/>
  <c r="J448" i="3"/>
  <c r="J442" i="3"/>
  <c r="J204" i="3"/>
  <c r="J180" i="3"/>
  <c r="J337" i="3"/>
  <c r="J395" i="3"/>
  <c r="J281" i="3"/>
  <c r="J277" i="3"/>
  <c r="J383" i="3"/>
  <c r="J445" i="3"/>
  <c r="J359" i="3"/>
  <c r="J155" i="3"/>
  <c r="J441" i="3"/>
  <c r="J264" i="3"/>
  <c r="J434" i="3"/>
  <c r="J353" i="3"/>
  <c r="J110" i="3"/>
  <c r="J306" i="3"/>
  <c r="J352" i="3"/>
  <c r="J220" i="3"/>
  <c r="J262" i="3"/>
  <c r="J20" i="3"/>
  <c r="J44" i="3"/>
  <c r="J217" i="3"/>
  <c r="J84" i="3"/>
  <c r="J440" i="3"/>
  <c r="J296" i="3"/>
  <c r="J276" i="3"/>
  <c r="J365" i="3"/>
  <c r="J273" i="3"/>
  <c r="J282" i="3"/>
  <c r="J326" i="3"/>
  <c r="J291" i="3"/>
  <c r="J385" i="3"/>
  <c r="J65" i="3"/>
  <c r="J278" i="3"/>
  <c r="J208" i="3"/>
  <c r="J194" i="3"/>
  <c r="J150" i="3"/>
  <c r="J138" i="3"/>
  <c r="J245" i="3"/>
  <c r="J40" i="3"/>
  <c r="J152" i="3"/>
  <c r="J153" i="3"/>
  <c r="J370" i="3"/>
  <c r="J168" i="3"/>
  <c r="J132" i="3"/>
  <c r="J360" i="3"/>
  <c r="J77" i="3"/>
  <c r="J310" i="3"/>
  <c r="J433" i="3"/>
  <c r="J116" i="3"/>
  <c r="J167" i="3"/>
  <c r="J86" i="3"/>
  <c r="J378" i="3"/>
  <c r="J149" i="3"/>
  <c r="J259" i="3"/>
  <c r="J254" i="3"/>
  <c r="J195" i="3"/>
  <c r="J31" i="3"/>
  <c r="J55" i="3"/>
  <c r="J111" i="3"/>
  <c r="J105" i="3"/>
  <c r="J206" i="3"/>
  <c r="J207" i="3"/>
  <c r="J107" i="3"/>
  <c r="J257" i="3"/>
  <c r="J25" i="3"/>
  <c r="J48" i="3"/>
  <c r="J151" i="3"/>
  <c r="J63" i="3"/>
  <c r="J162" i="3"/>
  <c r="J141" i="3"/>
  <c r="J64" i="3"/>
  <c r="J61" i="3"/>
  <c r="W28" i="1" l="1"/>
  <c r="S28" i="1"/>
  <c r="R28" i="1"/>
  <c r="W32" i="1"/>
  <c r="U32" i="1"/>
  <c r="T32" i="1"/>
  <c r="S32" i="1"/>
  <c r="R32" i="1"/>
  <c r="P32" i="1"/>
  <c r="O32" i="1"/>
  <c r="N32" i="1"/>
  <c r="W270" i="1"/>
  <c r="U270" i="1"/>
  <c r="T270" i="1"/>
  <c r="S270" i="1"/>
  <c r="Q270" i="1"/>
  <c r="V362" i="1"/>
  <c r="V149" i="1"/>
  <c r="V62" i="1"/>
  <c r="V425" i="1"/>
  <c r="V106" i="1"/>
  <c r="V230" i="1"/>
  <c r="V28" i="1"/>
  <c r="V302" i="1"/>
  <c r="V268" i="1"/>
  <c r="V399" i="1"/>
  <c r="V434" i="1"/>
  <c r="V142" i="1"/>
  <c r="V335" i="1"/>
  <c r="Q362" i="1"/>
  <c r="Q149" i="1"/>
  <c r="Q62" i="1"/>
  <c r="Q425" i="1"/>
  <c r="Q106" i="1"/>
  <c r="Q230" i="1"/>
  <c r="Q28" i="1"/>
  <c r="Q302" i="1"/>
  <c r="Q268" i="1"/>
  <c r="Q399" i="1"/>
  <c r="Q434" i="1"/>
  <c r="Q142" i="1"/>
  <c r="Q335" i="1"/>
  <c r="K270" i="1"/>
  <c r="K32" i="1"/>
  <c r="K28" i="1"/>
  <c r="K302" i="1"/>
  <c r="K268" i="1"/>
  <c r="K399" i="1"/>
  <c r="K434" i="1"/>
  <c r="K142" i="1"/>
  <c r="K335" i="1"/>
  <c r="K230" i="1"/>
  <c r="K106" i="1"/>
  <c r="K425" i="1"/>
  <c r="K62" i="1"/>
  <c r="K149" i="1"/>
  <c r="K362" i="1"/>
  <c r="G335" i="1"/>
  <c r="G142" i="1"/>
  <c r="G434" i="1"/>
  <c r="G399" i="1"/>
  <c r="G268" i="1"/>
  <c r="G302" i="1"/>
  <c r="G28" i="1"/>
  <c r="G32" i="1"/>
  <c r="G270" i="1"/>
  <c r="G230" i="1"/>
  <c r="G106" i="1"/>
  <c r="G425" i="1"/>
  <c r="G62" i="1"/>
  <c r="G149" i="1"/>
  <c r="G362" i="1"/>
  <c r="N166" i="1"/>
  <c r="W459" i="1"/>
  <c r="U459" i="1"/>
  <c r="T459" i="1"/>
  <c r="S459" i="1"/>
  <c r="R459" i="1"/>
  <c r="P459" i="1"/>
  <c r="O459" i="1"/>
  <c r="N459" i="1"/>
  <c r="W183" i="1"/>
  <c r="U183" i="1"/>
  <c r="T183" i="1"/>
  <c r="S183" i="1"/>
  <c r="R183" i="1"/>
  <c r="P183" i="1"/>
  <c r="O183" i="1"/>
  <c r="N183" i="1"/>
  <c r="W420" i="1"/>
  <c r="N451" i="1"/>
  <c r="W225" i="1"/>
  <c r="S225" i="1"/>
  <c r="V225" i="1"/>
  <c r="V30" i="1"/>
  <c r="V395" i="1"/>
  <c r="V452" i="1"/>
  <c r="V406" i="1"/>
  <c r="V139" i="1"/>
  <c r="V451" i="1"/>
  <c r="V420" i="1"/>
  <c r="V256" i="1"/>
  <c r="V281" i="1"/>
  <c r="V96" i="1"/>
  <c r="V272" i="1"/>
  <c r="V166" i="1"/>
  <c r="V190" i="1"/>
  <c r="V345" i="1"/>
  <c r="Q225" i="1"/>
  <c r="Q30" i="1"/>
  <c r="Q395" i="1"/>
  <c r="Q452" i="1"/>
  <c r="Q406" i="1"/>
  <c r="Q139" i="1"/>
  <c r="Q451" i="1"/>
  <c r="Q420" i="1"/>
  <c r="Q256" i="1"/>
  <c r="Q281" i="1"/>
  <c r="Q96" i="1"/>
  <c r="Q272" i="1"/>
  <c r="Q166" i="1"/>
  <c r="Q190" i="1"/>
  <c r="Q345" i="1"/>
  <c r="V279" i="1"/>
  <c r="Q279" i="1"/>
  <c r="K166" i="1"/>
  <c r="K190" i="1"/>
  <c r="K345" i="1"/>
  <c r="K272" i="1"/>
  <c r="K96" i="1"/>
  <c r="K281" i="1"/>
  <c r="K256" i="1"/>
  <c r="K459" i="1"/>
  <c r="K183" i="1"/>
  <c r="K420" i="1"/>
  <c r="K451" i="1"/>
  <c r="K139" i="1"/>
  <c r="K406" i="1"/>
  <c r="K452" i="1"/>
  <c r="K395" i="1"/>
  <c r="K30" i="1"/>
  <c r="K225" i="1"/>
  <c r="K279" i="1"/>
  <c r="G345" i="1"/>
  <c r="G190" i="1"/>
  <c r="G166" i="1"/>
  <c r="G272" i="1"/>
  <c r="G96" i="1"/>
  <c r="G281" i="1"/>
  <c r="G256" i="1"/>
  <c r="G459" i="1"/>
  <c r="G183" i="1"/>
  <c r="G420" i="1"/>
  <c r="G451" i="1"/>
  <c r="G139" i="1"/>
  <c r="G406" i="1"/>
  <c r="G452" i="1"/>
  <c r="G395" i="1"/>
  <c r="G30" i="1"/>
  <c r="G225" i="1"/>
  <c r="G279" i="1"/>
  <c r="N29" i="1"/>
  <c r="R326" i="1"/>
  <c r="N326" i="1"/>
  <c r="S140" i="1"/>
  <c r="R140" i="1"/>
  <c r="P140" i="1"/>
  <c r="O140" i="1"/>
  <c r="N140" i="1"/>
  <c r="S154" i="1"/>
  <c r="P5" i="1"/>
  <c r="O5" i="1"/>
  <c r="N5" i="1"/>
  <c r="S339" i="1"/>
  <c r="O339" i="1"/>
  <c r="N339" i="1"/>
  <c r="V270" i="1" l="1"/>
  <c r="V32" i="1"/>
  <c r="Q32" i="1"/>
  <c r="Q183" i="1"/>
  <c r="Q459" i="1"/>
  <c r="V459" i="1"/>
  <c r="V183" i="1"/>
  <c r="V35" i="1"/>
  <c r="V53" i="1"/>
  <c r="V447" i="1"/>
  <c r="V439" i="1"/>
  <c r="V472" i="1"/>
  <c r="V339" i="1"/>
  <c r="V104" i="1"/>
  <c r="V91" i="1"/>
  <c r="V5" i="1"/>
  <c r="V154" i="1"/>
  <c r="V68" i="1"/>
  <c r="V140" i="1"/>
  <c r="V446" i="1"/>
  <c r="V326" i="1"/>
  <c r="V29" i="1"/>
  <c r="V318" i="1"/>
  <c r="Q35" i="1"/>
  <c r="Q53" i="1"/>
  <c r="Q447" i="1"/>
  <c r="Q439" i="1"/>
  <c r="Q472" i="1"/>
  <c r="Q339" i="1"/>
  <c r="Q104" i="1"/>
  <c r="Q91" i="1"/>
  <c r="Q5" i="1"/>
  <c r="Q154" i="1"/>
  <c r="Q68" i="1"/>
  <c r="Q140" i="1"/>
  <c r="Q446" i="1"/>
  <c r="Q326" i="1"/>
  <c r="Q29" i="1"/>
  <c r="Q318" i="1"/>
  <c r="K447" i="1"/>
  <c r="K439" i="1"/>
  <c r="K472" i="1"/>
  <c r="K339" i="1"/>
  <c r="K104" i="1"/>
  <c r="K91" i="1"/>
  <c r="K5" i="1"/>
  <c r="K154" i="1"/>
  <c r="K68" i="1"/>
  <c r="K140" i="1"/>
  <c r="K446" i="1"/>
  <c r="K326" i="1"/>
  <c r="K29" i="1"/>
  <c r="K318" i="1"/>
  <c r="K53" i="1"/>
  <c r="K35" i="1"/>
  <c r="G318" i="1"/>
  <c r="G29" i="1"/>
  <c r="G326" i="1"/>
  <c r="G446" i="1"/>
  <c r="G140" i="1"/>
  <c r="G68" i="1"/>
  <c r="G154" i="1"/>
  <c r="G5" i="1"/>
  <c r="G91" i="1"/>
  <c r="G104" i="1"/>
  <c r="G339" i="1"/>
  <c r="G472" i="1"/>
  <c r="G439" i="1"/>
  <c r="G447" i="1"/>
  <c r="G53" i="1"/>
  <c r="G35" i="1"/>
  <c r="W52" i="1"/>
  <c r="U52" i="1"/>
  <c r="T52" i="1"/>
  <c r="S52" i="1"/>
  <c r="W288" i="1"/>
  <c r="U288" i="1"/>
  <c r="V288" i="1" s="1"/>
  <c r="S288" i="1"/>
  <c r="W210" i="1"/>
  <c r="U210" i="1"/>
  <c r="T210" i="1"/>
  <c r="S210" i="1"/>
  <c r="R172" i="1"/>
  <c r="P172" i="1"/>
  <c r="O172" i="1"/>
  <c r="N172" i="1"/>
  <c r="W401" i="1"/>
  <c r="U401" i="1"/>
  <c r="T401" i="1"/>
  <c r="S401" i="1"/>
  <c r="V172" i="1"/>
  <c r="V433" i="1"/>
  <c r="V348" i="1"/>
  <c r="V312" i="1"/>
  <c r="V120" i="1"/>
  <c r="V147" i="1"/>
  <c r="V357" i="1"/>
  <c r="V460" i="1"/>
  <c r="V371" i="1"/>
  <c r="Q401" i="1"/>
  <c r="Q433" i="1"/>
  <c r="Q210" i="1"/>
  <c r="Q348" i="1"/>
  <c r="Q288" i="1"/>
  <c r="Q312" i="1"/>
  <c r="Q120" i="1"/>
  <c r="Q147" i="1"/>
  <c r="Q357" i="1"/>
  <c r="Q460" i="1"/>
  <c r="Q371" i="1"/>
  <c r="Q52" i="1"/>
  <c r="K348" i="1"/>
  <c r="K288" i="1"/>
  <c r="K312" i="1"/>
  <c r="K120" i="1"/>
  <c r="K147" i="1"/>
  <c r="K357" i="1"/>
  <c r="K460" i="1"/>
  <c r="K371" i="1"/>
  <c r="K52" i="1"/>
  <c r="K210" i="1"/>
  <c r="K433" i="1"/>
  <c r="K172" i="1"/>
  <c r="K401" i="1"/>
  <c r="G52" i="1"/>
  <c r="G371" i="1"/>
  <c r="G460" i="1"/>
  <c r="G357" i="1"/>
  <c r="G147" i="1"/>
  <c r="G120" i="1"/>
  <c r="G312" i="1"/>
  <c r="G288" i="1"/>
  <c r="G348" i="1"/>
  <c r="G210" i="1"/>
  <c r="G433" i="1"/>
  <c r="G172" i="1"/>
  <c r="G401" i="1"/>
  <c r="W151" i="1"/>
  <c r="S151" i="1"/>
  <c r="R151" i="1"/>
  <c r="P151" i="1"/>
  <c r="O151" i="1"/>
  <c r="N151" i="1"/>
  <c r="V143" i="1"/>
  <c r="V412" i="1"/>
  <c r="V63" i="1"/>
  <c r="V449" i="1"/>
  <c r="V115" i="1"/>
  <c r="V51" i="1"/>
  <c r="V41" i="1"/>
  <c r="V234" i="1"/>
  <c r="V151" i="1"/>
  <c r="Q41" i="1"/>
  <c r="Q234" i="1"/>
  <c r="Q51" i="1"/>
  <c r="Q115" i="1"/>
  <c r="Q449" i="1"/>
  <c r="Q63" i="1"/>
  <c r="Q412" i="1"/>
  <c r="Q143" i="1"/>
  <c r="V432" i="1"/>
  <c r="Q432" i="1"/>
  <c r="V280" i="1"/>
  <c r="Q280" i="1"/>
  <c r="V426" i="1"/>
  <c r="Q426" i="1"/>
  <c r="V243" i="1"/>
  <c r="Q243" i="1"/>
  <c r="V436" i="1"/>
  <c r="Q436" i="1"/>
  <c r="K143" i="1"/>
  <c r="K412" i="1"/>
  <c r="K63" i="1"/>
  <c r="K449" i="1"/>
  <c r="K115" i="1"/>
  <c r="K51" i="1"/>
  <c r="K41" i="1"/>
  <c r="K234" i="1"/>
  <c r="K151" i="1"/>
  <c r="K432" i="1"/>
  <c r="K280" i="1"/>
  <c r="K426" i="1"/>
  <c r="K243" i="1"/>
  <c r="K436" i="1"/>
  <c r="G151" i="1"/>
  <c r="G234" i="1"/>
  <c r="G41" i="1"/>
  <c r="G51" i="1"/>
  <c r="G115" i="1"/>
  <c r="G449" i="1"/>
  <c r="G63" i="1"/>
  <c r="G412" i="1"/>
  <c r="G143" i="1"/>
  <c r="G432" i="1"/>
  <c r="G280" i="1"/>
  <c r="G426" i="1"/>
  <c r="G243" i="1"/>
  <c r="G436" i="1"/>
  <c r="V52" i="1" l="1"/>
  <c r="V401" i="1"/>
  <c r="V210" i="1"/>
  <c r="Q172" i="1"/>
  <c r="Q151" i="1"/>
  <c r="W138" i="1"/>
  <c r="S138" i="1"/>
  <c r="R138" i="1"/>
  <c r="P138" i="1"/>
  <c r="O138" i="1"/>
  <c r="N138" i="1"/>
  <c r="R39" i="1"/>
  <c r="P39" i="1"/>
  <c r="O39" i="1"/>
  <c r="N39" i="1"/>
  <c r="V39" i="1"/>
  <c r="V212" i="1"/>
  <c r="V102" i="1"/>
  <c r="V366" i="1"/>
  <c r="V124" i="1"/>
  <c r="V138" i="1"/>
  <c r="V245" i="1"/>
  <c r="V222" i="1"/>
  <c r="V27" i="1"/>
  <c r="V349" i="1"/>
  <c r="Q212" i="1"/>
  <c r="Q102" i="1"/>
  <c r="Q366" i="1"/>
  <c r="Q124" i="1"/>
  <c r="Q245" i="1"/>
  <c r="Q222" i="1"/>
  <c r="Q27" i="1"/>
  <c r="Q349" i="1"/>
  <c r="V191" i="1"/>
  <c r="S191" i="1"/>
  <c r="Q191" i="1"/>
  <c r="K39" i="1"/>
  <c r="K212" i="1"/>
  <c r="K102" i="1"/>
  <c r="K366" i="1"/>
  <c r="K124" i="1"/>
  <c r="K138" i="1"/>
  <c r="K245" i="1"/>
  <c r="K222" i="1"/>
  <c r="K27" i="1"/>
  <c r="K349" i="1"/>
  <c r="K191" i="1"/>
  <c r="G349" i="1"/>
  <c r="G27" i="1"/>
  <c r="G222" i="1"/>
  <c r="G245" i="1"/>
  <c r="G138" i="1"/>
  <c r="G124" i="1"/>
  <c r="G366" i="1"/>
  <c r="G102" i="1"/>
  <c r="G212" i="1"/>
  <c r="G39" i="1"/>
  <c r="G191" i="1"/>
  <c r="R174" i="1"/>
  <c r="O174" i="1"/>
  <c r="Q174" i="1" s="1"/>
  <c r="N174" i="1"/>
  <c r="S109" i="1"/>
  <c r="R109" i="1"/>
  <c r="P109" i="1"/>
  <c r="O109" i="1"/>
  <c r="N109" i="1"/>
  <c r="N457" i="1"/>
  <c r="W21" i="1"/>
  <c r="U21" i="1"/>
  <c r="T21" i="1"/>
  <c r="S21" i="1"/>
  <c r="P21" i="1"/>
  <c r="O21" i="1"/>
  <c r="N21" i="1"/>
  <c r="W77" i="1"/>
  <c r="U77" i="1"/>
  <c r="T77" i="1"/>
  <c r="S77" i="1"/>
  <c r="R77" i="1"/>
  <c r="P77" i="1"/>
  <c r="O77" i="1"/>
  <c r="N77" i="1"/>
  <c r="W330" i="1"/>
  <c r="U330" i="1"/>
  <c r="T330" i="1"/>
  <c r="S330" i="1"/>
  <c r="R330" i="1"/>
  <c r="P330" i="1"/>
  <c r="O330" i="1"/>
  <c r="N330" i="1"/>
  <c r="W176" i="1"/>
  <c r="T176" i="1"/>
  <c r="V176" i="1" s="1"/>
  <c r="S176" i="1"/>
  <c r="N176" i="1"/>
  <c r="V387" i="1"/>
  <c r="V317" i="1"/>
  <c r="V218" i="1"/>
  <c r="V209" i="1"/>
  <c r="V202" i="1"/>
  <c r="V221" i="1"/>
  <c r="V252" i="1"/>
  <c r="V236" i="1"/>
  <c r="V457" i="1"/>
  <c r="V340" i="1"/>
  <c r="V109" i="1"/>
  <c r="V174" i="1"/>
  <c r="V81" i="1"/>
  <c r="Q317" i="1"/>
  <c r="Q218" i="1"/>
  <c r="Q176" i="1"/>
  <c r="Q209" i="1"/>
  <c r="Q202" i="1"/>
  <c r="Q221" i="1"/>
  <c r="Q252" i="1"/>
  <c r="Q236" i="1"/>
  <c r="Q457" i="1"/>
  <c r="Q340" i="1"/>
  <c r="Q81" i="1"/>
  <c r="R387" i="1"/>
  <c r="P387" i="1"/>
  <c r="O387" i="1"/>
  <c r="N387" i="1"/>
  <c r="V320" i="1"/>
  <c r="Q320" i="1"/>
  <c r="K457" i="1"/>
  <c r="K340" i="1"/>
  <c r="K109" i="1"/>
  <c r="K174" i="1"/>
  <c r="K81" i="1"/>
  <c r="K21" i="1"/>
  <c r="K77" i="1"/>
  <c r="K236" i="1"/>
  <c r="K252" i="1"/>
  <c r="K221" i="1"/>
  <c r="K202" i="1"/>
  <c r="K209" i="1"/>
  <c r="K330" i="1"/>
  <c r="K176" i="1"/>
  <c r="K218" i="1"/>
  <c r="K317" i="1"/>
  <c r="K387" i="1"/>
  <c r="K320" i="1"/>
  <c r="G81" i="1"/>
  <c r="G174" i="1"/>
  <c r="G109" i="1"/>
  <c r="G340" i="1"/>
  <c r="G457" i="1"/>
  <c r="G21" i="1"/>
  <c r="G77" i="1"/>
  <c r="G236" i="1"/>
  <c r="G252" i="1"/>
  <c r="G221" i="1"/>
  <c r="G202" i="1"/>
  <c r="G209" i="1"/>
  <c r="G330" i="1"/>
  <c r="G176" i="1"/>
  <c r="G218" i="1"/>
  <c r="G317" i="1"/>
  <c r="G387" i="1"/>
  <c r="G320" i="1"/>
  <c r="O354" i="1"/>
  <c r="Q354" i="1" s="1"/>
  <c r="N354" i="1"/>
  <c r="R11" i="1"/>
  <c r="P11" i="1"/>
  <c r="O11" i="1"/>
  <c r="N11" i="1"/>
  <c r="V370" i="1"/>
  <c r="V372" i="1"/>
  <c r="V295" i="1"/>
  <c r="V11" i="1"/>
  <c r="V144" i="1"/>
  <c r="V334" i="1"/>
  <c r="V354" i="1"/>
  <c r="V313" i="1"/>
  <c r="V244" i="1"/>
  <c r="V386" i="1"/>
  <c r="V2" i="1"/>
  <c r="V75" i="1"/>
  <c r="V65" i="1"/>
  <c r="V356" i="1"/>
  <c r="V316" i="1"/>
  <c r="Q370" i="1"/>
  <c r="Q372" i="1"/>
  <c r="Q295" i="1"/>
  <c r="Q144" i="1"/>
  <c r="Q334" i="1"/>
  <c r="Q313" i="1"/>
  <c r="Q244" i="1"/>
  <c r="Q386" i="1"/>
  <c r="Q2" i="1"/>
  <c r="Q75" i="1"/>
  <c r="Q65" i="1"/>
  <c r="Q356" i="1"/>
  <c r="Q316" i="1"/>
  <c r="K354" i="1"/>
  <c r="K313" i="1"/>
  <c r="K244" i="1"/>
  <c r="K386" i="1"/>
  <c r="K2" i="1"/>
  <c r="K75" i="1"/>
  <c r="K65" i="1"/>
  <c r="K356" i="1"/>
  <c r="K316" i="1"/>
  <c r="K334" i="1"/>
  <c r="K144" i="1"/>
  <c r="K11" i="1"/>
  <c r="K295" i="1"/>
  <c r="K372" i="1"/>
  <c r="K370" i="1"/>
  <c r="G316" i="1"/>
  <c r="G356" i="1"/>
  <c r="G65" i="1"/>
  <c r="G75" i="1"/>
  <c r="G2" i="1"/>
  <c r="G386" i="1"/>
  <c r="G244" i="1"/>
  <c r="G313" i="1"/>
  <c r="G354" i="1"/>
  <c r="G334" i="1"/>
  <c r="G144" i="1"/>
  <c r="G11" i="1"/>
  <c r="G295" i="1"/>
  <c r="G372" i="1"/>
  <c r="G370" i="1"/>
  <c r="W160" i="1"/>
  <c r="U160" i="1"/>
  <c r="T160" i="1"/>
  <c r="S160" i="1"/>
  <c r="R160" i="1"/>
  <c r="P160" i="1"/>
  <c r="O160" i="1"/>
  <c r="N160" i="1"/>
  <c r="W187" i="1"/>
  <c r="U187" i="1"/>
  <c r="T187" i="1"/>
  <c r="S187" i="1"/>
  <c r="R187" i="1"/>
  <c r="P187" i="1"/>
  <c r="O187" i="1"/>
  <c r="N187" i="1"/>
  <c r="N67" i="1"/>
  <c r="Q39" i="1" l="1"/>
  <c r="Q138" i="1"/>
  <c r="Q387" i="1"/>
  <c r="Q77" i="1"/>
  <c r="V330" i="1"/>
  <c r="Q21" i="1"/>
  <c r="Q109" i="1"/>
  <c r="V21" i="1"/>
  <c r="V77" i="1"/>
  <c r="Q330" i="1"/>
  <c r="Q11" i="1"/>
  <c r="R200" i="1"/>
  <c r="P200" i="1"/>
  <c r="O200" i="1"/>
  <c r="N200" i="1"/>
  <c r="W367" i="1"/>
  <c r="U367" i="1"/>
  <c r="T367" i="1"/>
  <c r="S367" i="1"/>
  <c r="R367" i="1"/>
  <c r="P367" i="1"/>
  <c r="O367" i="1"/>
  <c r="N367" i="1"/>
  <c r="T385" i="1"/>
  <c r="V385" i="1" s="1"/>
  <c r="S385" i="1"/>
  <c r="V239" i="1"/>
  <c r="V200" i="1"/>
  <c r="V328" i="1"/>
  <c r="V336" i="1"/>
  <c r="V67" i="1"/>
  <c r="V311" i="1"/>
  <c r="V46" i="1"/>
  <c r="V458" i="1"/>
  <c r="V462" i="1"/>
  <c r="V238" i="1"/>
  <c r="V42" i="1"/>
  <c r="V187" i="1"/>
  <c r="V160" i="1"/>
  <c r="Q239" i="1"/>
  <c r="Q328" i="1"/>
  <c r="Q336" i="1"/>
  <c r="Q67" i="1"/>
  <c r="Q311" i="1"/>
  <c r="Q46" i="1"/>
  <c r="Q458" i="1"/>
  <c r="Q462" i="1"/>
  <c r="Q238" i="1"/>
  <c r="Q42" i="1"/>
  <c r="Q187" i="1"/>
  <c r="Q160" i="1"/>
  <c r="O385" i="1"/>
  <c r="Q385" i="1" s="1"/>
  <c r="N385" i="1"/>
  <c r="K67" i="1"/>
  <c r="K311" i="1"/>
  <c r="K46" i="1"/>
  <c r="K458" i="1"/>
  <c r="K462" i="1"/>
  <c r="K238" i="1"/>
  <c r="K42" i="1"/>
  <c r="K187" i="1"/>
  <c r="K160" i="1"/>
  <c r="K336" i="1"/>
  <c r="K328" i="1"/>
  <c r="K200" i="1"/>
  <c r="K367" i="1"/>
  <c r="K239" i="1"/>
  <c r="K385" i="1"/>
  <c r="G160" i="1"/>
  <c r="G187" i="1"/>
  <c r="G42" i="1"/>
  <c r="G238" i="1"/>
  <c r="G462" i="1"/>
  <c r="G458" i="1"/>
  <c r="G46" i="1"/>
  <c r="G311" i="1"/>
  <c r="G67" i="1"/>
  <c r="G336" i="1"/>
  <c r="G328" i="1"/>
  <c r="G200" i="1"/>
  <c r="G367" i="1"/>
  <c r="G239" i="1"/>
  <c r="G385" i="1"/>
  <c r="P84" i="1"/>
  <c r="O84" i="1"/>
  <c r="N84" i="1"/>
  <c r="W117" i="1"/>
  <c r="U117" i="1"/>
  <c r="T117" i="1"/>
  <c r="S117" i="1"/>
  <c r="W269" i="1"/>
  <c r="U269" i="1"/>
  <c r="T269" i="1"/>
  <c r="S269" i="1"/>
  <c r="R269" i="1"/>
  <c r="P269" i="1"/>
  <c r="O269" i="1"/>
  <c r="N269" i="1"/>
  <c r="G269" i="1"/>
  <c r="K269" i="1"/>
  <c r="W216" i="1"/>
  <c r="U216" i="1"/>
  <c r="T216" i="1"/>
  <c r="S216" i="1"/>
  <c r="R216" i="1"/>
  <c r="N216" i="1"/>
  <c r="W7" i="1"/>
  <c r="U7" i="1"/>
  <c r="T7" i="1"/>
  <c r="S7" i="1"/>
  <c r="V382" i="1"/>
  <c r="V49" i="1"/>
  <c r="V155" i="1"/>
  <c r="V159" i="1"/>
  <c r="V237" i="1"/>
  <c r="V204" i="1"/>
  <c r="V331" i="1"/>
  <c r="V84" i="1"/>
  <c r="V37" i="1"/>
  <c r="V100" i="1"/>
  <c r="Q100" i="1"/>
  <c r="Q382" i="1"/>
  <c r="Q49" i="1"/>
  <c r="Q155" i="1"/>
  <c r="Q7" i="1"/>
  <c r="Q159" i="1"/>
  <c r="Q216" i="1"/>
  <c r="Q117" i="1"/>
  <c r="Q237" i="1"/>
  <c r="Q204" i="1"/>
  <c r="Q331" i="1"/>
  <c r="Q37" i="1"/>
  <c r="K100" i="1"/>
  <c r="K382" i="1"/>
  <c r="K49" i="1"/>
  <c r="K155" i="1"/>
  <c r="K7" i="1"/>
  <c r="K159" i="1"/>
  <c r="K216" i="1"/>
  <c r="K117" i="1"/>
  <c r="K237" i="1"/>
  <c r="K204" i="1"/>
  <c r="K331" i="1"/>
  <c r="K84" i="1"/>
  <c r="K37" i="1"/>
  <c r="G100" i="1"/>
  <c r="G382" i="1"/>
  <c r="G49" i="1"/>
  <c r="G155" i="1"/>
  <c r="G7" i="1"/>
  <c r="G159" i="1"/>
  <c r="G216" i="1"/>
  <c r="G117" i="1"/>
  <c r="G237" i="1"/>
  <c r="G204" i="1"/>
  <c r="G331" i="1"/>
  <c r="G84" i="1"/>
  <c r="G37" i="1"/>
  <c r="G437" i="1"/>
  <c r="K437" i="1"/>
  <c r="Q437" i="1"/>
  <c r="V437" i="1"/>
  <c r="W290" i="1"/>
  <c r="U290" i="1"/>
  <c r="T290" i="1"/>
  <c r="S290" i="1"/>
  <c r="R290" i="1"/>
  <c r="P290" i="1"/>
  <c r="O290" i="1"/>
  <c r="N290" i="1"/>
  <c r="S271" i="1"/>
  <c r="R271" i="1"/>
  <c r="N271" i="1"/>
  <c r="G271" i="1"/>
  <c r="K271" i="1"/>
  <c r="Q271" i="1"/>
  <c r="V271" i="1"/>
  <c r="R44" i="1"/>
  <c r="P44" i="1"/>
  <c r="O44" i="1"/>
  <c r="N44" i="1"/>
  <c r="W471" i="1"/>
  <c r="U471" i="1"/>
  <c r="T471" i="1"/>
  <c r="S471" i="1"/>
  <c r="R471" i="1"/>
  <c r="P471" i="1"/>
  <c r="O471" i="1"/>
  <c r="N471" i="1"/>
  <c r="W60" i="1"/>
  <c r="U60" i="1"/>
  <c r="T60" i="1"/>
  <c r="S60" i="1"/>
  <c r="V390" i="1"/>
  <c r="V444" i="1"/>
  <c r="V74" i="1"/>
  <c r="V375" i="1"/>
  <c r="V44" i="1"/>
  <c r="V163" i="1"/>
  <c r="V419" i="1"/>
  <c r="V414" i="1"/>
  <c r="V19" i="1"/>
  <c r="V23" i="1"/>
  <c r="Q390" i="1"/>
  <c r="Q60" i="1"/>
  <c r="Q444" i="1"/>
  <c r="Q74" i="1"/>
  <c r="Q375" i="1"/>
  <c r="Q163" i="1"/>
  <c r="Q419" i="1"/>
  <c r="Q414" i="1"/>
  <c r="Q19" i="1"/>
  <c r="Q23" i="1"/>
  <c r="K163" i="1"/>
  <c r="K419" i="1"/>
  <c r="K290" i="1"/>
  <c r="K414" i="1"/>
  <c r="K19" i="1"/>
  <c r="K23" i="1"/>
  <c r="K44" i="1"/>
  <c r="K375" i="1"/>
  <c r="K471" i="1"/>
  <c r="K74" i="1"/>
  <c r="K444" i="1"/>
  <c r="K60" i="1"/>
  <c r="K390" i="1"/>
  <c r="G23" i="1"/>
  <c r="G19" i="1"/>
  <c r="G414" i="1"/>
  <c r="G290" i="1"/>
  <c r="G419" i="1"/>
  <c r="G163" i="1"/>
  <c r="G44" i="1"/>
  <c r="G375" i="1"/>
  <c r="G471" i="1"/>
  <c r="G74" i="1"/>
  <c r="G444" i="1"/>
  <c r="G60" i="1"/>
  <c r="G390" i="1"/>
  <c r="T322" i="1"/>
  <c r="V322" i="1" s="1"/>
  <c r="S322" i="1"/>
  <c r="R322" i="1"/>
  <c r="P322" i="1"/>
  <c r="O322" i="1"/>
  <c r="N322" i="1"/>
  <c r="AA265" i="1"/>
  <c r="X265" i="1"/>
  <c r="AA192" i="1"/>
  <c r="X192" i="1"/>
  <c r="AA255" i="1"/>
  <c r="X255" i="1"/>
  <c r="AA364" i="1"/>
  <c r="X364" i="1"/>
  <c r="AA263" i="1"/>
  <c r="X263" i="1"/>
  <c r="AA249" i="1"/>
  <c r="X249" i="1"/>
  <c r="AA33" i="1"/>
  <c r="X33" i="1"/>
  <c r="V33" i="1"/>
  <c r="V249" i="1"/>
  <c r="V263" i="1"/>
  <c r="V364" i="1"/>
  <c r="V255" i="1"/>
  <c r="V192" i="1"/>
  <c r="V265" i="1"/>
  <c r="V422" i="1"/>
  <c r="V45" i="1"/>
  <c r="V47" i="1"/>
  <c r="V430" i="1"/>
  <c r="V54" i="1"/>
  <c r="V18" i="1"/>
  <c r="V307" i="1"/>
  <c r="Q33" i="1"/>
  <c r="AD33" i="1" s="1"/>
  <c r="Q249" i="1"/>
  <c r="AD249" i="1" s="1"/>
  <c r="Q263" i="1"/>
  <c r="AD263" i="1" s="1"/>
  <c r="Q364" i="1"/>
  <c r="AD364" i="1" s="1"/>
  <c r="Q255" i="1"/>
  <c r="AD255" i="1" s="1"/>
  <c r="Q192" i="1"/>
  <c r="AD192" i="1" s="1"/>
  <c r="Q265" i="1"/>
  <c r="AD265" i="1" s="1"/>
  <c r="Q422" i="1"/>
  <c r="Q45" i="1"/>
  <c r="Q47" i="1"/>
  <c r="Q430" i="1"/>
  <c r="Q54" i="1"/>
  <c r="Q18" i="1"/>
  <c r="Q307" i="1"/>
  <c r="K255" i="1"/>
  <c r="K192" i="1"/>
  <c r="K265" i="1"/>
  <c r="K322" i="1"/>
  <c r="K422" i="1"/>
  <c r="K45" i="1"/>
  <c r="K47" i="1"/>
  <c r="K430" i="1"/>
  <c r="K54" i="1"/>
  <c r="K18" i="1"/>
  <c r="K307" i="1"/>
  <c r="K364" i="1"/>
  <c r="K263" i="1"/>
  <c r="K249" i="1"/>
  <c r="K33" i="1"/>
  <c r="G307" i="1"/>
  <c r="G18" i="1"/>
  <c r="G54" i="1"/>
  <c r="G430" i="1"/>
  <c r="G47" i="1"/>
  <c r="G45" i="1"/>
  <c r="G422" i="1"/>
  <c r="G322" i="1"/>
  <c r="G265" i="1"/>
  <c r="G192" i="1"/>
  <c r="G255" i="1"/>
  <c r="G364" i="1"/>
  <c r="G263" i="1"/>
  <c r="G249" i="1"/>
  <c r="G33" i="1"/>
  <c r="Q367" i="1" l="1"/>
  <c r="V367" i="1"/>
  <c r="Q200" i="1"/>
  <c r="V117" i="1"/>
  <c r="Q269" i="1"/>
  <c r="V269" i="1"/>
  <c r="V216" i="1"/>
  <c r="Q84" i="1"/>
  <c r="V7" i="1"/>
  <c r="Q290" i="1"/>
  <c r="V290" i="1"/>
  <c r="V60" i="1"/>
  <c r="Q471" i="1"/>
  <c r="Q44" i="1"/>
  <c r="V471" i="1"/>
  <c r="Q322" i="1"/>
  <c r="L5" i="2"/>
  <c r="C2" i="2" s="1"/>
  <c r="J5" i="2"/>
  <c r="B2" i="2" l="1"/>
  <c r="D2" i="2"/>
  <c r="A2" i="2"/>
  <c r="S423" i="1"/>
  <c r="AB423" i="1" s="1"/>
  <c r="Q374" i="1"/>
  <c r="AD374" i="1" s="1"/>
  <c r="W129" i="1"/>
  <c r="U129" i="1"/>
  <c r="T129" i="1"/>
  <c r="S129" i="1"/>
  <c r="R129" i="1"/>
  <c r="P129" i="1"/>
  <c r="O129" i="1"/>
  <c r="N129" i="1"/>
  <c r="N324" i="1"/>
  <c r="AA324" i="1" s="1"/>
  <c r="T83" i="1"/>
  <c r="S83" i="1"/>
  <c r="AB83" i="1" s="1"/>
  <c r="T48" i="1"/>
  <c r="V48" i="1" s="1"/>
  <c r="S48" i="1"/>
  <c r="R48" i="1"/>
  <c r="P48" i="1"/>
  <c r="O48" i="1"/>
  <c r="N48" i="1"/>
  <c r="N205" i="1"/>
  <c r="X205" i="1" s="1"/>
  <c r="W294" i="1"/>
  <c r="U294" i="1"/>
  <c r="T294" i="1"/>
  <c r="S294" i="1"/>
  <c r="X76" i="1"/>
  <c r="Y76" i="1"/>
  <c r="AA76" i="1"/>
  <c r="AB76" i="1"/>
  <c r="X215" i="1"/>
  <c r="Y215" i="1"/>
  <c r="AA215" i="1"/>
  <c r="AB215" i="1"/>
  <c r="X56" i="1"/>
  <c r="Y56" i="1"/>
  <c r="AA56" i="1"/>
  <c r="AB56" i="1"/>
  <c r="X294" i="1"/>
  <c r="AA294" i="1"/>
  <c r="Y205" i="1"/>
  <c r="AB205" i="1"/>
  <c r="X83" i="1"/>
  <c r="AA83" i="1"/>
  <c r="Y324" i="1"/>
  <c r="AB324" i="1"/>
  <c r="X254" i="1"/>
  <c r="Y254" i="1"/>
  <c r="AA254" i="1"/>
  <c r="AB254" i="1"/>
  <c r="X69" i="1"/>
  <c r="Y69" i="1"/>
  <c r="AA69" i="1"/>
  <c r="AB69" i="1"/>
  <c r="X470" i="1"/>
  <c r="Y470" i="1"/>
  <c r="AA470" i="1"/>
  <c r="AB470" i="1"/>
  <c r="X438" i="1"/>
  <c r="Y438" i="1"/>
  <c r="AA438" i="1"/>
  <c r="AB438" i="1"/>
  <c r="X179" i="1"/>
  <c r="Y179" i="1"/>
  <c r="AA179" i="1"/>
  <c r="AB179" i="1"/>
  <c r="X134" i="1"/>
  <c r="Y134" i="1"/>
  <c r="AA134" i="1"/>
  <c r="AB134" i="1"/>
  <c r="X374" i="1"/>
  <c r="Y374" i="1"/>
  <c r="AA374" i="1"/>
  <c r="AB374" i="1"/>
  <c r="X423" i="1"/>
  <c r="AA423" i="1"/>
  <c r="V76" i="1"/>
  <c r="AE76" i="1" s="1"/>
  <c r="V215" i="1"/>
  <c r="AE215" i="1" s="1"/>
  <c r="V56" i="1"/>
  <c r="AE56" i="1" s="1"/>
  <c r="V205" i="1"/>
  <c r="AE205" i="1" s="1"/>
  <c r="V324" i="1"/>
  <c r="AE324" i="1" s="1"/>
  <c r="V254" i="1"/>
  <c r="AE254" i="1" s="1"/>
  <c r="V69" i="1"/>
  <c r="AE69" i="1" s="1"/>
  <c r="V470" i="1"/>
  <c r="AE470" i="1" s="1"/>
  <c r="V438" i="1"/>
  <c r="AE438" i="1" s="1"/>
  <c r="V179" i="1"/>
  <c r="AE179" i="1" s="1"/>
  <c r="V134" i="1"/>
  <c r="AE134" i="1" s="1"/>
  <c r="V374" i="1"/>
  <c r="AE374" i="1" s="1"/>
  <c r="V423" i="1"/>
  <c r="Q215" i="1"/>
  <c r="AD215" i="1" s="1"/>
  <c r="Q56" i="1"/>
  <c r="AD56" i="1" s="1"/>
  <c r="Q294" i="1"/>
  <c r="AD294" i="1" s="1"/>
  <c r="Q205" i="1"/>
  <c r="Q83" i="1"/>
  <c r="AD83" i="1" s="1"/>
  <c r="Q324" i="1"/>
  <c r="Q254" i="1"/>
  <c r="AD254" i="1" s="1"/>
  <c r="Q69" i="1"/>
  <c r="AD69" i="1" s="1"/>
  <c r="Q470" i="1"/>
  <c r="AD470" i="1" s="1"/>
  <c r="Q438" i="1"/>
  <c r="AD438" i="1" s="1"/>
  <c r="Q179" i="1"/>
  <c r="AD179" i="1" s="1"/>
  <c r="Q134" i="1"/>
  <c r="AD134" i="1" s="1"/>
  <c r="Q423" i="1"/>
  <c r="AD423" i="1" s="1"/>
  <c r="Q76" i="1"/>
  <c r="AD76" i="1" s="1"/>
  <c r="K254" i="1"/>
  <c r="K69" i="1"/>
  <c r="K129" i="1"/>
  <c r="K470" i="1"/>
  <c r="K438" i="1"/>
  <c r="K179" i="1"/>
  <c r="K134" i="1"/>
  <c r="K374" i="1"/>
  <c r="K423" i="1"/>
  <c r="K324" i="1"/>
  <c r="K83" i="1"/>
  <c r="K48" i="1"/>
  <c r="K205" i="1"/>
  <c r="K294" i="1"/>
  <c r="K56" i="1"/>
  <c r="K215" i="1"/>
  <c r="K76" i="1"/>
  <c r="G423" i="1"/>
  <c r="G374" i="1"/>
  <c r="G134" i="1"/>
  <c r="G179" i="1"/>
  <c r="G438" i="1"/>
  <c r="G470" i="1"/>
  <c r="G129" i="1"/>
  <c r="G69" i="1"/>
  <c r="G254" i="1"/>
  <c r="G324" i="1"/>
  <c r="G83" i="1"/>
  <c r="G48" i="1"/>
  <c r="G205" i="1"/>
  <c r="G294" i="1"/>
  <c r="G56" i="1"/>
  <c r="G215" i="1"/>
  <c r="G76" i="1"/>
  <c r="U214" i="1"/>
  <c r="W214" i="1"/>
  <c r="T214" i="1"/>
  <c r="S214" i="1"/>
  <c r="W397" i="1"/>
  <c r="U397" i="1"/>
  <c r="T397" i="1"/>
  <c r="S397" i="1"/>
  <c r="R397" i="1"/>
  <c r="P397" i="1"/>
  <c r="O397" i="1"/>
  <c r="N397" i="1"/>
  <c r="W289" i="1"/>
  <c r="U289" i="1"/>
  <c r="T289" i="1"/>
  <c r="S289" i="1"/>
  <c r="R289" i="1"/>
  <c r="P289" i="1"/>
  <c r="O289" i="1"/>
  <c r="N289" i="1"/>
  <c r="S253" i="1"/>
  <c r="Y253" i="1" s="1"/>
  <c r="R253" i="1"/>
  <c r="P253" i="1"/>
  <c r="O253" i="1"/>
  <c r="N253" i="1"/>
  <c r="V394" i="1"/>
  <c r="Q394" i="1"/>
  <c r="AD394" i="1" s="1"/>
  <c r="W248" i="1"/>
  <c r="U248" i="1"/>
  <c r="T248" i="1"/>
  <c r="S248" i="1"/>
  <c r="V217" i="1"/>
  <c r="AE217" i="1" s="1"/>
  <c r="V308" i="1"/>
  <c r="AE308" i="1" s="1"/>
  <c r="AE394" i="1"/>
  <c r="V253" i="1"/>
  <c r="V94" i="1"/>
  <c r="AE94" i="1" s="1"/>
  <c r="V122" i="1"/>
  <c r="AE122" i="1" s="1"/>
  <c r="V327" i="1"/>
  <c r="AE327" i="1" s="1"/>
  <c r="V469" i="1"/>
  <c r="AE469" i="1" s="1"/>
  <c r="Q217" i="1"/>
  <c r="AD217" i="1" s="1"/>
  <c r="Q308" i="1"/>
  <c r="AD308" i="1" s="1"/>
  <c r="Q94" i="1"/>
  <c r="AD94" i="1" s="1"/>
  <c r="Q122" i="1"/>
  <c r="AD122" i="1" s="1"/>
  <c r="Q327" i="1"/>
  <c r="AD327" i="1" s="1"/>
  <c r="Q469" i="1"/>
  <c r="AD469" i="1" s="1"/>
  <c r="Q214" i="1"/>
  <c r="AD214" i="1" s="1"/>
  <c r="O248" i="1"/>
  <c r="Q248" i="1" s="1"/>
  <c r="N248" i="1"/>
  <c r="Y389" i="1"/>
  <c r="AB389" i="1"/>
  <c r="X217" i="1"/>
  <c r="Y217" i="1"/>
  <c r="AA217" i="1"/>
  <c r="AB217" i="1"/>
  <c r="X308" i="1"/>
  <c r="Y308" i="1"/>
  <c r="AA308" i="1"/>
  <c r="AB308" i="1"/>
  <c r="X394" i="1"/>
  <c r="Y394" i="1"/>
  <c r="AA394" i="1"/>
  <c r="AB394" i="1"/>
  <c r="X94" i="1"/>
  <c r="Y94" i="1"/>
  <c r="AA94" i="1"/>
  <c r="AB94" i="1"/>
  <c r="X122" i="1"/>
  <c r="Y122" i="1"/>
  <c r="AA122" i="1"/>
  <c r="AB122" i="1"/>
  <c r="X327" i="1"/>
  <c r="Y327" i="1"/>
  <c r="AA327" i="1"/>
  <c r="AB327" i="1"/>
  <c r="X469" i="1"/>
  <c r="Y469" i="1"/>
  <c r="AA469" i="1"/>
  <c r="AB469" i="1"/>
  <c r="X214" i="1"/>
  <c r="AA214" i="1"/>
  <c r="V389" i="1"/>
  <c r="AE389" i="1" s="1"/>
  <c r="Q389" i="1"/>
  <c r="N389" i="1"/>
  <c r="X389" i="1" s="1"/>
  <c r="V278" i="1"/>
  <c r="AE278" i="1" s="1"/>
  <c r="AB278" i="1"/>
  <c r="Y278" i="1"/>
  <c r="Q278" i="1"/>
  <c r="AD278" i="1" s="1"/>
  <c r="AA278" i="1"/>
  <c r="X278" i="1"/>
  <c r="V409" i="1"/>
  <c r="AE409" i="1" s="1"/>
  <c r="AB409" i="1"/>
  <c r="Y409" i="1"/>
  <c r="Q409" i="1"/>
  <c r="AD409" i="1" s="1"/>
  <c r="AA409" i="1"/>
  <c r="X409" i="1"/>
  <c r="K278" i="1"/>
  <c r="K389" i="1"/>
  <c r="K248" i="1"/>
  <c r="K217" i="1"/>
  <c r="K308" i="1"/>
  <c r="K394" i="1"/>
  <c r="K253" i="1"/>
  <c r="K289" i="1"/>
  <c r="K94" i="1"/>
  <c r="K397" i="1"/>
  <c r="K122" i="1"/>
  <c r="K327" i="1"/>
  <c r="K469" i="1"/>
  <c r="K214" i="1"/>
  <c r="K409" i="1"/>
  <c r="G214" i="1"/>
  <c r="G469" i="1"/>
  <c r="G327" i="1"/>
  <c r="G122" i="1"/>
  <c r="G397" i="1"/>
  <c r="G94" i="1"/>
  <c r="G289" i="1"/>
  <c r="G253" i="1"/>
  <c r="G394" i="1"/>
  <c r="G308" i="1"/>
  <c r="G217" i="1"/>
  <c r="G248" i="1"/>
  <c r="G389" i="1"/>
  <c r="G278" i="1"/>
  <c r="G409" i="1"/>
  <c r="T402" i="1"/>
  <c r="V402" i="1" s="1"/>
  <c r="S402" i="1"/>
  <c r="R402" i="1"/>
  <c r="P402" i="1"/>
  <c r="O402" i="1"/>
  <c r="N402" i="1"/>
  <c r="X391" i="1"/>
  <c r="Y391" i="1"/>
  <c r="AA391" i="1"/>
  <c r="AB391" i="1"/>
  <c r="X443" i="1"/>
  <c r="Y443" i="1"/>
  <c r="AA443" i="1"/>
  <c r="AB443" i="1"/>
  <c r="X297" i="1"/>
  <c r="Y297" i="1"/>
  <c r="AA297" i="1"/>
  <c r="AB297" i="1"/>
  <c r="X267" i="1"/>
  <c r="Y267" i="1"/>
  <c r="AA267" i="1"/>
  <c r="AB267" i="1"/>
  <c r="X213" i="1"/>
  <c r="Y213" i="1"/>
  <c r="AA213" i="1"/>
  <c r="AB213" i="1"/>
  <c r="X418" i="1"/>
  <c r="Y418" i="1"/>
  <c r="AA418" i="1"/>
  <c r="AB418" i="1"/>
  <c r="X25" i="1"/>
  <c r="Y25" i="1"/>
  <c r="AA25" i="1"/>
  <c r="AB25" i="1"/>
  <c r="X95" i="1"/>
  <c r="Y95" i="1"/>
  <c r="AA95" i="1"/>
  <c r="AB95" i="1"/>
  <c r="X99" i="1"/>
  <c r="Y99" i="1"/>
  <c r="AA99" i="1"/>
  <c r="AB99" i="1"/>
  <c r="X337" i="1"/>
  <c r="Y337" i="1"/>
  <c r="AA337" i="1"/>
  <c r="AB337" i="1"/>
  <c r="X90" i="1"/>
  <c r="Y90" i="1"/>
  <c r="AA90" i="1"/>
  <c r="AB90" i="1"/>
  <c r="X70" i="1"/>
  <c r="Y70" i="1"/>
  <c r="AA70" i="1"/>
  <c r="AB70" i="1"/>
  <c r="X343" i="1"/>
  <c r="Y343" i="1"/>
  <c r="AA343" i="1"/>
  <c r="AB343" i="1"/>
  <c r="X201" i="1"/>
  <c r="Y201" i="1"/>
  <c r="AA201" i="1"/>
  <c r="AB201" i="1"/>
  <c r="V391" i="1"/>
  <c r="AE391" i="1" s="1"/>
  <c r="V443" i="1"/>
  <c r="AE443" i="1" s="1"/>
  <c r="V297" i="1"/>
  <c r="AE297" i="1" s="1"/>
  <c r="V267" i="1"/>
  <c r="AE267" i="1" s="1"/>
  <c r="V213" i="1"/>
  <c r="AE213" i="1" s="1"/>
  <c r="V418" i="1"/>
  <c r="AE418" i="1" s="1"/>
  <c r="V25" i="1"/>
  <c r="AE25" i="1" s="1"/>
  <c r="V95" i="1"/>
  <c r="AE95" i="1" s="1"/>
  <c r="V99" i="1"/>
  <c r="AE99" i="1" s="1"/>
  <c r="V337" i="1"/>
  <c r="AE337" i="1" s="1"/>
  <c r="V90" i="1"/>
  <c r="AE90" i="1" s="1"/>
  <c r="V70" i="1"/>
  <c r="AE70" i="1" s="1"/>
  <c r="V343" i="1"/>
  <c r="AE343" i="1" s="1"/>
  <c r="V201" i="1"/>
  <c r="AE201" i="1" s="1"/>
  <c r="Q443" i="1"/>
  <c r="AD443" i="1" s="1"/>
  <c r="Q297" i="1"/>
  <c r="AD297" i="1" s="1"/>
  <c r="Q267" i="1"/>
  <c r="AD267" i="1" s="1"/>
  <c r="Q213" i="1"/>
  <c r="AD213" i="1" s="1"/>
  <c r="Q418" i="1"/>
  <c r="AD418" i="1" s="1"/>
  <c r="Q25" i="1"/>
  <c r="AD25" i="1" s="1"/>
  <c r="Q95" i="1"/>
  <c r="AD95" i="1" s="1"/>
  <c r="Q99" i="1"/>
  <c r="AD99" i="1" s="1"/>
  <c r="Q337" i="1"/>
  <c r="AD337" i="1" s="1"/>
  <c r="Q90" i="1"/>
  <c r="AD90" i="1" s="1"/>
  <c r="Q70" i="1"/>
  <c r="AD70" i="1" s="1"/>
  <c r="Q343" i="1"/>
  <c r="AD343" i="1" s="1"/>
  <c r="Q201" i="1"/>
  <c r="AD201" i="1" s="1"/>
  <c r="Q391" i="1"/>
  <c r="AD391" i="1" s="1"/>
  <c r="K267" i="1"/>
  <c r="K213" i="1"/>
  <c r="K402" i="1"/>
  <c r="K418" i="1"/>
  <c r="K25" i="1"/>
  <c r="K95" i="1"/>
  <c r="K99" i="1"/>
  <c r="K337" i="1"/>
  <c r="K90" i="1"/>
  <c r="K70" i="1"/>
  <c r="K343" i="1"/>
  <c r="K201" i="1"/>
  <c r="K297" i="1"/>
  <c r="K443" i="1"/>
  <c r="K391" i="1"/>
  <c r="G201" i="1"/>
  <c r="G343" i="1"/>
  <c r="G70" i="1"/>
  <c r="G90" i="1"/>
  <c r="G337" i="1"/>
  <c r="G99" i="1"/>
  <c r="G95" i="1"/>
  <c r="G25" i="1"/>
  <c r="G418" i="1"/>
  <c r="G402" i="1"/>
  <c r="G213" i="1"/>
  <c r="G267" i="1"/>
  <c r="G297" i="1"/>
  <c r="G443" i="1"/>
  <c r="G391" i="1"/>
  <c r="AC215" i="1" l="1"/>
  <c r="Q129" i="1"/>
  <c r="AD129" i="1" s="1"/>
  <c r="Y129" i="1"/>
  <c r="AD324" i="1"/>
  <c r="AF324" i="1" s="1"/>
  <c r="AB214" i="1"/>
  <c r="AC214" i="1" s="1"/>
  <c r="Y423" i="1"/>
  <c r="Z423" i="1" s="1"/>
  <c r="X324" i="1"/>
  <c r="Z324" i="1" s="1"/>
  <c r="AE423" i="1"/>
  <c r="AF423" i="1" s="1"/>
  <c r="X48" i="1"/>
  <c r="AF254" i="1"/>
  <c r="Y83" i="1"/>
  <c r="Z83" i="1" s="1"/>
  <c r="V129" i="1"/>
  <c r="AE129" i="1" s="1"/>
  <c r="AA129" i="1"/>
  <c r="AA205" i="1"/>
  <c r="AC205" i="1" s="1"/>
  <c r="AF76" i="1"/>
  <c r="V83" i="1"/>
  <c r="AE83" i="1" s="1"/>
  <c r="AF83" i="1" s="1"/>
  <c r="AB294" i="1"/>
  <c r="AC294" i="1" s="1"/>
  <c r="AB129" i="1"/>
  <c r="AC374" i="1"/>
  <c r="AC134" i="1"/>
  <c r="Z438" i="1"/>
  <c r="Z76" i="1"/>
  <c r="Q48" i="1"/>
  <c r="AD48" i="1" s="1"/>
  <c r="AC254" i="1"/>
  <c r="AE48" i="1"/>
  <c r="AF438" i="1"/>
  <c r="Z374" i="1"/>
  <c r="Z470" i="1"/>
  <c r="Z254" i="1"/>
  <c r="AC438" i="1"/>
  <c r="X129" i="1"/>
  <c r="AC69" i="1"/>
  <c r="AC324" i="1"/>
  <c r="Z69" i="1"/>
  <c r="Z179" i="1"/>
  <c r="V294" i="1"/>
  <c r="AE294" i="1" s="1"/>
  <c r="AF294" i="1" s="1"/>
  <c r="Z215" i="1"/>
  <c r="AF215" i="1"/>
  <c r="AC76" i="1"/>
  <c r="AC83" i="1"/>
  <c r="Y48" i="1"/>
  <c r="AB48" i="1"/>
  <c r="AA48" i="1"/>
  <c r="AF470" i="1"/>
  <c r="AF179" i="1"/>
  <c r="AF134" i="1"/>
  <c r="AC423" i="1"/>
  <c r="Z134" i="1"/>
  <c r="AC470" i="1"/>
  <c r="AC179" i="1"/>
  <c r="Y294" i="1"/>
  <c r="Z294" i="1" s="1"/>
  <c r="AF374" i="1"/>
  <c r="AF69" i="1"/>
  <c r="AD205" i="1"/>
  <c r="AF205" i="1" s="1"/>
  <c r="Z205" i="1"/>
  <c r="AF56" i="1"/>
  <c r="AC56" i="1"/>
  <c r="Z56" i="1"/>
  <c r="Y214" i="1"/>
  <c r="Z214" i="1" s="1"/>
  <c r="Y289" i="1"/>
  <c r="Z217" i="1"/>
  <c r="AB253" i="1"/>
  <c r="Y397" i="1"/>
  <c r="AB289" i="1"/>
  <c r="AB397" i="1"/>
  <c r="AB248" i="1"/>
  <c r="Z278" i="1"/>
  <c r="V214" i="1"/>
  <c r="AE214" i="1" s="1"/>
  <c r="AF214" i="1" s="1"/>
  <c r="AC278" i="1"/>
  <c r="X397" i="1"/>
  <c r="AA397" i="1"/>
  <c r="Z389" i="1"/>
  <c r="AC394" i="1"/>
  <c r="AC217" i="1"/>
  <c r="Z327" i="1"/>
  <c r="Z122" i="1"/>
  <c r="AD389" i="1"/>
  <c r="AF389" i="1" s="1"/>
  <c r="AC327" i="1"/>
  <c r="AA253" i="1"/>
  <c r="V397" i="1"/>
  <c r="AE397" i="1" s="1"/>
  <c r="Q397" i="1"/>
  <c r="AD397" i="1" s="1"/>
  <c r="AC94" i="1"/>
  <c r="V289" i="1"/>
  <c r="AE289" i="1" s="1"/>
  <c r="AA289" i="1"/>
  <c r="Q289" i="1"/>
  <c r="AD289" i="1" s="1"/>
  <c r="X289" i="1"/>
  <c r="AE253" i="1"/>
  <c r="Q253" i="1"/>
  <c r="AD253" i="1" s="1"/>
  <c r="X253" i="1"/>
  <c r="Z253" i="1" s="1"/>
  <c r="AF394" i="1"/>
  <c r="Z308" i="1"/>
  <c r="AF278" i="1"/>
  <c r="Z94" i="1"/>
  <c r="Z394" i="1"/>
  <c r="AC469" i="1"/>
  <c r="AA389" i="1"/>
  <c r="AC389" i="1" s="1"/>
  <c r="Z469" i="1"/>
  <c r="AC122" i="1"/>
  <c r="AC308" i="1"/>
  <c r="AD248" i="1"/>
  <c r="AC409" i="1"/>
  <c r="V248" i="1"/>
  <c r="AE248" i="1" s="1"/>
  <c r="Y248" i="1"/>
  <c r="AF469" i="1"/>
  <c r="AF94" i="1"/>
  <c r="AF122" i="1"/>
  <c r="AF217" i="1"/>
  <c r="AF327" i="1"/>
  <c r="AF308" i="1"/>
  <c r="X248" i="1"/>
  <c r="AA248" i="1"/>
  <c r="Z409" i="1"/>
  <c r="AF409" i="1"/>
  <c r="Y402" i="1"/>
  <c r="Z391" i="1"/>
  <c r="AF25" i="1"/>
  <c r="Z99" i="1"/>
  <c r="AC95" i="1"/>
  <c r="AF90" i="1"/>
  <c r="AC70" i="1"/>
  <c r="AC337" i="1"/>
  <c r="AC343" i="1"/>
  <c r="Z337" i="1"/>
  <c r="Z343" i="1"/>
  <c r="Z25" i="1"/>
  <c r="AC25" i="1"/>
  <c r="AC418" i="1"/>
  <c r="AF201" i="1"/>
  <c r="Z297" i="1"/>
  <c r="AF337" i="1"/>
  <c r="AC90" i="1"/>
  <c r="Z95" i="1"/>
  <c r="AF99" i="1"/>
  <c r="Q402" i="1"/>
  <c r="AD402" i="1" s="1"/>
  <c r="AB402" i="1"/>
  <c r="AC201" i="1"/>
  <c r="Z90" i="1"/>
  <c r="AF418" i="1"/>
  <c r="AC391" i="1"/>
  <c r="AE402" i="1"/>
  <c r="X402" i="1"/>
  <c r="AA402" i="1"/>
  <c r="AC213" i="1"/>
  <c r="AF213" i="1"/>
  <c r="AC267" i="1"/>
  <c r="Z267" i="1"/>
  <c r="AF267" i="1"/>
  <c r="AF391" i="1"/>
  <c r="AF343" i="1"/>
  <c r="Z70" i="1"/>
  <c r="Z213" i="1"/>
  <c r="AF95" i="1"/>
  <c r="Z201" i="1"/>
  <c r="AC99" i="1"/>
  <c r="Z418" i="1"/>
  <c r="AF70" i="1"/>
  <c r="AF297" i="1"/>
  <c r="AC297" i="1"/>
  <c r="AF443" i="1"/>
  <c r="Z443" i="1"/>
  <c r="AC443" i="1"/>
  <c r="AE130" i="1"/>
  <c r="AA373" i="1"/>
  <c r="AB373" i="1"/>
  <c r="AA286" i="1"/>
  <c r="AB286" i="1"/>
  <c r="AA3" i="1"/>
  <c r="AB3" i="1"/>
  <c r="AA352" i="1"/>
  <c r="AB352" i="1"/>
  <c r="AA66" i="1"/>
  <c r="AB66" i="1"/>
  <c r="AA273" i="1"/>
  <c r="AB273" i="1"/>
  <c r="AA87" i="1"/>
  <c r="AB87" i="1"/>
  <c r="AA168" i="1"/>
  <c r="AB168" i="1"/>
  <c r="AA8" i="1"/>
  <c r="AB8" i="1"/>
  <c r="AA193" i="1"/>
  <c r="AB193" i="1"/>
  <c r="AA64" i="1"/>
  <c r="AA227" i="1"/>
  <c r="AB227" i="1"/>
  <c r="AA80" i="1"/>
  <c r="AB80" i="1"/>
  <c r="AA195" i="1"/>
  <c r="AB195" i="1"/>
  <c r="AA128" i="1"/>
  <c r="AB128" i="1"/>
  <c r="AA132" i="1"/>
  <c r="AB132" i="1"/>
  <c r="AA111" i="1"/>
  <c r="AB111" i="1"/>
  <c r="AA461" i="1"/>
  <c r="AB461" i="1"/>
  <c r="AA38" i="1"/>
  <c r="AB38" i="1"/>
  <c r="AA31" i="1"/>
  <c r="AB31" i="1"/>
  <c r="AA153" i="1"/>
  <c r="AB153" i="1"/>
  <c r="AA85" i="1"/>
  <c r="AB85" i="1"/>
  <c r="AA171" i="1"/>
  <c r="AB171" i="1"/>
  <c r="AA206" i="1"/>
  <c r="AB206" i="1"/>
  <c r="AA291" i="1"/>
  <c r="AB291" i="1"/>
  <c r="AA211" i="1"/>
  <c r="AB211" i="1"/>
  <c r="AA323" i="1"/>
  <c r="AB323" i="1"/>
  <c r="AA369" i="1"/>
  <c r="AB369" i="1"/>
  <c r="AA73" i="1"/>
  <c r="AB73" i="1"/>
  <c r="AA86" i="1"/>
  <c r="AB86" i="1"/>
  <c r="AA306" i="1"/>
  <c r="AB306" i="1"/>
  <c r="AA26" i="1"/>
  <c r="AB26" i="1"/>
  <c r="AA43" i="1"/>
  <c r="AB43" i="1"/>
  <c r="AA88" i="1"/>
  <c r="AB88" i="1"/>
  <c r="AA79" i="1"/>
  <c r="AB79" i="1"/>
  <c r="AA178" i="1"/>
  <c r="AB178" i="1"/>
  <c r="AA194" i="1"/>
  <c r="AB194" i="1"/>
  <c r="AA173" i="1"/>
  <c r="AB173" i="1"/>
  <c r="AA72" i="1"/>
  <c r="AB72" i="1"/>
  <c r="AA229" i="1"/>
  <c r="AB229" i="1"/>
  <c r="AA61" i="1"/>
  <c r="AB61" i="1"/>
  <c r="AA78" i="1"/>
  <c r="AB78" i="1"/>
  <c r="AA186" i="1"/>
  <c r="AB186" i="1"/>
  <c r="AA114" i="1"/>
  <c r="AB114" i="1"/>
  <c r="AA119" i="1"/>
  <c r="AB119" i="1"/>
  <c r="AA417" i="1"/>
  <c r="AB417" i="1"/>
  <c r="AA292" i="1"/>
  <c r="AB292" i="1"/>
  <c r="AA110" i="1"/>
  <c r="AB110" i="1"/>
  <c r="AA296" i="1"/>
  <c r="AB296" i="1"/>
  <c r="AA16" i="1"/>
  <c r="AB16" i="1"/>
  <c r="AA185" i="1"/>
  <c r="AB185" i="1"/>
  <c r="AA98" i="1"/>
  <c r="AB98" i="1"/>
  <c r="AA264" i="1"/>
  <c r="AB264" i="1"/>
  <c r="AA92" i="1"/>
  <c r="AB92" i="1"/>
  <c r="AA350" i="1"/>
  <c r="AB350" i="1"/>
  <c r="AA365" i="1"/>
  <c r="AB365" i="1"/>
  <c r="AA182" i="1"/>
  <c r="AA121" i="1"/>
  <c r="AB121" i="1"/>
  <c r="AA165" i="1"/>
  <c r="AA359" i="1"/>
  <c r="AB359" i="1"/>
  <c r="AB148" i="1"/>
  <c r="AA321" i="1"/>
  <c r="AB321" i="1"/>
  <c r="AA50" i="1"/>
  <c r="AB50" i="1"/>
  <c r="AA180" i="1"/>
  <c r="AB180" i="1"/>
  <c r="AA247" i="1"/>
  <c r="AB247" i="1"/>
  <c r="AA309" i="1"/>
  <c r="AB309" i="1"/>
  <c r="AA266" i="1"/>
  <c r="AB266" i="1"/>
  <c r="AA413" i="1"/>
  <c r="AB413" i="1"/>
  <c r="AA107" i="1"/>
  <c r="AB107" i="1"/>
  <c r="AA34" i="1"/>
  <c r="AB34" i="1"/>
  <c r="AA55" i="1"/>
  <c r="AB55" i="1"/>
  <c r="AA250" i="1"/>
  <c r="AB250" i="1"/>
  <c r="AA199" i="1"/>
  <c r="AB199" i="1"/>
  <c r="AA285" i="1"/>
  <c r="AB285" i="1"/>
  <c r="AA393" i="1"/>
  <c r="AB393" i="1"/>
  <c r="AA40" i="1"/>
  <c r="AB40" i="1"/>
  <c r="AA164" i="1"/>
  <c r="AB164" i="1"/>
  <c r="AA203" i="1"/>
  <c r="AB203" i="1"/>
  <c r="AA261" i="1"/>
  <c r="AB261" i="1"/>
  <c r="AA361" i="1"/>
  <c r="AB361" i="1"/>
  <c r="AA137" i="1"/>
  <c r="AB137" i="1"/>
  <c r="AA197" i="1"/>
  <c r="AB197" i="1"/>
  <c r="AA416" i="1"/>
  <c r="AB416" i="1"/>
  <c r="AA224" i="1"/>
  <c r="AB224" i="1"/>
  <c r="AA198" i="1"/>
  <c r="AB198" i="1"/>
  <c r="AA36" i="1"/>
  <c r="AB36" i="1"/>
  <c r="AA231" i="1"/>
  <c r="AB231" i="1"/>
  <c r="AA58" i="1"/>
  <c r="AB58" i="1"/>
  <c r="AA293" i="1"/>
  <c r="AB293" i="1"/>
  <c r="AA145" i="1"/>
  <c r="AB145" i="1"/>
  <c r="AA283" i="1"/>
  <c r="AB283" i="1"/>
  <c r="AA342" i="1"/>
  <c r="AB342" i="1"/>
  <c r="AA169" i="1"/>
  <c r="AB169" i="1"/>
  <c r="AA242" i="1"/>
  <c r="AB242" i="1"/>
  <c r="AA333" i="1"/>
  <c r="AB333" i="1"/>
  <c r="AB108" i="1"/>
  <c r="AA275" i="1"/>
  <c r="AB275" i="1"/>
  <c r="AA162" i="1"/>
  <c r="AB162" i="1"/>
  <c r="AA141" i="1"/>
  <c r="AB141" i="1"/>
  <c r="AA381" i="1"/>
  <c r="AB381" i="1"/>
  <c r="AB341" i="1"/>
  <c r="AA158" i="1"/>
  <c r="AB158" i="1"/>
  <c r="AA431" i="1"/>
  <c r="AB93" i="1"/>
  <c r="AA24" i="1"/>
  <c r="AB24" i="1"/>
  <c r="AB116" i="1"/>
  <c r="AA152" i="1"/>
  <c r="AB152" i="1"/>
  <c r="AA246" i="1"/>
  <c r="AB246" i="1"/>
  <c r="AA404" i="1"/>
  <c r="AB404" i="1"/>
  <c r="AA181" i="1"/>
  <c r="AB181" i="1"/>
  <c r="AA112" i="1"/>
  <c r="AB112" i="1"/>
  <c r="AA466" i="1"/>
  <c r="AB466" i="1"/>
  <c r="AA223" i="1"/>
  <c r="AB223" i="1"/>
  <c r="AA6" i="1"/>
  <c r="AB6" i="1"/>
  <c r="AA310" i="1"/>
  <c r="AB310" i="1"/>
  <c r="AB17" i="1"/>
  <c r="AA89" i="1"/>
  <c r="AB89" i="1"/>
  <c r="AA305" i="1"/>
  <c r="AB305" i="1"/>
  <c r="AB332" i="1"/>
  <c r="AA450" i="1"/>
  <c r="AB450" i="1"/>
  <c r="AA396" i="1"/>
  <c r="AB396" i="1"/>
  <c r="AA304" i="1"/>
  <c r="AB304" i="1"/>
  <c r="AA156" i="1"/>
  <c r="AA167" i="1"/>
  <c r="AB167" i="1"/>
  <c r="AA319" i="1"/>
  <c r="AB319" i="1"/>
  <c r="AA465" i="1"/>
  <c r="AB465" i="1"/>
  <c r="AA338" i="1"/>
  <c r="AB338" i="1"/>
  <c r="AA146" i="1"/>
  <c r="AB146" i="1"/>
  <c r="AA101" i="1"/>
  <c r="AB101" i="1"/>
  <c r="AA262" i="1"/>
  <c r="AB262" i="1"/>
  <c r="AB14" i="1"/>
  <c r="AA258" i="1"/>
  <c r="AB258" i="1"/>
  <c r="AA228" i="1"/>
  <c r="AB228" i="1"/>
  <c r="AA130" i="1"/>
  <c r="AB130" i="1"/>
  <c r="AA150" i="1"/>
  <c r="AB150" i="1"/>
  <c r="AB133" i="1"/>
  <c r="AA314" i="1"/>
  <c r="AB314" i="1"/>
  <c r="AA57" i="1"/>
  <c r="AB57" i="1"/>
  <c r="AA127" i="1"/>
  <c r="AB127" i="1"/>
  <c r="AA170" i="1"/>
  <c r="AB170" i="1"/>
  <c r="AA241" i="1"/>
  <c r="AB241" i="1"/>
  <c r="AA355" i="1"/>
  <c r="AB355" i="1"/>
  <c r="AA4" i="1"/>
  <c r="AB4" i="1"/>
  <c r="AB135" i="1"/>
  <c r="AA392" i="1"/>
  <c r="AB392" i="1"/>
  <c r="AA301" i="1"/>
  <c r="AB301" i="1"/>
  <c r="AA405" i="1"/>
  <c r="AB405" i="1"/>
  <c r="AA161" i="1"/>
  <c r="AB161" i="1"/>
  <c r="AA157" i="1"/>
  <c r="AB157" i="1"/>
  <c r="AA97" i="1"/>
  <c r="AB97" i="1"/>
  <c r="AA131" i="1"/>
  <c r="AB131" i="1"/>
  <c r="AB353" i="1"/>
  <c r="AA456" i="1"/>
  <c r="AB456" i="1"/>
  <c r="AA126" i="1"/>
  <c r="AB126" i="1"/>
  <c r="AA411" i="1"/>
  <c r="AB411" i="1"/>
  <c r="AA207" i="1"/>
  <c r="AB207" i="1"/>
  <c r="AA467" i="1"/>
  <c r="AB467" i="1"/>
  <c r="AA400" i="1"/>
  <c r="AB400" i="1"/>
  <c r="AB196" i="1"/>
  <c r="AA260" i="1"/>
  <c r="AB260" i="1"/>
  <c r="AA424" i="1"/>
  <c r="AB424" i="1"/>
  <c r="AA59" i="1"/>
  <c r="AB59" i="1"/>
  <c r="AA284" i="1"/>
  <c r="AB284" i="1"/>
  <c r="AA277" i="1"/>
  <c r="AB277" i="1"/>
  <c r="AA344" i="1"/>
  <c r="AB344" i="1"/>
  <c r="AA351" i="1"/>
  <c r="AB351" i="1"/>
  <c r="AA315" i="1"/>
  <c r="AB315" i="1"/>
  <c r="AA282" i="1"/>
  <c r="AB282" i="1"/>
  <c r="AB105" i="1"/>
  <c r="AA398" i="1"/>
  <c r="AB398" i="1"/>
  <c r="AA427" i="1"/>
  <c r="AB427" i="1"/>
  <c r="AA346" i="1"/>
  <c r="AB346" i="1"/>
  <c r="AA403" i="1"/>
  <c r="AB403" i="1"/>
  <c r="AB220" i="1"/>
  <c r="AA421" i="1"/>
  <c r="AB421" i="1"/>
  <c r="AA360" i="1"/>
  <c r="AB360" i="1"/>
  <c r="AA377" i="1"/>
  <c r="AB377" i="1"/>
  <c r="AA453" i="1"/>
  <c r="AB453" i="1"/>
  <c r="AA454" i="1"/>
  <c r="AB454" i="1"/>
  <c r="AA298" i="1"/>
  <c r="AB298" i="1"/>
  <c r="AA380" i="1"/>
  <c r="AB380" i="1"/>
  <c r="AA435" i="1"/>
  <c r="AB435" i="1"/>
  <c r="AA287" i="1"/>
  <c r="AB287" i="1"/>
  <c r="AA407" i="1"/>
  <c r="AB407" i="1"/>
  <c r="AA175" i="1"/>
  <c r="AB175" i="1"/>
  <c r="AA408" i="1"/>
  <c r="AB408" i="1"/>
  <c r="AA358" i="1"/>
  <c r="AB358" i="1"/>
  <c r="AA325" i="1"/>
  <c r="AB325" i="1"/>
  <c r="AA189" i="1"/>
  <c r="AB189" i="1"/>
  <c r="AA303" i="1"/>
  <c r="AB303" i="1"/>
  <c r="AB233" i="1"/>
  <c r="AB442" i="1"/>
  <c r="AA219" i="1"/>
  <c r="AB219" i="1"/>
  <c r="AA20" i="1"/>
  <c r="AB20" i="1"/>
  <c r="AA383" i="1"/>
  <c r="AB383" i="1"/>
  <c r="AA259" i="1"/>
  <c r="AB259" i="1"/>
  <c r="AA378" i="1"/>
  <c r="AB378" i="1"/>
  <c r="AA388" i="1"/>
  <c r="AB388" i="1"/>
  <c r="AA455" i="1"/>
  <c r="AB455" i="1"/>
  <c r="AB445" i="1"/>
  <c r="AA384" i="1"/>
  <c r="AB384" i="1"/>
  <c r="AA410" i="1"/>
  <c r="AB410" i="1"/>
  <c r="AA379" i="1"/>
  <c r="AB379" i="1"/>
  <c r="AA441" i="1"/>
  <c r="AB441" i="1"/>
  <c r="AA103" i="1"/>
  <c r="AB103" i="1"/>
  <c r="AA415" i="1"/>
  <c r="AB415" i="1"/>
  <c r="AA232" i="1"/>
  <c r="AB232" i="1"/>
  <c r="AA347" i="1"/>
  <c r="AB347" i="1"/>
  <c r="AB226" i="1"/>
  <c r="AA448" i="1"/>
  <c r="AB448" i="1"/>
  <c r="AA440" i="1"/>
  <c r="AB440" i="1"/>
  <c r="AA463" i="1"/>
  <c r="AB463" i="1"/>
  <c r="AA113" i="1"/>
  <c r="AB113" i="1"/>
  <c r="AA300" i="1"/>
  <c r="AB300" i="1"/>
  <c r="AB123" i="1"/>
  <c r="AA123" i="1"/>
  <c r="Y17" i="1"/>
  <c r="X346" i="1"/>
  <c r="Y346" i="1"/>
  <c r="X132" i="1"/>
  <c r="Y132" i="1"/>
  <c r="X310" i="1"/>
  <c r="Y310" i="1"/>
  <c r="X350" i="1"/>
  <c r="Y350" i="1"/>
  <c r="X417" i="1"/>
  <c r="Y417" i="1"/>
  <c r="X304" i="1"/>
  <c r="Y304" i="1"/>
  <c r="X61" i="1"/>
  <c r="Y61" i="1"/>
  <c r="X231" i="1"/>
  <c r="Y231" i="1"/>
  <c r="X111" i="1"/>
  <c r="Y111" i="1"/>
  <c r="X168" i="1"/>
  <c r="Y168" i="1"/>
  <c r="X378" i="1"/>
  <c r="Y378" i="1"/>
  <c r="X228" i="1"/>
  <c r="Y228" i="1"/>
  <c r="X232" i="1"/>
  <c r="Y232" i="1"/>
  <c r="X193" i="1"/>
  <c r="Y193" i="1"/>
  <c r="X309" i="1"/>
  <c r="Y309" i="1"/>
  <c r="X3" i="1"/>
  <c r="Y3" i="1"/>
  <c r="X113" i="1"/>
  <c r="Y113" i="1"/>
  <c r="X50" i="1"/>
  <c r="Y50" i="1"/>
  <c r="X305" i="1"/>
  <c r="Y305" i="1"/>
  <c r="X178" i="1"/>
  <c r="Y178" i="1"/>
  <c r="X127" i="1"/>
  <c r="Y127" i="1"/>
  <c r="X4" i="1"/>
  <c r="Y4" i="1"/>
  <c r="X325" i="1"/>
  <c r="Y325" i="1"/>
  <c r="X261" i="1"/>
  <c r="Y261" i="1"/>
  <c r="X358" i="1"/>
  <c r="Y358" i="1"/>
  <c r="X207" i="1"/>
  <c r="Y207" i="1"/>
  <c r="X380" i="1"/>
  <c r="Y380" i="1"/>
  <c r="X114" i="1"/>
  <c r="Y114" i="1"/>
  <c r="X16" i="1"/>
  <c r="Y16" i="1"/>
  <c r="X224" i="1"/>
  <c r="Y224" i="1"/>
  <c r="X273" i="1"/>
  <c r="Y273" i="1"/>
  <c r="X241" i="1"/>
  <c r="Y241" i="1"/>
  <c r="X303" i="1"/>
  <c r="Y303" i="1"/>
  <c r="X186" i="1"/>
  <c r="Y186" i="1"/>
  <c r="X466" i="1"/>
  <c r="Y466" i="1"/>
  <c r="X86" i="1"/>
  <c r="Y86" i="1"/>
  <c r="X58" i="1"/>
  <c r="Y58" i="1"/>
  <c r="X164" i="1"/>
  <c r="Y164" i="1"/>
  <c r="X415" i="1"/>
  <c r="Y415" i="1"/>
  <c r="X454" i="1"/>
  <c r="Y454" i="1"/>
  <c r="X373" i="1"/>
  <c r="Y373" i="1"/>
  <c r="X227" i="1"/>
  <c r="Y227" i="1"/>
  <c r="X157" i="1"/>
  <c r="Y157" i="1"/>
  <c r="X333" i="1"/>
  <c r="Y333" i="1"/>
  <c r="X126" i="1"/>
  <c r="Y126" i="1"/>
  <c r="X185" i="1"/>
  <c r="Y185" i="1"/>
  <c r="X347" i="1"/>
  <c r="Y347" i="1"/>
  <c r="X259" i="1"/>
  <c r="Y259" i="1"/>
  <c r="X137" i="1"/>
  <c r="Y137" i="1"/>
  <c r="X128" i="1"/>
  <c r="Y128" i="1"/>
  <c r="X89" i="1"/>
  <c r="Y89" i="1"/>
  <c r="X87" i="1"/>
  <c r="Y87" i="1"/>
  <c r="X250" i="1"/>
  <c r="Y250" i="1"/>
  <c r="X73" i="1"/>
  <c r="Y73" i="1"/>
  <c r="X169" i="1"/>
  <c r="Y169" i="1"/>
  <c r="Y445" i="1"/>
  <c r="X198" i="1"/>
  <c r="Y198" i="1"/>
  <c r="X323" i="1"/>
  <c r="Y323" i="1"/>
  <c r="X384" i="1"/>
  <c r="Y384" i="1"/>
  <c r="X107" i="1"/>
  <c r="Y107" i="1"/>
  <c r="X344" i="1"/>
  <c r="Y344" i="1"/>
  <c r="X181" i="1"/>
  <c r="Y181" i="1"/>
  <c r="X156" i="1"/>
  <c r="X450" i="1"/>
  <c r="Y450" i="1"/>
  <c r="Y116" i="1"/>
  <c r="X277" i="1"/>
  <c r="Y277" i="1"/>
  <c r="X223" i="1"/>
  <c r="Y223" i="1"/>
  <c r="X300" i="1"/>
  <c r="Y300" i="1"/>
  <c r="Y196" i="1"/>
  <c r="X410" i="1"/>
  <c r="Y410" i="1"/>
  <c r="X306" i="1"/>
  <c r="Y306" i="1"/>
  <c r="X123" i="1"/>
  <c r="Y123" i="1"/>
  <c r="X361" i="1"/>
  <c r="Y361" i="1"/>
  <c r="Y353" i="1"/>
  <c r="X282" i="1"/>
  <c r="Y282" i="1"/>
  <c r="X404" i="1"/>
  <c r="Y404" i="1"/>
  <c r="X408" i="1"/>
  <c r="Y408" i="1"/>
  <c r="Y93" i="1"/>
  <c r="X161" i="1"/>
  <c r="Y161" i="1"/>
  <c r="X292" i="1"/>
  <c r="Y292" i="1"/>
  <c r="X194" i="1"/>
  <c r="Y194" i="1"/>
  <c r="X31" i="1"/>
  <c r="Y31" i="1"/>
  <c r="X88" i="1"/>
  <c r="Y88" i="1"/>
  <c r="X141" i="1"/>
  <c r="Y141" i="1"/>
  <c r="X130" i="1"/>
  <c r="Y130" i="1"/>
  <c r="Y220" i="1"/>
  <c r="X293" i="1"/>
  <c r="Y293" i="1"/>
  <c r="X153" i="1"/>
  <c r="Y153" i="1"/>
  <c r="W257" i="1"/>
  <c r="U257" i="1"/>
  <c r="T257" i="1"/>
  <c r="S257" i="1"/>
  <c r="R257" i="1"/>
  <c r="P257" i="1"/>
  <c r="O257" i="1"/>
  <c r="N257" i="1"/>
  <c r="R220" i="1"/>
  <c r="P220" i="1"/>
  <c r="O220" i="1"/>
  <c r="N220" i="1"/>
  <c r="W118" i="1"/>
  <c r="U118" i="1"/>
  <c r="T118" i="1"/>
  <c r="S118" i="1"/>
  <c r="N118" i="1"/>
  <c r="X118" i="1" s="1"/>
  <c r="W177" i="1"/>
  <c r="U177" i="1"/>
  <c r="T177" i="1"/>
  <c r="S177" i="1"/>
  <c r="R177" i="1"/>
  <c r="P177" i="1"/>
  <c r="O177" i="1"/>
  <c r="N177" i="1"/>
  <c r="W429" i="1"/>
  <c r="S429" i="1"/>
  <c r="Y429" i="1" s="1"/>
  <c r="R429" i="1"/>
  <c r="P429" i="1"/>
  <c r="O429" i="1"/>
  <c r="N429" i="1"/>
  <c r="S208" i="1"/>
  <c r="AB208" i="1" s="1"/>
  <c r="P208" i="1"/>
  <c r="O208" i="1"/>
  <c r="N208" i="1"/>
  <c r="V161" i="1"/>
  <c r="AE161" i="1" s="1"/>
  <c r="V208" i="1"/>
  <c r="V292" i="1"/>
  <c r="AE292" i="1" s="1"/>
  <c r="V194" i="1"/>
  <c r="AE194" i="1" s="1"/>
  <c r="V31" i="1"/>
  <c r="AE31" i="1" s="1"/>
  <c r="V429" i="1"/>
  <c r="V88" i="1"/>
  <c r="AE88" i="1" s="1"/>
  <c r="V141" i="1"/>
  <c r="AE141" i="1" s="1"/>
  <c r="V220" i="1"/>
  <c r="AE220" i="1" s="1"/>
  <c r="V293" i="1"/>
  <c r="AE293" i="1" s="1"/>
  <c r="V153" i="1"/>
  <c r="AE153" i="1" s="1"/>
  <c r="Q161" i="1"/>
  <c r="AD161" i="1" s="1"/>
  <c r="Q292" i="1"/>
  <c r="AD292" i="1" s="1"/>
  <c r="Q194" i="1"/>
  <c r="AD194" i="1" s="1"/>
  <c r="Q31" i="1"/>
  <c r="AD31" i="1" s="1"/>
  <c r="Q88" i="1"/>
  <c r="AD88" i="1" s="1"/>
  <c r="Q118" i="1"/>
  <c r="Q141" i="1"/>
  <c r="AD141" i="1" s="1"/>
  <c r="Q130" i="1"/>
  <c r="AD130" i="1" s="1"/>
  <c r="Q293" i="1"/>
  <c r="AD293" i="1" s="1"/>
  <c r="Q153" i="1"/>
  <c r="AD153" i="1" s="1"/>
  <c r="W468" i="1"/>
  <c r="U468" i="1"/>
  <c r="T468" i="1"/>
  <c r="S468" i="1"/>
  <c r="P468" i="1"/>
  <c r="O468" i="1"/>
  <c r="N468" i="1"/>
  <c r="K194" i="1"/>
  <c r="K31" i="1"/>
  <c r="K429" i="1"/>
  <c r="K88" i="1"/>
  <c r="K177" i="1"/>
  <c r="K118" i="1"/>
  <c r="K141" i="1"/>
  <c r="K130" i="1"/>
  <c r="K220" i="1"/>
  <c r="K293" i="1"/>
  <c r="K257" i="1"/>
  <c r="K153" i="1"/>
  <c r="K292" i="1"/>
  <c r="K208" i="1"/>
  <c r="K161" i="1"/>
  <c r="K468" i="1"/>
  <c r="G153" i="1"/>
  <c r="G257" i="1"/>
  <c r="G293" i="1"/>
  <c r="G220" i="1"/>
  <c r="G130" i="1"/>
  <c r="G141" i="1"/>
  <c r="G118" i="1"/>
  <c r="G177" i="1"/>
  <c r="G88" i="1"/>
  <c r="G429" i="1"/>
  <c r="G31" i="1"/>
  <c r="G194" i="1"/>
  <c r="G292" i="1"/>
  <c r="G208" i="1"/>
  <c r="G161" i="1"/>
  <c r="G468" i="1"/>
  <c r="P93" i="1"/>
  <c r="O93" i="1"/>
  <c r="N93" i="1"/>
  <c r="N353" i="1"/>
  <c r="X353" i="1" s="1"/>
  <c r="W125" i="1"/>
  <c r="U125" i="1"/>
  <c r="T125" i="1"/>
  <c r="S125" i="1"/>
  <c r="R125" i="1"/>
  <c r="P125" i="1"/>
  <c r="O125" i="1"/>
  <c r="N125" i="1"/>
  <c r="O196" i="1"/>
  <c r="Q196" i="1" s="1"/>
  <c r="N196" i="1"/>
  <c r="AA196" i="1" s="1"/>
  <c r="N116" i="1"/>
  <c r="AA116" i="1" s="1"/>
  <c r="V116" i="1"/>
  <c r="AE116" i="1" s="1"/>
  <c r="V277" i="1"/>
  <c r="AE277" i="1" s="1"/>
  <c r="V223" i="1"/>
  <c r="AE223" i="1" s="1"/>
  <c r="V300" i="1"/>
  <c r="AE300" i="1" s="1"/>
  <c r="V196" i="1"/>
  <c r="AE196" i="1" s="1"/>
  <c r="V410" i="1"/>
  <c r="AE410" i="1" s="1"/>
  <c r="V306" i="1"/>
  <c r="AE306" i="1" s="1"/>
  <c r="V123" i="1"/>
  <c r="AE123" i="1" s="1"/>
  <c r="V361" i="1"/>
  <c r="AE361" i="1" s="1"/>
  <c r="V353" i="1"/>
  <c r="AE353" i="1" s="1"/>
  <c r="V282" i="1"/>
  <c r="AE282" i="1" s="1"/>
  <c r="V404" i="1"/>
  <c r="AE404" i="1" s="1"/>
  <c r="V408" i="1"/>
  <c r="AE408" i="1" s="1"/>
  <c r="V93" i="1"/>
  <c r="AE93" i="1" s="1"/>
  <c r="Q116" i="1"/>
  <c r="Q277" i="1"/>
  <c r="AD277" i="1" s="1"/>
  <c r="Q223" i="1"/>
  <c r="AD223" i="1" s="1"/>
  <c r="Q300" i="1"/>
  <c r="AD300" i="1" s="1"/>
  <c r="Q410" i="1"/>
  <c r="AD410" i="1" s="1"/>
  <c r="Q306" i="1"/>
  <c r="AD306" i="1" s="1"/>
  <c r="Q123" i="1"/>
  <c r="AD123" i="1" s="1"/>
  <c r="Q361" i="1"/>
  <c r="AD361" i="1" s="1"/>
  <c r="Q353" i="1"/>
  <c r="Q282" i="1"/>
  <c r="AD282" i="1" s="1"/>
  <c r="Q404" i="1"/>
  <c r="AD404" i="1" s="1"/>
  <c r="Q408" i="1"/>
  <c r="AD408" i="1" s="1"/>
  <c r="V450" i="1"/>
  <c r="AE450" i="1" s="1"/>
  <c r="Q450" i="1"/>
  <c r="AD450" i="1" s="1"/>
  <c r="K410" i="1"/>
  <c r="K306" i="1"/>
  <c r="K125" i="1"/>
  <c r="K123" i="1"/>
  <c r="K361" i="1"/>
  <c r="K353" i="1"/>
  <c r="K282" i="1"/>
  <c r="K404" i="1"/>
  <c r="K408" i="1"/>
  <c r="K93" i="1"/>
  <c r="K196" i="1"/>
  <c r="K300" i="1"/>
  <c r="K223" i="1"/>
  <c r="K277" i="1"/>
  <c r="K116" i="1"/>
  <c r="K450" i="1"/>
  <c r="G93" i="1"/>
  <c r="G408" i="1"/>
  <c r="G404" i="1"/>
  <c r="G282" i="1"/>
  <c r="G353" i="1"/>
  <c r="G361" i="1"/>
  <c r="G123" i="1"/>
  <c r="G125" i="1"/>
  <c r="G306" i="1"/>
  <c r="G410" i="1"/>
  <c r="G196" i="1"/>
  <c r="G300" i="1"/>
  <c r="G223" i="1"/>
  <c r="G277" i="1"/>
  <c r="G116" i="1"/>
  <c r="G450" i="1"/>
  <c r="S156" i="1"/>
  <c r="Y156" i="1" s="1"/>
  <c r="S274" i="1"/>
  <c r="Y274" i="1" s="1"/>
  <c r="N274" i="1"/>
  <c r="X274" i="1" s="1"/>
  <c r="O445" i="1"/>
  <c r="Q445" i="1" s="1"/>
  <c r="N445" i="1"/>
  <c r="AA445" i="1" s="1"/>
  <c r="W188" i="1"/>
  <c r="U188" i="1"/>
  <c r="T188" i="1"/>
  <c r="S188" i="1"/>
  <c r="R188" i="1"/>
  <c r="P188" i="1"/>
  <c r="O188" i="1"/>
  <c r="N188" i="1"/>
  <c r="V87" i="1"/>
  <c r="AE87" i="1" s="1"/>
  <c r="V250" i="1"/>
  <c r="AE250" i="1" s="1"/>
  <c r="V73" i="1"/>
  <c r="AE73" i="1" s="1"/>
  <c r="V169" i="1"/>
  <c r="AE169" i="1" s="1"/>
  <c r="V445" i="1"/>
  <c r="AE445" i="1" s="1"/>
  <c r="V198" i="1"/>
  <c r="AE198" i="1" s="1"/>
  <c r="V274" i="1"/>
  <c r="V323" i="1"/>
  <c r="AE323" i="1" s="1"/>
  <c r="V384" i="1"/>
  <c r="AE384" i="1" s="1"/>
  <c r="V107" i="1"/>
  <c r="AE107" i="1" s="1"/>
  <c r="V344" i="1"/>
  <c r="AE344" i="1" s="1"/>
  <c r="V181" i="1"/>
  <c r="AE181" i="1" s="1"/>
  <c r="V156" i="1"/>
  <c r="Q87" i="1"/>
  <c r="AD87" i="1" s="1"/>
  <c r="Q250" i="1"/>
  <c r="AD250" i="1" s="1"/>
  <c r="Q73" i="1"/>
  <c r="AD73" i="1" s="1"/>
  <c r="Q169" i="1"/>
  <c r="AD169" i="1" s="1"/>
  <c r="Q198" i="1"/>
  <c r="AD198" i="1" s="1"/>
  <c r="Q274" i="1"/>
  <c r="Q323" i="1"/>
  <c r="AD323" i="1" s="1"/>
  <c r="Q384" i="1"/>
  <c r="AD384" i="1" s="1"/>
  <c r="Q107" i="1"/>
  <c r="AD107" i="1" s="1"/>
  <c r="Q344" i="1"/>
  <c r="AD344" i="1" s="1"/>
  <c r="Q181" i="1"/>
  <c r="AD181" i="1" s="1"/>
  <c r="Q156" i="1"/>
  <c r="AD156" i="1" s="1"/>
  <c r="K274" i="1"/>
  <c r="K323" i="1"/>
  <c r="K384" i="1"/>
  <c r="K107" i="1"/>
  <c r="K344" i="1"/>
  <c r="K181" i="1"/>
  <c r="K156" i="1"/>
  <c r="K198" i="1"/>
  <c r="K445" i="1"/>
  <c r="K169" i="1"/>
  <c r="K73" i="1"/>
  <c r="K188" i="1"/>
  <c r="K250" i="1"/>
  <c r="K87" i="1"/>
  <c r="G156" i="1"/>
  <c r="G181" i="1"/>
  <c r="G344" i="1"/>
  <c r="G107" i="1"/>
  <c r="G384" i="1"/>
  <c r="G323" i="1"/>
  <c r="G274" i="1"/>
  <c r="G198" i="1"/>
  <c r="G445" i="1"/>
  <c r="G169" i="1"/>
  <c r="G73" i="1"/>
  <c r="G188" i="1"/>
  <c r="G250" i="1"/>
  <c r="G87" i="1"/>
  <c r="W329" i="1"/>
  <c r="U329" i="1"/>
  <c r="T329" i="1"/>
  <c r="S329" i="1"/>
  <c r="R329" i="1"/>
  <c r="P329" i="1"/>
  <c r="O329" i="1"/>
  <c r="N329" i="1"/>
  <c r="W22" i="1"/>
  <c r="U22" i="1"/>
  <c r="T22" i="1"/>
  <c r="S22" i="1"/>
  <c r="R22" i="1"/>
  <c r="V164" i="1"/>
  <c r="AE164" i="1" s="1"/>
  <c r="V415" i="1"/>
  <c r="AE415" i="1" s="1"/>
  <c r="V454" i="1"/>
  <c r="AE454" i="1" s="1"/>
  <c r="V373" i="1"/>
  <c r="AE373" i="1" s="1"/>
  <c r="V227" i="1"/>
  <c r="AE227" i="1" s="1"/>
  <c r="V157" i="1"/>
  <c r="AE157" i="1" s="1"/>
  <c r="V333" i="1"/>
  <c r="AE333" i="1" s="1"/>
  <c r="V126" i="1"/>
  <c r="AE126" i="1" s="1"/>
  <c r="V185" i="1"/>
  <c r="AE185" i="1" s="1"/>
  <c r="V347" i="1"/>
  <c r="AE347" i="1" s="1"/>
  <c r="V259" i="1"/>
  <c r="AE259" i="1" s="1"/>
  <c r="V137" i="1"/>
  <c r="AE137" i="1" s="1"/>
  <c r="V128" i="1"/>
  <c r="AE128" i="1" s="1"/>
  <c r="V89" i="1"/>
  <c r="AE89" i="1" s="1"/>
  <c r="Q164" i="1"/>
  <c r="AD164" i="1" s="1"/>
  <c r="Q415" i="1"/>
  <c r="AD415" i="1" s="1"/>
  <c r="Q454" i="1"/>
  <c r="AD454" i="1" s="1"/>
  <c r="Q373" i="1"/>
  <c r="AD373" i="1" s="1"/>
  <c r="Q227" i="1"/>
  <c r="AD227" i="1" s="1"/>
  <c r="Q157" i="1"/>
  <c r="AD157" i="1" s="1"/>
  <c r="Q333" i="1"/>
  <c r="AD333" i="1" s="1"/>
  <c r="Q126" i="1"/>
  <c r="AD126" i="1" s="1"/>
  <c r="Q185" i="1"/>
  <c r="AD185" i="1" s="1"/>
  <c r="Q347" i="1"/>
  <c r="AD347" i="1" s="1"/>
  <c r="Q259" i="1"/>
  <c r="AD259" i="1" s="1"/>
  <c r="Q137" i="1"/>
  <c r="AD137" i="1" s="1"/>
  <c r="Q128" i="1"/>
  <c r="AD128" i="1" s="1"/>
  <c r="Q89" i="1"/>
  <c r="AD89" i="1" s="1"/>
  <c r="P22" i="1"/>
  <c r="O22" i="1"/>
  <c r="N22" i="1"/>
  <c r="K157" i="1"/>
  <c r="K333" i="1"/>
  <c r="K126" i="1"/>
  <c r="K185" i="1"/>
  <c r="K347" i="1"/>
  <c r="K259" i="1"/>
  <c r="K137" i="1"/>
  <c r="K128" i="1"/>
  <c r="K89" i="1"/>
  <c r="K329" i="1"/>
  <c r="K227" i="1"/>
  <c r="K373" i="1"/>
  <c r="K454" i="1"/>
  <c r="K415" i="1"/>
  <c r="K164" i="1"/>
  <c r="K22" i="1"/>
  <c r="G329" i="1"/>
  <c r="G89" i="1"/>
  <c r="G128" i="1"/>
  <c r="G137" i="1"/>
  <c r="G259" i="1"/>
  <c r="G347" i="1"/>
  <c r="G185" i="1"/>
  <c r="G126" i="1"/>
  <c r="G333" i="1"/>
  <c r="G157" i="1"/>
  <c r="G227" i="1"/>
  <c r="G373" i="1"/>
  <c r="G454" i="1"/>
  <c r="G415" i="1"/>
  <c r="G164" i="1"/>
  <c r="G22" i="1"/>
  <c r="S136" i="1"/>
  <c r="Y136" i="1" s="1"/>
  <c r="R136" i="1"/>
  <c r="P136" i="1"/>
  <c r="O136" i="1"/>
  <c r="N136" i="1"/>
  <c r="W428" i="1"/>
  <c r="U428" i="1"/>
  <c r="T428" i="1"/>
  <c r="S428" i="1"/>
  <c r="R428" i="1"/>
  <c r="P428" i="1"/>
  <c r="O428" i="1"/>
  <c r="N428" i="1"/>
  <c r="V380" i="1"/>
  <c r="AE380" i="1" s="1"/>
  <c r="V114" i="1"/>
  <c r="AE114" i="1" s="1"/>
  <c r="V16" i="1"/>
  <c r="AE16" i="1" s="1"/>
  <c r="V136" i="1"/>
  <c r="AE136" i="1" s="1"/>
  <c r="V224" i="1"/>
  <c r="AE224" i="1" s="1"/>
  <c r="V273" i="1"/>
  <c r="AE273" i="1" s="1"/>
  <c r="V241" i="1"/>
  <c r="AE241" i="1" s="1"/>
  <c r="V303" i="1"/>
  <c r="AE303" i="1" s="1"/>
  <c r="V186" i="1"/>
  <c r="AE186" i="1" s="1"/>
  <c r="V466" i="1"/>
  <c r="AE466" i="1" s="1"/>
  <c r="V86" i="1"/>
  <c r="AE86" i="1" s="1"/>
  <c r="V58" i="1"/>
  <c r="AE58" i="1" s="1"/>
  <c r="Q380" i="1"/>
  <c r="AD380" i="1" s="1"/>
  <c r="Q114" i="1"/>
  <c r="AD114" i="1" s="1"/>
  <c r="Q16" i="1"/>
  <c r="AD16" i="1" s="1"/>
  <c r="Q224" i="1"/>
  <c r="AD224" i="1" s="1"/>
  <c r="Q273" i="1"/>
  <c r="AD273" i="1" s="1"/>
  <c r="Q241" i="1"/>
  <c r="AD241" i="1" s="1"/>
  <c r="Q303" i="1"/>
  <c r="AD303" i="1" s="1"/>
  <c r="Q186" i="1"/>
  <c r="AD186" i="1" s="1"/>
  <c r="Q466" i="1"/>
  <c r="AD466" i="1" s="1"/>
  <c r="Q86" i="1"/>
  <c r="AD86" i="1" s="1"/>
  <c r="Q58" i="1"/>
  <c r="AD58" i="1" s="1"/>
  <c r="K273" i="1"/>
  <c r="K241" i="1"/>
  <c r="K303" i="1"/>
  <c r="K186" i="1"/>
  <c r="K466" i="1"/>
  <c r="K86" i="1"/>
  <c r="K58" i="1"/>
  <c r="K224" i="1"/>
  <c r="K136" i="1"/>
  <c r="K428" i="1"/>
  <c r="K16" i="1"/>
  <c r="K114" i="1"/>
  <c r="K380" i="1"/>
  <c r="G58" i="1"/>
  <c r="G86" i="1"/>
  <c r="G466" i="1"/>
  <c r="G186" i="1"/>
  <c r="G303" i="1"/>
  <c r="G241" i="1"/>
  <c r="G273" i="1"/>
  <c r="G224" i="1"/>
  <c r="G136" i="1"/>
  <c r="G428" i="1"/>
  <c r="G16" i="1"/>
  <c r="G114" i="1"/>
  <c r="G380" i="1"/>
  <c r="W251" i="1"/>
  <c r="U251" i="1"/>
  <c r="T251" i="1"/>
  <c r="S251" i="1"/>
  <c r="V207" i="1"/>
  <c r="AE207" i="1" s="1"/>
  <c r="O251" i="1"/>
  <c r="Q251" i="1" s="1"/>
  <c r="N251" i="1"/>
  <c r="AA251" i="1" s="1"/>
  <c r="Q207" i="1"/>
  <c r="AD207" i="1" s="1"/>
  <c r="G358" i="1"/>
  <c r="K358" i="1"/>
  <c r="Q358" i="1"/>
  <c r="AD358" i="1" s="1"/>
  <c r="V358" i="1"/>
  <c r="AE358" i="1" s="1"/>
  <c r="V261" i="1"/>
  <c r="AE261" i="1" s="1"/>
  <c r="Q261" i="1"/>
  <c r="AD261" i="1" s="1"/>
  <c r="V325" i="1"/>
  <c r="AE325" i="1" s="1"/>
  <c r="Q325" i="1"/>
  <c r="AD325" i="1" s="1"/>
  <c r="V4" i="1"/>
  <c r="AE4" i="1" s="1"/>
  <c r="Q4" i="1"/>
  <c r="AD4" i="1" s="1"/>
  <c r="V127" i="1"/>
  <c r="AE127" i="1" s="1"/>
  <c r="Q127" i="1"/>
  <c r="AD127" i="1" s="1"/>
  <c r="V178" i="1"/>
  <c r="AE178" i="1" s="1"/>
  <c r="Q178" i="1"/>
  <c r="AD178" i="1" s="1"/>
  <c r="W305" i="1"/>
  <c r="V305" i="1"/>
  <c r="AE305" i="1" s="1"/>
  <c r="R305" i="1"/>
  <c r="Q305" i="1"/>
  <c r="AD305" i="1" s="1"/>
  <c r="V50" i="1"/>
  <c r="AE50" i="1" s="1"/>
  <c r="Q50" i="1"/>
  <c r="AD50" i="1" s="1"/>
  <c r="V113" i="1"/>
  <c r="AE113" i="1" s="1"/>
  <c r="Q113" i="1"/>
  <c r="AD113" i="1" s="1"/>
  <c r="V3" i="1"/>
  <c r="AE3" i="1" s="1"/>
  <c r="Q3" i="1"/>
  <c r="AD3" i="1" s="1"/>
  <c r="V309" i="1"/>
  <c r="AE309" i="1" s="1"/>
  <c r="Q309" i="1"/>
  <c r="AD309" i="1" s="1"/>
  <c r="V193" i="1"/>
  <c r="AE193" i="1" s="1"/>
  <c r="Q193" i="1"/>
  <c r="AD193" i="1" s="1"/>
  <c r="K193" i="1"/>
  <c r="K309" i="1"/>
  <c r="K3" i="1"/>
  <c r="K113" i="1"/>
  <c r="K50" i="1"/>
  <c r="K305" i="1"/>
  <c r="K178" i="1"/>
  <c r="K127" i="1"/>
  <c r="K4" i="1"/>
  <c r="K325" i="1"/>
  <c r="K261" i="1"/>
  <c r="K207" i="1"/>
  <c r="K251" i="1"/>
  <c r="G251" i="1"/>
  <c r="G207" i="1"/>
  <c r="G261" i="1"/>
  <c r="G325" i="1"/>
  <c r="G4" i="1"/>
  <c r="G127" i="1"/>
  <c r="G178" i="1"/>
  <c r="G305" i="1"/>
  <c r="G50" i="1"/>
  <c r="G113" i="1"/>
  <c r="G3" i="1"/>
  <c r="G309" i="1"/>
  <c r="G193" i="1"/>
  <c r="S235" i="1"/>
  <c r="AB235" i="1" s="1"/>
  <c r="R235" i="1"/>
  <c r="P235" i="1"/>
  <c r="O235" i="1"/>
  <c r="N235" i="1"/>
  <c r="O17" i="1"/>
  <c r="N17" i="1"/>
  <c r="AA17" i="1" s="1"/>
  <c r="Y152" i="1"/>
  <c r="X152" i="1"/>
  <c r="AF129" i="1" l="1"/>
  <c r="Z129" i="1"/>
  <c r="Z397" i="1"/>
  <c r="Z48" i="1"/>
  <c r="AF48" i="1"/>
  <c r="AC129" i="1"/>
  <c r="AC48" i="1"/>
  <c r="AF87" i="1"/>
  <c r="AF333" i="1"/>
  <c r="Z289" i="1"/>
  <c r="AC253" i="1"/>
  <c r="AC397" i="1"/>
  <c r="AC289" i="1"/>
  <c r="AC248" i="1"/>
  <c r="AF397" i="1"/>
  <c r="AF248" i="1"/>
  <c r="AF253" i="1"/>
  <c r="AF289" i="1"/>
  <c r="Z248" i="1"/>
  <c r="AC378" i="1"/>
  <c r="AC219" i="1"/>
  <c r="Z402" i="1"/>
  <c r="AB251" i="1"/>
  <c r="AC251" i="1" s="1"/>
  <c r="AF185" i="1"/>
  <c r="AC445" i="1"/>
  <c r="AF404" i="1"/>
  <c r="AC402" i="1"/>
  <c r="Q208" i="1"/>
  <c r="AD208" i="1" s="1"/>
  <c r="X22" i="1"/>
  <c r="Y22" i="1"/>
  <c r="Y329" i="1"/>
  <c r="AD251" i="1"/>
  <c r="AF16" i="1"/>
  <c r="X428" i="1"/>
  <c r="AF86" i="1"/>
  <c r="AF137" i="1"/>
  <c r="AF373" i="1"/>
  <c r="AA428" i="1"/>
  <c r="AD274" i="1"/>
  <c r="AF306" i="1"/>
  <c r="Q220" i="1"/>
  <c r="AD220" i="1" s="1"/>
  <c r="AF220" i="1" s="1"/>
  <c r="Z123" i="1"/>
  <c r="Z227" i="1"/>
  <c r="AC241" i="1"/>
  <c r="AC342" i="1"/>
  <c r="AC361" i="1"/>
  <c r="AC40" i="1"/>
  <c r="AF186" i="1"/>
  <c r="AF198" i="1"/>
  <c r="AE429" i="1"/>
  <c r="AA22" i="1"/>
  <c r="AF130" i="1"/>
  <c r="X429" i="1"/>
  <c r="Z429" i="1" s="1"/>
  <c r="Z161" i="1"/>
  <c r="AC413" i="1"/>
  <c r="AF88" i="1"/>
  <c r="AC259" i="1"/>
  <c r="AF126" i="1"/>
  <c r="AC261" i="1"/>
  <c r="AF325" i="1"/>
  <c r="X136" i="1"/>
  <c r="Z136" i="1" s="1"/>
  <c r="AA136" i="1"/>
  <c r="AC323" i="1"/>
  <c r="AC170" i="1"/>
  <c r="Y125" i="1"/>
  <c r="AF58" i="1"/>
  <c r="AF31" i="1"/>
  <c r="AF402" i="1"/>
  <c r="Z169" i="1"/>
  <c r="Y428" i="1"/>
  <c r="AC287" i="1"/>
  <c r="AC454" i="1"/>
  <c r="AA235" i="1"/>
  <c r="AC235" i="1" s="1"/>
  <c r="AB22" i="1"/>
  <c r="Y177" i="1"/>
  <c r="AC114" i="1"/>
  <c r="Z347" i="1"/>
  <c r="Z466" i="1"/>
  <c r="AC410" i="1"/>
  <c r="AA125" i="1"/>
  <c r="Z361" i="1"/>
  <c r="AB428" i="1"/>
  <c r="AF293" i="1"/>
  <c r="AB329" i="1"/>
  <c r="X188" i="1"/>
  <c r="X468" i="1"/>
  <c r="AC396" i="1"/>
  <c r="AC293" i="1"/>
  <c r="AB468" i="1"/>
  <c r="Y251" i="1"/>
  <c r="AB188" i="1"/>
  <c r="X93" i="1"/>
  <c r="Z93" i="1" s="1"/>
  <c r="Y257" i="1"/>
  <c r="AC300" i="1"/>
  <c r="AC448" i="1"/>
  <c r="AC72" i="1"/>
  <c r="AA220" i="1"/>
  <c r="AC220" i="1" s="1"/>
  <c r="AB257" i="1"/>
  <c r="AC193" i="1"/>
  <c r="AF241" i="1"/>
  <c r="AC421" i="1"/>
  <c r="AC351" i="1"/>
  <c r="AE274" i="1"/>
  <c r="Z333" i="1"/>
  <c r="Z86" i="1"/>
  <c r="AC242" i="1"/>
  <c r="AC145" i="1"/>
  <c r="AC352" i="1"/>
  <c r="AF113" i="1"/>
  <c r="AF261" i="1"/>
  <c r="AF415" i="1"/>
  <c r="X329" i="1"/>
  <c r="AF123" i="1"/>
  <c r="Y468" i="1"/>
  <c r="AD118" i="1"/>
  <c r="AE208" i="1"/>
  <c r="AA429" i="1"/>
  <c r="Z87" i="1"/>
  <c r="Z358" i="1"/>
  <c r="Z127" i="1"/>
  <c r="Z232" i="1"/>
  <c r="Z346" i="1"/>
  <c r="AC157" i="1"/>
  <c r="AC392" i="1"/>
  <c r="AC198" i="1"/>
  <c r="X17" i="1"/>
  <c r="Z17" i="1" s="1"/>
  <c r="AF50" i="1"/>
  <c r="AF380" i="1"/>
  <c r="AF224" i="1"/>
  <c r="AF259" i="1"/>
  <c r="AF454" i="1"/>
  <c r="AA329" i="1"/>
  <c r="Y188" i="1"/>
  <c r="AF450" i="1"/>
  <c r="X125" i="1"/>
  <c r="X220" i="1"/>
  <c r="Z220" i="1" s="1"/>
  <c r="Z450" i="1"/>
  <c r="Z157" i="1"/>
  <c r="Z261" i="1"/>
  <c r="Z3" i="1"/>
  <c r="AC455" i="1"/>
  <c r="AC424" i="1"/>
  <c r="AC6" i="1"/>
  <c r="AB429" i="1"/>
  <c r="X235" i="1"/>
  <c r="AA93" i="1"/>
  <c r="AC93" i="1" s="1"/>
  <c r="X208" i="1"/>
  <c r="Z194" i="1"/>
  <c r="Z408" i="1"/>
  <c r="AC207" i="1"/>
  <c r="AC465" i="1"/>
  <c r="AC381" i="1"/>
  <c r="AC78" i="1"/>
  <c r="AA208" i="1"/>
  <c r="AC208" i="1" s="1"/>
  <c r="X177" i="1"/>
  <c r="Z177" i="1" s="1"/>
  <c r="AC466" i="1"/>
  <c r="AC195" i="1"/>
  <c r="AF157" i="1"/>
  <c r="AF107" i="1"/>
  <c r="AA188" i="1"/>
  <c r="AD116" i="1"/>
  <c r="AF116" i="1" s="1"/>
  <c r="AB125" i="1"/>
  <c r="Q468" i="1"/>
  <c r="AD468" i="1" s="1"/>
  <c r="AA177" i="1"/>
  <c r="V118" i="1"/>
  <c r="AE118" i="1" s="1"/>
  <c r="Q257" i="1"/>
  <c r="AD257" i="1" s="1"/>
  <c r="Z153" i="1"/>
  <c r="AC284" i="1"/>
  <c r="AC400" i="1"/>
  <c r="AC36" i="1"/>
  <c r="AC285" i="1"/>
  <c r="AC61" i="1"/>
  <c r="AC8" i="1"/>
  <c r="AC66" i="1"/>
  <c r="AF128" i="1"/>
  <c r="AB118" i="1"/>
  <c r="AA257" i="1"/>
  <c r="Z274" i="1"/>
  <c r="AF178" i="1"/>
  <c r="AE156" i="1"/>
  <c r="AF156" i="1" s="1"/>
  <c r="AD196" i="1"/>
  <c r="AF196" i="1" s="1"/>
  <c r="AF161" i="1"/>
  <c r="Z282" i="1"/>
  <c r="Z303" i="1"/>
  <c r="AC411" i="1"/>
  <c r="AA353" i="1"/>
  <c r="AC353" i="1" s="1"/>
  <c r="AC161" i="1"/>
  <c r="AB156" i="1"/>
  <c r="AC156" i="1" s="1"/>
  <c r="AC246" i="1"/>
  <c r="AC24" i="1"/>
  <c r="AC55" i="1"/>
  <c r="AC359" i="1"/>
  <c r="AC92" i="1"/>
  <c r="AC16" i="1"/>
  <c r="AC186" i="1"/>
  <c r="Y208" i="1"/>
  <c r="Z306" i="1"/>
  <c r="Z156" i="1"/>
  <c r="X445" i="1"/>
  <c r="Z445" i="1" s="1"/>
  <c r="X251" i="1"/>
  <c r="Z325" i="1"/>
  <c r="Z305" i="1"/>
  <c r="Z378" i="1"/>
  <c r="Z310" i="1"/>
  <c r="AC463" i="1"/>
  <c r="AC441" i="1"/>
  <c r="AC20" i="1"/>
  <c r="AC126" i="1"/>
  <c r="AC131" i="1"/>
  <c r="AC4" i="1"/>
  <c r="AA468" i="1"/>
  <c r="AC296" i="1"/>
  <c r="AC273" i="1"/>
  <c r="X257" i="1"/>
  <c r="Z193" i="1"/>
  <c r="Z304" i="1"/>
  <c r="AC123" i="1"/>
  <c r="AC440" i="1"/>
  <c r="AC379" i="1"/>
  <c r="AC258" i="1"/>
  <c r="AC89" i="1"/>
  <c r="AA118" i="1"/>
  <c r="AB274" i="1"/>
  <c r="AC110" i="1"/>
  <c r="AC119" i="1"/>
  <c r="AC79" i="1"/>
  <c r="AC26" i="1"/>
  <c r="AC153" i="1"/>
  <c r="AC111" i="1"/>
  <c r="AC80" i="1"/>
  <c r="Z353" i="1"/>
  <c r="Y118" i="1"/>
  <c r="Z118" i="1" s="1"/>
  <c r="AA274" i="1"/>
  <c r="AF309" i="1"/>
  <c r="AF181" i="1"/>
  <c r="AF73" i="1"/>
  <c r="AF323" i="1"/>
  <c r="AF194" i="1"/>
  <c r="V177" i="1"/>
  <c r="AE177" i="1" s="1"/>
  <c r="Z293" i="1"/>
  <c r="Z137" i="1"/>
  <c r="Z126" i="1"/>
  <c r="AC175" i="1"/>
  <c r="AC380" i="1"/>
  <c r="AC377" i="1"/>
  <c r="AC403" i="1"/>
  <c r="AC150" i="1"/>
  <c r="AC338" i="1"/>
  <c r="AC203" i="1"/>
  <c r="AC309" i="1"/>
  <c r="AC121" i="1"/>
  <c r="AC185" i="1"/>
  <c r="AB177" i="1"/>
  <c r="AC88" i="1"/>
  <c r="AC306" i="1"/>
  <c r="AC31" i="1"/>
  <c r="AC227" i="1"/>
  <c r="AD445" i="1"/>
  <c r="AF445" i="1" s="1"/>
  <c r="AF277" i="1"/>
  <c r="V257" i="1"/>
  <c r="AE257" i="1" s="1"/>
  <c r="X196" i="1"/>
  <c r="Z196" i="1" s="1"/>
  <c r="X116" i="1"/>
  <c r="Z116" i="1" s="1"/>
  <c r="Z344" i="1"/>
  <c r="AC298" i="1"/>
  <c r="AC130" i="1"/>
  <c r="AC305" i="1"/>
  <c r="AC17" i="1"/>
  <c r="AB136" i="1"/>
  <c r="AF3" i="1"/>
  <c r="AD353" i="1"/>
  <c r="AF353" i="1" s="1"/>
  <c r="Y235" i="1"/>
  <c r="AF303" i="1"/>
  <c r="AF89" i="1"/>
  <c r="Z404" i="1"/>
  <c r="Z181" i="1"/>
  <c r="Z323" i="1"/>
  <c r="Z128" i="1"/>
  <c r="Z241" i="1"/>
  <c r="Z231" i="1"/>
  <c r="AC384" i="1"/>
  <c r="AC407" i="1"/>
  <c r="AC360" i="1"/>
  <c r="AC346" i="1"/>
  <c r="AC59" i="1"/>
  <c r="AF384" i="1"/>
  <c r="AF361" i="1"/>
  <c r="Z61" i="1"/>
  <c r="AC347" i="1"/>
  <c r="AF114" i="1"/>
  <c r="AF466" i="1"/>
  <c r="AF164" i="1"/>
  <c r="AF300" i="1"/>
  <c r="AF292" i="1"/>
  <c r="Z88" i="1"/>
  <c r="Z300" i="1"/>
  <c r="Z373" i="1"/>
  <c r="Z16" i="1"/>
  <c r="Z4" i="1"/>
  <c r="AC408" i="1"/>
  <c r="AC427" i="1"/>
  <c r="AF193" i="1"/>
  <c r="AF127" i="1"/>
  <c r="AF358" i="1"/>
  <c r="AF347" i="1"/>
  <c r="AF250" i="1"/>
  <c r="AF410" i="1"/>
  <c r="AF282" i="1"/>
  <c r="AF223" i="1"/>
  <c r="Z141" i="1"/>
  <c r="Z223" i="1"/>
  <c r="Z107" i="1"/>
  <c r="Z198" i="1"/>
  <c r="Z259" i="1"/>
  <c r="Z58" i="1"/>
  <c r="Z224" i="1"/>
  <c r="Z168" i="1"/>
  <c r="AC232" i="1"/>
  <c r="AC189" i="1"/>
  <c r="AC453" i="1"/>
  <c r="AC228" i="1"/>
  <c r="AF305" i="1"/>
  <c r="AF4" i="1"/>
  <c r="AF169" i="1"/>
  <c r="AF408" i="1"/>
  <c r="AF153" i="1"/>
  <c r="AF141" i="1"/>
  <c r="Z89" i="1"/>
  <c r="AC383" i="1"/>
  <c r="AF207" i="1"/>
  <c r="AF273" i="1"/>
  <c r="AF227" i="1"/>
  <c r="AF344" i="1"/>
  <c r="Z31" i="1"/>
  <c r="Z410" i="1"/>
  <c r="Z277" i="1"/>
  <c r="Z415" i="1"/>
  <c r="Z178" i="1"/>
  <c r="AC301" i="1"/>
  <c r="AC355" i="1"/>
  <c r="AC116" i="1"/>
  <c r="AC333" i="1"/>
  <c r="AC266" i="1"/>
  <c r="AC180" i="1"/>
  <c r="AC264" i="1"/>
  <c r="AC229" i="1"/>
  <c r="AC86" i="1"/>
  <c r="AC206" i="1"/>
  <c r="AC132" i="1"/>
  <c r="AC196" i="1"/>
  <c r="AC57" i="1"/>
  <c r="AC162" i="1"/>
  <c r="AC393" i="1"/>
  <c r="AC50" i="1"/>
  <c r="AC417" i="1"/>
  <c r="AC137" i="1"/>
  <c r="AC128" i="1"/>
  <c r="AC168" i="1"/>
  <c r="AC319" i="1"/>
  <c r="AC275" i="1"/>
  <c r="AC164" i="1"/>
  <c r="AC199" i="1"/>
  <c r="AC107" i="1"/>
  <c r="AC321" i="1"/>
  <c r="AC369" i="1"/>
  <c r="AC291" i="1"/>
  <c r="AC260" i="1"/>
  <c r="AC467" i="1"/>
  <c r="AC262" i="1"/>
  <c r="AC304" i="1"/>
  <c r="AC169" i="1"/>
  <c r="AC197" i="1"/>
  <c r="AC173" i="1"/>
  <c r="AC344" i="1"/>
  <c r="AC58" i="1"/>
  <c r="AC194" i="1"/>
  <c r="AC171" i="1"/>
  <c r="Z292" i="1"/>
  <c r="Z250" i="1"/>
  <c r="Z164" i="1"/>
  <c r="Z207" i="1"/>
  <c r="Z111" i="1"/>
  <c r="AC113" i="1"/>
  <c r="AC358" i="1"/>
  <c r="AC398" i="1"/>
  <c r="AC282" i="1"/>
  <c r="AC456" i="1"/>
  <c r="AC146" i="1"/>
  <c r="AC181" i="1"/>
  <c r="AC283" i="1"/>
  <c r="AC365" i="1"/>
  <c r="AC350" i="1"/>
  <c r="Z114" i="1"/>
  <c r="Z228" i="1"/>
  <c r="Z132" i="1"/>
  <c r="AC415" i="1"/>
  <c r="AC303" i="1"/>
  <c r="AC277" i="1"/>
  <c r="AC97" i="1"/>
  <c r="AC405" i="1"/>
  <c r="AC223" i="1"/>
  <c r="AC152" i="1"/>
  <c r="AC231" i="1"/>
  <c r="AC224" i="1"/>
  <c r="AC250" i="1"/>
  <c r="AC178" i="1"/>
  <c r="AC43" i="1"/>
  <c r="AC85" i="1"/>
  <c r="AC38" i="1"/>
  <c r="AC3" i="1"/>
  <c r="Z309" i="1"/>
  <c r="Z417" i="1"/>
  <c r="AC315" i="1"/>
  <c r="AC314" i="1"/>
  <c r="AC404" i="1"/>
  <c r="AC292" i="1"/>
  <c r="Z73" i="1"/>
  <c r="Z454" i="1"/>
  <c r="Z380" i="1"/>
  <c r="Z50" i="1"/>
  <c r="AC103" i="1"/>
  <c r="AC416" i="1"/>
  <c r="AC461" i="1"/>
  <c r="AC286" i="1"/>
  <c r="Z130" i="1"/>
  <c r="Z384" i="1"/>
  <c r="Z185" i="1"/>
  <c r="Z273" i="1"/>
  <c r="Z350" i="1"/>
  <c r="AC388" i="1"/>
  <c r="AC435" i="1"/>
  <c r="AC127" i="1"/>
  <c r="AC167" i="1"/>
  <c r="AC310" i="1"/>
  <c r="AC158" i="1"/>
  <c r="AC247" i="1"/>
  <c r="AC373" i="1"/>
  <c r="Z186" i="1"/>
  <c r="Z113" i="1"/>
  <c r="AC325" i="1"/>
  <c r="AC101" i="1"/>
  <c r="AC450" i="1"/>
  <c r="AC112" i="1"/>
  <c r="AC141" i="1"/>
  <c r="AC34" i="1"/>
  <c r="AC98" i="1"/>
  <c r="AC73" i="1"/>
  <c r="AC211" i="1"/>
  <c r="AC87" i="1"/>
  <c r="V468" i="1"/>
  <c r="AE468" i="1" s="1"/>
  <c r="Q177" i="1"/>
  <c r="AD177" i="1" s="1"/>
  <c r="Q429" i="1"/>
  <c r="AD429" i="1" s="1"/>
  <c r="V125" i="1"/>
  <c r="AE125" i="1" s="1"/>
  <c r="Q93" i="1"/>
  <c r="AD93" i="1" s="1"/>
  <c r="AF93" i="1" s="1"/>
  <c r="Q125" i="1"/>
  <c r="AD125" i="1" s="1"/>
  <c r="V188" i="1"/>
  <c r="AE188" i="1" s="1"/>
  <c r="Q188" i="1"/>
  <c r="AD188" i="1" s="1"/>
  <c r="Q329" i="1"/>
  <c r="AD329" i="1" s="1"/>
  <c r="V329" i="1"/>
  <c r="AE329" i="1" s="1"/>
  <c r="Q136" i="1"/>
  <c r="AD136" i="1" s="1"/>
  <c r="AF136" i="1" s="1"/>
  <c r="V22" i="1"/>
  <c r="AE22" i="1" s="1"/>
  <c r="Q22" i="1"/>
  <c r="AD22" i="1" s="1"/>
  <c r="V428" i="1"/>
  <c r="AE428" i="1" s="1"/>
  <c r="Q428" i="1"/>
  <c r="AD428" i="1" s="1"/>
  <c r="V251" i="1"/>
  <c r="AE251" i="1" s="1"/>
  <c r="Z152" i="1"/>
  <c r="V152" i="1"/>
  <c r="AE152" i="1" s="1"/>
  <c r="V17" i="1"/>
  <c r="AE17" i="1" s="1"/>
  <c r="V235" i="1"/>
  <c r="AE235" i="1" s="1"/>
  <c r="V346" i="1"/>
  <c r="AE346" i="1" s="1"/>
  <c r="V132" i="1"/>
  <c r="AE132" i="1" s="1"/>
  <c r="V310" i="1"/>
  <c r="AE310" i="1" s="1"/>
  <c r="V350" i="1"/>
  <c r="AE350" i="1" s="1"/>
  <c r="V417" i="1"/>
  <c r="AE417" i="1" s="1"/>
  <c r="V304" i="1"/>
  <c r="AE304" i="1" s="1"/>
  <c r="V61" i="1"/>
  <c r="AE61" i="1" s="1"/>
  <c r="V231" i="1"/>
  <c r="AE231" i="1" s="1"/>
  <c r="V111" i="1"/>
  <c r="AE111" i="1" s="1"/>
  <c r="V168" i="1"/>
  <c r="AE168" i="1" s="1"/>
  <c r="V378" i="1"/>
  <c r="AE378" i="1" s="1"/>
  <c r="V228" i="1"/>
  <c r="AE228" i="1" s="1"/>
  <c r="V232" i="1"/>
  <c r="AE232" i="1" s="1"/>
  <c r="Q152" i="1"/>
  <c r="AD152" i="1" s="1"/>
  <c r="Q17" i="1"/>
  <c r="AD17" i="1" s="1"/>
  <c r="AF17" i="1" s="1"/>
  <c r="Q235" i="1"/>
  <c r="AD235" i="1" s="1"/>
  <c r="Q346" i="1"/>
  <c r="AD346" i="1" s="1"/>
  <c r="Q132" i="1"/>
  <c r="AD132" i="1" s="1"/>
  <c r="AF132" i="1" s="1"/>
  <c r="Q310" i="1"/>
  <c r="AD310" i="1" s="1"/>
  <c r="Q350" i="1"/>
  <c r="AD350" i="1" s="1"/>
  <c r="Q417" i="1"/>
  <c r="AD417" i="1" s="1"/>
  <c r="Q304" i="1"/>
  <c r="AD304" i="1" s="1"/>
  <c r="Q61" i="1"/>
  <c r="AD61" i="1" s="1"/>
  <c r="AF61" i="1" s="1"/>
  <c r="Q231" i="1"/>
  <c r="AD231" i="1" s="1"/>
  <c r="AF231" i="1" s="1"/>
  <c r="Q111" i="1"/>
  <c r="AD111" i="1" s="1"/>
  <c r="AF111" i="1" s="1"/>
  <c r="Q168" i="1"/>
  <c r="AD168" i="1" s="1"/>
  <c r="AF168" i="1" s="1"/>
  <c r="Q378" i="1"/>
  <c r="AD378" i="1" s="1"/>
  <c r="Q228" i="1"/>
  <c r="AD228" i="1" s="1"/>
  <c r="Q232" i="1"/>
  <c r="AD232" i="1" s="1"/>
  <c r="AF232" i="1" s="1"/>
  <c r="K231" i="1"/>
  <c r="K111" i="1"/>
  <c r="K168" i="1"/>
  <c r="K378" i="1"/>
  <c r="K228" i="1"/>
  <c r="K232" i="1"/>
  <c r="K61" i="1"/>
  <c r="K304" i="1"/>
  <c r="K417" i="1"/>
  <c r="K350" i="1"/>
  <c r="K310" i="1"/>
  <c r="K132" i="1"/>
  <c r="K346" i="1"/>
  <c r="K235" i="1"/>
  <c r="K17" i="1"/>
  <c r="K152" i="1"/>
  <c r="G232" i="1"/>
  <c r="G228" i="1"/>
  <c r="G378" i="1"/>
  <c r="G168" i="1"/>
  <c r="G111" i="1"/>
  <c r="G231" i="1"/>
  <c r="G61" i="1"/>
  <c r="G304" i="1"/>
  <c r="G417" i="1"/>
  <c r="G350" i="1"/>
  <c r="G310" i="1"/>
  <c r="G132" i="1"/>
  <c r="G346" i="1"/>
  <c r="G235" i="1"/>
  <c r="G17" i="1"/>
  <c r="G152" i="1"/>
  <c r="W71" i="1"/>
  <c r="U71" i="1"/>
  <c r="T71" i="1"/>
  <c r="S71" i="1"/>
  <c r="R71" i="1"/>
  <c r="P71" i="1"/>
  <c r="O71" i="1"/>
  <c r="N71" i="1"/>
  <c r="V197" i="1"/>
  <c r="AE197" i="1" s="1"/>
  <c r="Y197" i="1"/>
  <c r="Q197" i="1"/>
  <c r="AD197" i="1" s="1"/>
  <c r="X197" i="1"/>
  <c r="K197" i="1"/>
  <c r="G197" i="1"/>
  <c r="W276" i="1"/>
  <c r="U276" i="1"/>
  <c r="T276" i="1"/>
  <c r="S276" i="1"/>
  <c r="R276" i="1"/>
  <c r="P276" i="1"/>
  <c r="O276" i="1"/>
  <c r="N276" i="1"/>
  <c r="AF346" i="1" l="1"/>
  <c r="AF310" i="1"/>
  <c r="AF417" i="1"/>
  <c r="Z329" i="1"/>
  <c r="AC257" i="1"/>
  <c r="Z251" i="1"/>
  <c r="AC429" i="1"/>
  <c r="AF251" i="1"/>
  <c r="AC428" i="1"/>
  <c r="Z428" i="1"/>
  <c r="Z22" i="1"/>
  <c r="Z468" i="1"/>
  <c r="AF177" i="1"/>
  <c r="AF468" i="1"/>
  <c r="Z257" i="1"/>
  <c r="Z125" i="1"/>
  <c r="AF274" i="1"/>
  <c r="AC125" i="1"/>
  <c r="AF208" i="1"/>
  <c r="AC22" i="1"/>
  <c r="AF429" i="1"/>
  <c r="AF118" i="1"/>
  <c r="AC329" i="1"/>
  <c r="AF304" i="1"/>
  <c r="AC136" i="1"/>
  <c r="Z188" i="1"/>
  <c r="AB71" i="1"/>
  <c r="AC468" i="1"/>
  <c r="AC177" i="1"/>
  <c r="AC188" i="1"/>
  <c r="Z235" i="1"/>
  <c r="AC118" i="1"/>
  <c r="AA71" i="1"/>
  <c r="AF428" i="1"/>
  <c r="AF197" i="1"/>
  <c r="AF257" i="1"/>
  <c r="Z208" i="1"/>
  <c r="AA276" i="1"/>
  <c r="AB276" i="1"/>
  <c r="AF329" i="1"/>
  <c r="AC274" i="1"/>
  <c r="AF22" i="1"/>
  <c r="AF235" i="1"/>
  <c r="AF152" i="1"/>
  <c r="AF228" i="1"/>
  <c r="AF350" i="1"/>
  <c r="AF188" i="1"/>
  <c r="AF378" i="1"/>
  <c r="AF125" i="1"/>
  <c r="Z197" i="1"/>
  <c r="R299" i="1"/>
  <c r="P299" i="1"/>
  <c r="O299" i="1"/>
  <c r="N299" i="1"/>
  <c r="S64" i="1"/>
  <c r="AB64" i="1" s="1"/>
  <c r="AC64" i="1" s="1"/>
  <c r="R14" i="1"/>
  <c r="P14" i="1"/>
  <c r="O14" i="1"/>
  <c r="N14" i="1"/>
  <c r="K14" i="1"/>
  <c r="W184" i="1"/>
  <c r="U184" i="1"/>
  <c r="T184" i="1"/>
  <c r="S184" i="1"/>
  <c r="R184" i="1"/>
  <c r="P184" i="1"/>
  <c r="O184" i="1"/>
  <c r="N184" i="1"/>
  <c r="Q298" i="1"/>
  <c r="AD298" i="1" s="1"/>
  <c r="Q66" i="1"/>
  <c r="AD66" i="1" s="1"/>
  <c r="Q6" i="1"/>
  <c r="AD6" i="1" s="1"/>
  <c r="Q448" i="1"/>
  <c r="AD448" i="1" s="1"/>
  <c r="Q416" i="1"/>
  <c r="AD416" i="1" s="1"/>
  <c r="Q301" i="1"/>
  <c r="AD301" i="1" s="1"/>
  <c r="V20" i="1"/>
  <c r="AE20" i="1" s="1"/>
  <c r="V379" i="1"/>
  <c r="AE379" i="1" s="1"/>
  <c r="V298" i="1"/>
  <c r="AE298" i="1" s="1"/>
  <c r="V66" i="1"/>
  <c r="AE66" i="1" s="1"/>
  <c r="V6" i="1"/>
  <c r="AE6" i="1" s="1"/>
  <c r="V448" i="1"/>
  <c r="AE448" i="1" s="1"/>
  <c r="V416" i="1"/>
  <c r="AE416" i="1" s="1"/>
  <c r="V301" i="1"/>
  <c r="AE301" i="1" s="1"/>
  <c r="Q379" i="1"/>
  <c r="AD379" i="1" s="1"/>
  <c r="Q20" i="1"/>
  <c r="AD20" i="1" s="1"/>
  <c r="V407" i="1"/>
  <c r="AE407" i="1" s="1"/>
  <c r="Q407" i="1"/>
  <c r="AD407" i="1" s="1"/>
  <c r="V229" i="1"/>
  <c r="AE229" i="1" s="1"/>
  <c r="Q229" i="1"/>
  <c r="AD229" i="1" s="1"/>
  <c r="V377" i="1"/>
  <c r="AE377" i="1" s="1"/>
  <c r="Q377" i="1"/>
  <c r="AD377" i="1" s="1"/>
  <c r="V266" i="1"/>
  <c r="AE266" i="1" s="1"/>
  <c r="Q266" i="1"/>
  <c r="AD266" i="1" s="1"/>
  <c r="V381" i="1"/>
  <c r="AE381" i="1" s="1"/>
  <c r="Q381" i="1"/>
  <c r="AD381" i="1" s="1"/>
  <c r="V57" i="1"/>
  <c r="AE57" i="1" s="1"/>
  <c r="Q57" i="1"/>
  <c r="AD57" i="1" s="1"/>
  <c r="V258" i="1"/>
  <c r="AE258" i="1" s="1"/>
  <c r="Q258" i="1"/>
  <c r="AD258" i="1" s="1"/>
  <c r="X258" i="1"/>
  <c r="Y258" i="1"/>
  <c r="X57" i="1"/>
  <c r="Y57" i="1"/>
  <c r="X381" i="1"/>
  <c r="Y381" i="1"/>
  <c r="X266" i="1"/>
  <c r="Y266" i="1"/>
  <c r="X377" i="1"/>
  <c r="Y377" i="1"/>
  <c r="X229" i="1"/>
  <c r="Y229" i="1"/>
  <c r="X407" i="1"/>
  <c r="Y407" i="1"/>
  <c r="X20" i="1"/>
  <c r="Y20" i="1"/>
  <c r="X379" i="1"/>
  <c r="Y379" i="1"/>
  <c r="X298" i="1"/>
  <c r="Y298" i="1"/>
  <c r="X66" i="1"/>
  <c r="Y66" i="1"/>
  <c r="X6" i="1"/>
  <c r="Y6" i="1"/>
  <c r="X448" i="1"/>
  <c r="Y448" i="1"/>
  <c r="X416" i="1"/>
  <c r="Y416" i="1"/>
  <c r="X301" i="1"/>
  <c r="Y301" i="1"/>
  <c r="V10" i="1"/>
  <c r="S10" i="1"/>
  <c r="Q10" i="1"/>
  <c r="N10" i="1"/>
  <c r="K407" i="1"/>
  <c r="K20" i="1"/>
  <c r="K379" i="1"/>
  <c r="K298" i="1"/>
  <c r="K66" i="1"/>
  <c r="K6" i="1"/>
  <c r="K448" i="1"/>
  <c r="K416" i="1"/>
  <c r="K184" i="1"/>
  <c r="K301" i="1"/>
  <c r="K229" i="1"/>
  <c r="K377" i="1"/>
  <c r="K266" i="1"/>
  <c r="K381" i="1"/>
  <c r="K57" i="1"/>
  <c r="K258" i="1"/>
  <c r="K10" i="1"/>
  <c r="G301" i="1"/>
  <c r="G184" i="1"/>
  <c r="G416" i="1"/>
  <c r="G448" i="1"/>
  <c r="G6" i="1"/>
  <c r="G66" i="1"/>
  <c r="G298" i="1"/>
  <c r="G379" i="1"/>
  <c r="G20" i="1"/>
  <c r="G407" i="1"/>
  <c r="G229" i="1"/>
  <c r="G377" i="1"/>
  <c r="G266" i="1"/>
  <c r="G381" i="1"/>
  <c r="G57" i="1"/>
  <c r="G258" i="1"/>
  <c r="G10" i="1"/>
  <c r="AF416" i="1" l="1"/>
  <c r="AF6" i="1"/>
  <c r="AF301" i="1"/>
  <c r="AD10" i="1"/>
  <c r="AF379" i="1"/>
  <c r="AC71" i="1"/>
  <c r="AF57" i="1"/>
  <c r="AB184" i="1"/>
  <c r="AF229" i="1"/>
  <c r="AC276" i="1"/>
  <c r="AA299" i="1"/>
  <c r="AA14" i="1"/>
  <c r="AC14" i="1" s="1"/>
  <c r="AE10" i="1"/>
  <c r="X10" i="1"/>
  <c r="AA10" i="1"/>
  <c r="Y10" i="1"/>
  <c r="AB10" i="1"/>
  <c r="AA184" i="1"/>
  <c r="AF407" i="1"/>
  <c r="AF448" i="1"/>
  <c r="AF66" i="1"/>
  <c r="AF381" i="1"/>
  <c r="AF298" i="1"/>
  <c r="AF266" i="1"/>
  <c r="AF20" i="1"/>
  <c r="AF258" i="1"/>
  <c r="AF377" i="1"/>
  <c r="Y184" i="1"/>
  <c r="V184" i="1"/>
  <c r="AE184" i="1" s="1"/>
  <c r="Q184" i="1"/>
  <c r="AD184" i="1" s="1"/>
  <c r="X184" i="1"/>
  <c r="Z6" i="1"/>
  <c r="Z258" i="1"/>
  <c r="Z20" i="1"/>
  <c r="Z266" i="1"/>
  <c r="Z416" i="1"/>
  <c r="Z57" i="1"/>
  <c r="Z377" i="1"/>
  <c r="Z298" i="1"/>
  <c r="Z381" i="1"/>
  <c r="Z229" i="1"/>
  <c r="Z66" i="1"/>
  <c r="Z379" i="1"/>
  <c r="Z407" i="1"/>
  <c r="Z301" i="1"/>
  <c r="Z448" i="1"/>
  <c r="Y352" i="1"/>
  <c r="Y8" i="1"/>
  <c r="Y80" i="1"/>
  <c r="Y195" i="1"/>
  <c r="Y38" i="1"/>
  <c r="Y461" i="1"/>
  <c r="Y85" i="1"/>
  <c r="Y171" i="1"/>
  <c r="Y206" i="1"/>
  <c r="Y291" i="1"/>
  <c r="Y211" i="1"/>
  <c r="Y369" i="1"/>
  <c r="Y26" i="1"/>
  <c r="Y43" i="1"/>
  <c r="Y79" i="1"/>
  <c r="Y173" i="1"/>
  <c r="Y72" i="1"/>
  <c r="Y78" i="1"/>
  <c r="Y119" i="1"/>
  <c r="Y110" i="1"/>
  <c r="Y98" i="1"/>
  <c r="Y264" i="1"/>
  <c r="Y92" i="1"/>
  <c r="Y365" i="1"/>
  <c r="Y359" i="1"/>
  <c r="Y148" i="1"/>
  <c r="Y321" i="1"/>
  <c r="Y180" i="1"/>
  <c r="Y247" i="1"/>
  <c r="Y413" i="1"/>
  <c r="Y34" i="1"/>
  <c r="Y55" i="1"/>
  <c r="Y199" i="1"/>
  <c r="Y285" i="1"/>
  <c r="Y393" i="1"/>
  <c r="Y40" i="1"/>
  <c r="Y203" i="1"/>
  <c r="Y36" i="1"/>
  <c r="Y145" i="1"/>
  <c r="Y283" i="1"/>
  <c r="Y342" i="1"/>
  <c r="Y242" i="1"/>
  <c r="Y108" i="1"/>
  <c r="Y275" i="1"/>
  <c r="Y162" i="1"/>
  <c r="Y341" i="1"/>
  <c r="Y158" i="1"/>
  <c r="Y24" i="1"/>
  <c r="Y246" i="1"/>
  <c r="Y112" i="1"/>
  <c r="Y332" i="1"/>
  <c r="Y167" i="1"/>
  <c r="Y319" i="1"/>
  <c r="Y465" i="1"/>
  <c r="Y338" i="1"/>
  <c r="Y146" i="1"/>
  <c r="Y14" i="1"/>
  <c r="Y101" i="1"/>
  <c r="Y262" i="1"/>
  <c r="Y150" i="1"/>
  <c r="Y133" i="1"/>
  <c r="Y314" i="1"/>
  <c r="Y170" i="1"/>
  <c r="Y355" i="1"/>
  <c r="Y135" i="1"/>
  <c r="Y392" i="1"/>
  <c r="Y405" i="1"/>
  <c r="Y97" i="1"/>
  <c r="Y131" i="1"/>
  <c r="Y456" i="1"/>
  <c r="Y411" i="1"/>
  <c r="Y467" i="1"/>
  <c r="Y400" i="1"/>
  <c r="Y260" i="1"/>
  <c r="Y424" i="1"/>
  <c r="Y59" i="1"/>
  <c r="Y284" i="1"/>
  <c r="Y351" i="1"/>
  <c r="Y315" i="1"/>
  <c r="Y105" i="1"/>
  <c r="Y398" i="1"/>
  <c r="Y427" i="1"/>
  <c r="Y403" i="1"/>
  <c r="Y421" i="1"/>
  <c r="Y360" i="1"/>
  <c r="Y453" i="1"/>
  <c r="Y435" i="1"/>
  <c r="Y287" i="1"/>
  <c r="Y175" i="1"/>
  <c r="Y189" i="1"/>
  <c r="Y233" i="1"/>
  <c r="Y442" i="1"/>
  <c r="Y219" i="1"/>
  <c r="Y383" i="1"/>
  <c r="Y388" i="1"/>
  <c r="Y455" i="1"/>
  <c r="Y103" i="1"/>
  <c r="Y441" i="1"/>
  <c r="Y226" i="1"/>
  <c r="Y440" i="1"/>
  <c r="Y463" i="1"/>
  <c r="Y286" i="1"/>
  <c r="X24" i="1"/>
  <c r="X180" i="1"/>
  <c r="X119" i="1"/>
  <c r="X182" i="1"/>
  <c r="X441" i="1"/>
  <c r="X55" i="1"/>
  <c r="X400" i="1"/>
  <c r="X40" i="1"/>
  <c r="X189" i="1"/>
  <c r="X131" i="1"/>
  <c r="X351" i="1"/>
  <c r="X431" i="1"/>
  <c r="X369" i="1"/>
  <c r="X165" i="1"/>
  <c r="X453" i="1"/>
  <c r="X359" i="1"/>
  <c r="X315" i="1"/>
  <c r="X393" i="1"/>
  <c r="X260" i="1"/>
  <c r="X291" i="1"/>
  <c r="Z291" i="1" s="1"/>
  <c r="X262" i="1"/>
  <c r="Z262" i="1" s="1"/>
  <c r="X92" i="1"/>
  <c r="X98" i="1"/>
  <c r="Z98" i="1" s="1"/>
  <c r="X219" i="1"/>
  <c r="X80" i="1"/>
  <c r="X286" i="1"/>
  <c r="X283" i="1"/>
  <c r="X246" i="1"/>
  <c r="X72" i="1"/>
  <c r="X467" i="1"/>
  <c r="X110" i="1"/>
  <c r="X427" i="1"/>
  <c r="X287" i="1"/>
  <c r="X396" i="1"/>
  <c r="X211" i="1"/>
  <c r="X411" i="1"/>
  <c r="X321" i="1"/>
  <c r="Z321" i="1" s="1"/>
  <c r="X103" i="1"/>
  <c r="X36" i="1"/>
  <c r="X352" i="1"/>
  <c r="X463" i="1"/>
  <c r="X264" i="1"/>
  <c r="X59" i="1"/>
  <c r="X342" i="1"/>
  <c r="X64" i="1"/>
  <c r="X43" i="1"/>
  <c r="X355" i="1"/>
  <c r="X424" i="1"/>
  <c r="X319" i="1"/>
  <c r="X314" i="1"/>
  <c r="X461" i="1"/>
  <c r="X398" i="1"/>
  <c r="X145" i="1"/>
  <c r="X403" i="1"/>
  <c r="X170" i="1"/>
  <c r="X383" i="1"/>
  <c r="X275" i="1"/>
  <c r="X171" i="1"/>
  <c r="Z171" i="1" s="1"/>
  <c r="X206" i="1"/>
  <c r="Z206" i="1" s="1"/>
  <c r="X203" i="1"/>
  <c r="X79" i="1"/>
  <c r="X34" i="1"/>
  <c r="X421" i="1"/>
  <c r="X150" i="1"/>
  <c r="X8" i="1"/>
  <c r="X465" i="1"/>
  <c r="X199" i="1"/>
  <c r="Z199" i="1" s="1"/>
  <c r="X455" i="1"/>
  <c r="X242" i="1"/>
  <c r="X97" i="1"/>
  <c r="Z97" i="1" s="1"/>
  <c r="X365" i="1"/>
  <c r="X388" i="1"/>
  <c r="X173" i="1"/>
  <c r="X435" i="1"/>
  <c r="X360" i="1"/>
  <c r="X247" i="1"/>
  <c r="X405" i="1"/>
  <c r="Z405" i="1" s="1"/>
  <c r="X78" i="1"/>
  <c r="X101" i="1"/>
  <c r="X285" i="1"/>
  <c r="X162" i="1"/>
  <c r="X112" i="1"/>
  <c r="X392" i="1"/>
  <c r="X338" i="1"/>
  <c r="X456" i="1"/>
  <c r="X413" i="1"/>
  <c r="X195" i="1"/>
  <c r="X167" i="1"/>
  <c r="X146" i="1"/>
  <c r="X284" i="1"/>
  <c r="X175" i="1"/>
  <c r="Z175" i="1" s="1"/>
  <c r="X26" i="1"/>
  <c r="X85" i="1"/>
  <c r="X440" i="1"/>
  <c r="Z440" i="1" s="1"/>
  <c r="X158" i="1"/>
  <c r="X296" i="1"/>
  <c r="X121" i="1"/>
  <c r="Z383" i="1" l="1"/>
  <c r="AC184" i="1"/>
  <c r="AF10" i="1"/>
  <c r="Z315" i="1"/>
  <c r="Z10" i="1"/>
  <c r="Z242" i="1"/>
  <c r="AC10" i="1"/>
  <c r="AF184" i="1"/>
  <c r="Z184" i="1"/>
  <c r="Z365" i="1"/>
  <c r="Z34" i="1"/>
  <c r="Z92" i="1"/>
  <c r="Z112" i="1"/>
  <c r="Z285" i="1"/>
  <c r="Z424" i="1"/>
  <c r="Z427" i="1"/>
  <c r="Z101" i="1"/>
  <c r="Z26" i="1"/>
  <c r="Z247" i="1"/>
  <c r="Z203" i="1"/>
  <c r="Z284" i="1"/>
  <c r="Z131" i="1"/>
  <c r="Z219" i="1"/>
  <c r="Z435" i="1"/>
  <c r="Z150" i="1"/>
  <c r="Z40" i="1"/>
  <c r="Z167" i="1"/>
  <c r="Z388" i="1"/>
  <c r="Z158" i="1"/>
  <c r="Z170" i="1"/>
  <c r="Z85" i="1"/>
  <c r="Z79" i="1"/>
  <c r="Z145" i="1"/>
  <c r="Z338" i="1"/>
  <c r="Z411" i="1"/>
  <c r="Z392" i="1"/>
  <c r="Z360" i="1"/>
  <c r="Z211" i="1"/>
  <c r="Z260" i="1"/>
  <c r="Z119" i="1"/>
  <c r="Z393" i="1"/>
  <c r="Z162" i="1"/>
  <c r="Z8" i="1"/>
  <c r="Z319" i="1"/>
  <c r="Z463" i="1"/>
  <c r="Z80" i="1"/>
  <c r="Z413" i="1"/>
  <c r="Z78" i="1"/>
  <c r="Z403" i="1"/>
  <c r="Z43" i="1"/>
  <c r="Z456" i="1"/>
  <c r="Z369" i="1"/>
  <c r="Z441" i="1"/>
  <c r="Z461" i="1"/>
  <c r="Z59" i="1"/>
  <c r="Z351" i="1"/>
  <c r="Z465" i="1"/>
  <c r="Z314" i="1"/>
  <c r="Z264" i="1"/>
  <c r="Z286" i="1"/>
  <c r="Z180" i="1"/>
  <c r="Z275" i="1"/>
  <c r="Z189" i="1"/>
  <c r="Z195" i="1"/>
  <c r="Z421" i="1"/>
  <c r="Z36" i="1"/>
  <c r="Z110" i="1"/>
  <c r="Z453" i="1"/>
  <c r="Z398" i="1"/>
  <c r="Z342" i="1"/>
  <c r="Z246" i="1"/>
  <c r="Z352" i="1"/>
  <c r="Z359" i="1"/>
  <c r="Z72" i="1"/>
  <c r="Z283" i="1"/>
  <c r="Z173" i="1"/>
  <c r="Z287" i="1"/>
  <c r="Z24" i="1"/>
  <c r="Z355" i="1"/>
  <c r="Z400" i="1"/>
  <c r="Z103" i="1"/>
  <c r="Z467" i="1"/>
  <c r="Z55" i="1"/>
  <c r="Z146" i="1"/>
  <c r="Z455" i="1"/>
  <c r="V296" i="1"/>
  <c r="AE296" i="1" s="1"/>
  <c r="Y296" i="1"/>
  <c r="Z296" i="1" s="1"/>
  <c r="Q296" i="1"/>
  <c r="AD296" i="1" s="1"/>
  <c r="V158" i="1"/>
  <c r="AE158" i="1" s="1"/>
  <c r="Q158" i="1"/>
  <c r="AD158" i="1" s="1"/>
  <c r="V440" i="1"/>
  <c r="AE440" i="1" s="1"/>
  <c r="Q440" i="1"/>
  <c r="AD440" i="1" s="1"/>
  <c r="V85" i="1"/>
  <c r="AE85" i="1" s="1"/>
  <c r="Q85" i="1"/>
  <c r="AD85" i="1" s="1"/>
  <c r="V26" i="1"/>
  <c r="AE26" i="1" s="1"/>
  <c r="Q26" i="1"/>
  <c r="AD26" i="1" s="1"/>
  <c r="V175" i="1"/>
  <c r="AE175" i="1" s="1"/>
  <c r="Q175" i="1"/>
  <c r="AD175" i="1" s="1"/>
  <c r="V284" i="1"/>
  <c r="AE284" i="1" s="1"/>
  <c r="Q284" i="1"/>
  <c r="AD284" i="1" s="1"/>
  <c r="V146" i="1"/>
  <c r="AE146" i="1" s="1"/>
  <c r="Q146" i="1"/>
  <c r="AD146" i="1" s="1"/>
  <c r="V167" i="1"/>
  <c r="AE167" i="1" s="1"/>
  <c r="Q167" i="1"/>
  <c r="AD167" i="1" s="1"/>
  <c r="V195" i="1"/>
  <c r="AE195" i="1" s="1"/>
  <c r="Q195" i="1"/>
  <c r="AD195" i="1" s="1"/>
  <c r="V413" i="1"/>
  <c r="AE413" i="1" s="1"/>
  <c r="Q413" i="1"/>
  <c r="AD413" i="1" s="1"/>
  <c r="V456" i="1"/>
  <c r="AE456" i="1" s="1"/>
  <c r="Q456" i="1"/>
  <c r="AD456" i="1" s="1"/>
  <c r="V338" i="1"/>
  <c r="AE338" i="1" s="1"/>
  <c r="Q338" i="1"/>
  <c r="AD338" i="1" s="1"/>
  <c r="V392" i="1"/>
  <c r="AE392" i="1" s="1"/>
  <c r="Q392" i="1"/>
  <c r="AD392" i="1" s="1"/>
  <c r="V112" i="1"/>
  <c r="AE112" i="1" s="1"/>
  <c r="Q112" i="1"/>
  <c r="AD112" i="1" s="1"/>
  <c r="V162" i="1"/>
  <c r="AE162" i="1" s="1"/>
  <c r="Q162" i="1"/>
  <c r="AD162" i="1" s="1"/>
  <c r="V285" i="1"/>
  <c r="AE285" i="1" s="1"/>
  <c r="Q285" i="1"/>
  <c r="AD285" i="1" s="1"/>
  <c r="K175" i="1"/>
  <c r="K26" i="1"/>
  <c r="K85" i="1"/>
  <c r="K440" i="1"/>
  <c r="K158" i="1"/>
  <c r="K296" i="1"/>
  <c r="K284" i="1"/>
  <c r="K146" i="1"/>
  <c r="K167" i="1"/>
  <c r="K195" i="1"/>
  <c r="K413" i="1"/>
  <c r="K456" i="1"/>
  <c r="K338" i="1"/>
  <c r="K392" i="1"/>
  <c r="K112" i="1"/>
  <c r="K162" i="1"/>
  <c r="K285" i="1"/>
  <c r="G296" i="1"/>
  <c r="G158" i="1"/>
  <c r="G440" i="1"/>
  <c r="G85" i="1"/>
  <c r="G26" i="1"/>
  <c r="G175" i="1"/>
  <c r="G284" i="1"/>
  <c r="G146" i="1"/>
  <c r="G167" i="1"/>
  <c r="G195" i="1"/>
  <c r="G413" i="1"/>
  <c r="G456" i="1"/>
  <c r="G338" i="1"/>
  <c r="G392" i="1"/>
  <c r="G112" i="1"/>
  <c r="G162" i="1"/>
  <c r="G285" i="1"/>
  <c r="V101" i="1"/>
  <c r="AE101" i="1" s="1"/>
  <c r="Q101" i="1"/>
  <c r="AD101" i="1" s="1"/>
  <c r="V78" i="1"/>
  <c r="AE78" i="1" s="1"/>
  <c r="Q78" i="1"/>
  <c r="AD78" i="1" s="1"/>
  <c r="V405" i="1"/>
  <c r="AE405" i="1" s="1"/>
  <c r="Q405" i="1"/>
  <c r="AD405" i="1" s="1"/>
  <c r="V247" i="1"/>
  <c r="AE247" i="1" s="1"/>
  <c r="Q247" i="1"/>
  <c r="AD247" i="1" s="1"/>
  <c r="V360" i="1"/>
  <c r="AE360" i="1" s="1"/>
  <c r="Q360" i="1"/>
  <c r="AD360" i="1" s="1"/>
  <c r="V435" i="1"/>
  <c r="AE435" i="1" s="1"/>
  <c r="Q435" i="1"/>
  <c r="AD435" i="1" s="1"/>
  <c r="V173" i="1"/>
  <c r="AE173" i="1" s="1"/>
  <c r="Q173" i="1"/>
  <c r="AD173" i="1" s="1"/>
  <c r="V388" i="1"/>
  <c r="AE388" i="1" s="1"/>
  <c r="Q388" i="1"/>
  <c r="AD388" i="1" s="1"/>
  <c r="V365" i="1"/>
  <c r="AE365" i="1" s="1"/>
  <c r="Q365" i="1"/>
  <c r="AD365" i="1" s="1"/>
  <c r="V97" i="1"/>
  <c r="AE97" i="1" s="1"/>
  <c r="Q97" i="1"/>
  <c r="AD97" i="1" s="1"/>
  <c r="V242" i="1"/>
  <c r="AE242" i="1" s="1"/>
  <c r="Q242" i="1"/>
  <c r="AD242" i="1" s="1"/>
  <c r="V455" i="1"/>
  <c r="AE455" i="1" s="1"/>
  <c r="Q455" i="1"/>
  <c r="AD455" i="1" s="1"/>
  <c r="V199" i="1"/>
  <c r="AE199" i="1" s="1"/>
  <c r="Q199" i="1"/>
  <c r="AD199" i="1" s="1"/>
  <c r="K101" i="1"/>
  <c r="K78" i="1"/>
  <c r="K405" i="1"/>
  <c r="K247" i="1"/>
  <c r="K360" i="1"/>
  <c r="K435" i="1"/>
  <c r="K173" i="1"/>
  <c r="K388" i="1"/>
  <c r="K365" i="1"/>
  <c r="K97" i="1"/>
  <c r="K242" i="1"/>
  <c r="K455" i="1"/>
  <c r="K199" i="1"/>
  <c r="G101" i="1"/>
  <c r="G78" i="1"/>
  <c r="G405" i="1"/>
  <c r="G247" i="1"/>
  <c r="G360" i="1"/>
  <c r="G435" i="1"/>
  <c r="G173" i="1"/>
  <c r="G388" i="1"/>
  <c r="G365" i="1"/>
  <c r="G97" i="1"/>
  <c r="G242" i="1"/>
  <c r="G455" i="1"/>
  <c r="G199" i="1"/>
  <c r="W82" i="1"/>
  <c r="S82" i="1"/>
  <c r="V82" i="1"/>
  <c r="V275" i="1"/>
  <c r="AE275" i="1" s="1"/>
  <c r="V171" i="1"/>
  <c r="AE171" i="1" s="1"/>
  <c r="V206" i="1"/>
  <c r="AE206" i="1" s="1"/>
  <c r="V203" i="1"/>
  <c r="AE203" i="1" s="1"/>
  <c r="V79" i="1"/>
  <c r="AE79" i="1" s="1"/>
  <c r="V34" i="1"/>
  <c r="AE34" i="1" s="1"/>
  <c r="V421" i="1"/>
  <c r="AE421" i="1" s="1"/>
  <c r="V150" i="1"/>
  <c r="AE150" i="1" s="1"/>
  <c r="V8" i="1"/>
  <c r="AE8" i="1" s="1"/>
  <c r="V465" i="1"/>
  <c r="AE465" i="1" s="1"/>
  <c r="Q275" i="1"/>
  <c r="AD275" i="1" s="1"/>
  <c r="Q171" i="1"/>
  <c r="AD171" i="1" s="1"/>
  <c r="Q206" i="1"/>
  <c r="AD206" i="1" s="1"/>
  <c r="Q203" i="1"/>
  <c r="AD203" i="1" s="1"/>
  <c r="Q79" i="1"/>
  <c r="AD79" i="1" s="1"/>
  <c r="Q34" i="1"/>
  <c r="AD34" i="1" s="1"/>
  <c r="Q421" i="1"/>
  <c r="AD421" i="1" s="1"/>
  <c r="Q150" i="1"/>
  <c r="AD150" i="1" s="1"/>
  <c r="Q8" i="1"/>
  <c r="AD8" i="1" s="1"/>
  <c r="Q465" i="1"/>
  <c r="AD465" i="1" s="1"/>
  <c r="R82" i="1"/>
  <c r="O82" i="1"/>
  <c r="N82" i="1"/>
  <c r="AA82" i="1" s="1"/>
  <c r="V383" i="1"/>
  <c r="AE383" i="1" s="1"/>
  <c r="Q383" i="1"/>
  <c r="AD383" i="1" s="1"/>
  <c r="V170" i="1"/>
  <c r="AE170" i="1" s="1"/>
  <c r="Q170" i="1"/>
  <c r="AD170" i="1" s="1"/>
  <c r="V403" i="1"/>
  <c r="AE403" i="1" s="1"/>
  <c r="Q403" i="1"/>
  <c r="AD403" i="1" s="1"/>
  <c r="K82" i="1"/>
  <c r="K275" i="1"/>
  <c r="K171" i="1"/>
  <c r="K206" i="1"/>
  <c r="K203" i="1"/>
  <c r="K79" i="1"/>
  <c r="K34" i="1"/>
  <c r="K421" i="1"/>
  <c r="K150" i="1"/>
  <c r="K8" i="1"/>
  <c r="K465" i="1"/>
  <c r="K383" i="1"/>
  <c r="K170" i="1"/>
  <c r="K403" i="1"/>
  <c r="G465" i="1"/>
  <c r="G8" i="1"/>
  <c r="G150" i="1"/>
  <c r="G421" i="1"/>
  <c r="G34" i="1"/>
  <c r="G79" i="1"/>
  <c r="G203" i="1"/>
  <c r="G206" i="1"/>
  <c r="G171" i="1"/>
  <c r="G275" i="1"/>
  <c r="G82" i="1"/>
  <c r="G383" i="1"/>
  <c r="G170" i="1"/>
  <c r="G403" i="1"/>
  <c r="Q355" i="1"/>
  <c r="AD355" i="1" s="1"/>
  <c r="W299" i="1"/>
  <c r="U299" i="1"/>
  <c r="T299" i="1"/>
  <c r="S299" i="1"/>
  <c r="Y64" i="1"/>
  <c r="Z64" i="1" s="1"/>
  <c r="O108" i="1"/>
  <c r="Q108" i="1" s="1"/>
  <c r="N108" i="1"/>
  <c r="AA108" i="1" s="1"/>
  <c r="AC108" i="1" s="1"/>
  <c r="V352" i="1"/>
  <c r="AE352" i="1" s="1"/>
  <c r="V463" i="1"/>
  <c r="AE463" i="1" s="1"/>
  <c r="V264" i="1"/>
  <c r="AE264" i="1" s="1"/>
  <c r="V59" i="1"/>
  <c r="AE59" i="1" s="1"/>
  <c r="V108" i="1"/>
  <c r="AE108" i="1" s="1"/>
  <c r="V342" i="1"/>
  <c r="AE342" i="1" s="1"/>
  <c r="V43" i="1"/>
  <c r="AE43" i="1" s="1"/>
  <c r="V355" i="1"/>
  <c r="AE355" i="1" s="1"/>
  <c r="V424" i="1"/>
  <c r="AE424" i="1" s="1"/>
  <c r="V319" i="1"/>
  <c r="AE319" i="1" s="1"/>
  <c r="V314" i="1"/>
  <c r="AE314" i="1" s="1"/>
  <c r="V461" i="1"/>
  <c r="AE461" i="1" s="1"/>
  <c r="V398" i="1"/>
  <c r="AE398" i="1" s="1"/>
  <c r="V145" i="1"/>
  <c r="AE145" i="1" s="1"/>
  <c r="Q352" i="1"/>
  <c r="AD352" i="1" s="1"/>
  <c r="Q463" i="1"/>
  <c r="AD463" i="1" s="1"/>
  <c r="Q264" i="1"/>
  <c r="AD264" i="1" s="1"/>
  <c r="Q59" i="1"/>
  <c r="AD59" i="1" s="1"/>
  <c r="Q342" i="1"/>
  <c r="AD342" i="1" s="1"/>
  <c r="Q64" i="1"/>
  <c r="AD64" i="1" s="1"/>
  <c r="Q43" i="1"/>
  <c r="AD43" i="1" s="1"/>
  <c r="Q424" i="1"/>
  <c r="AD424" i="1" s="1"/>
  <c r="Q319" i="1"/>
  <c r="AD319" i="1" s="1"/>
  <c r="Q314" i="1"/>
  <c r="AD314" i="1" s="1"/>
  <c r="Q461" i="1"/>
  <c r="AD461" i="1" s="1"/>
  <c r="Q398" i="1"/>
  <c r="AD398" i="1" s="1"/>
  <c r="Q145" i="1"/>
  <c r="AD145" i="1" s="1"/>
  <c r="V36" i="1"/>
  <c r="AE36" i="1" s="1"/>
  <c r="Q36" i="1"/>
  <c r="AD36" i="1" s="1"/>
  <c r="K36" i="1"/>
  <c r="K352" i="1"/>
  <c r="K463" i="1"/>
  <c r="K264" i="1"/>
  <c r="K59" i="1"/>
  <c r="K108" i="1"/>
  <c r="K342" i="1"/>
  <c r="K64" i="1"/>
  <c r="K43" i="1"/>
  <c r="K299" i="1"/>
  <c r="K355" i="1"/>
  <c r="K424" i="1"/>
  <c r="K319" i="1"/>
  <c r="K314" i="1"/>
  <c r="K461" i="1"/>
  <c r="K398" i="1"/>
  <c r="K145" i="1"/>
  <c r="G145" i="1"/>
  <c r="G398" i="1"/>
  <c r="G461" i="1"/>
  <c r="G314" i="1"/>
  <c r="G319" i="1"/>
  <c r="G424" i="1"/>
  <c r="G355" i="1"/>
  <c r="G299" i="1"/>
  <c r="G43" i="1"/>
  <c r="G64" i="1"/>
  <c r="G342" i="1"/>
  <c r="G108" i="1"/>
  <c r="G59" i="1"/>
  <c r="G264" i="1"/>
  <c r="G463" i="1"/>
  <c r="G352" i="1"/>
  <c r="G36" i="1"/>
  <c r="R133" i="1"/>
  <c r="P133" i="1"/>
  <c r="O133" i="1"/>
  <c r="N133" i="1"/>
  <c r="Q72" i="1"/>
  <c r="AD72" i="1" s="1"/>
  <c r="Q467" i="1"/>
  <c r="AD467" i="1" s="1"/>
  <c r="Q110" i="1"/>
  <c r="AD110" i="1" s="1"/>
  <c r="Q427" i="1"/>
  <c r="AD427" i="1" s="1"/>
  <c r="Q287" i="1"/>
  <c r="AD287" i="1" s="1"/>
  <c r="Q396" i="1"/>
  <c r="AD396" i="1" s="1"/>
  <c r="Q211" i="1"/>
  <c r="AD211" i="1" s="1"/>
  <c r="Q411" i="1"/>
  <c r="AD411" i="1" s="1"/>
  <c r="Q321" i="1"/>
  <c r="AD321" i="1" s="1"/>
  <c r="Q103" i="1"/>
  <c r="AD103" i="1" s="1"/>
  <c r="V283" i="1"/>
  <c r="AE283" i="1" s="1"/>
  <c r="V246" i="1"/>
  <c r="AE246" i="1" s="1"/>
  <c r="V72" i="1"/>
  <c r="AE72" i="1" s="1"/>
  <c r="V467" i="1"/>
  <c r="AE467" i="1" s="1"/>
  <c r="V110" i="1"/>
  <c r="AE110" i="1" s="1"/>
  <c r="V427" i="1"/>
  <c r="AE427" i="1" s="1"/>
  <c r="V287" i="1"/>
  <c r="AE287" i="1" s="1"/>
  <c r="V211" i="1"/>
  <c r="AE211" i="1" s="1"/>
  <c r="V133" i="1"/>
  <c r="AE133" i="1" s="1"/>
  <c r="V411" i="1"/>
  <c r="AE411" i="1" s="1"/>
  <c r="V321" i="1"/>
  <c r="AE321" i="1" s="1"/>
  <c r="V103" i="1"/>
  <c r="AE103" i="1" s="1"/>
  <c r="Q246" i="1"/>
  <c r="AD246" i="1" s="1"/>
  <c r="Q283" i="1"/>
  <c r="AD283" i="1" s="1"/>
  <c r="K110" i="1"/>
  <c r="K276" i="1"/>
  <c r="K427" i="1"/>
  <c r="K287" i="1"/>
  <c r="K396" i="1"/>
  <c r="K211" i="1"/>
  <c r="K133" i="1"/>
  <c r="K411" i="1"/>
  <c r="K321" i="1"/>
  <c r="K103" i="1"/>
  <c r="K467" i="1"/>
  <c r="K72" i="1"/>
  <c r="K246" i="1"/>
  <c r="K283" i="1"/>
  <c r="G103" i="1"/>
  <c r="G321" i="1"/>
  <c r="G411" i="1"/>
  <c r="G133" i="1"/>
  <c r="G211" i="1"/>
  <c r="G396" i="1"/>
  <c r="G287" i="1"/>
  <c r="G427" i="1"/>
  <c r="G276" i="1"/>
  <c r="G110" i="1"/>
  <c r="G467" i="1"/>
  <c r="G72" i="1"/>
  <c r="G246" i="1"/>
  <c r="G283" i="1"/>
  <c r="R332" i="1"/>
  <c r="N332" i="1"/>
  <c r="V393" i="1"/>
  <c r="AE393" i="1" s="1"/>
  <c r="R135" i="1"/>
  <c r="P135" i="1"/>
  <c r="O135" i="1"/>
  <c r="N135" i="1"/>
  <c r="S15" i="1"/>
  <c r="N15" i="1"/>
  <c r="V105" i="1"/>
  <c r="AE105" i="1" s="1"/>
  <c r="V15" i="1"/>
  <c r="V453" i="1"/>
  <c r="AE453" i="1" s="1"/>
  <c r="V359" i="1"/>
  <c r="AE359" i="1" s="1"/>
  <c r="V135" i="1"/>
  <c r="AE135" i="1" s="1"/>
  <c r="V315" i="1"/>
  <c r="AE315" i="1" s="1"/>
  <c r="V260" i="1"/>
  <c r="AE260" i="1" s="1"/>
  <c r="V291" i="1"/>
  <c r="AE291" i="1" s="1"/>
  <c r="V262" i="1"/>
  <c r="AE262" i="1" s="1"/>
  <c r="V92" i="1"/>
  <c r="AE92" i="1" s="1"/>
  <c r="V98" i="1"/>
  <c r="AE98" i="1" s="1"/>
  <c r="V219" i="1"/>
  <c r="AE219" i="1" s="1"/>
  <c r="V80" i="1"/>
  <c r="AE80" i="1" s="1"/>
  <c r="V332" i="1"/>
  <c r="AE332" i="1" s="1"/>
  <c r="V286" i="1"/>
  <c r="AE286" i="1" s="1"/>
  <c r="Q15" i="1"/>
  <c r="AD15" i="1" s="1"/>
  <c r="Q453" i="1"/>
  <c r="AD453" i="1" s="1"/>
  <c r="Q359" i="1"/>
  <c r="AD359" i="1" s="1"/>
  <c r="Q315" i="1"/>
  <c r="AD315" i="1" s="1"/>
  <c r="Q393" i="1"/>
  <c r="AD393" i="1" s="1"/>
  <c r="Q260" i="1"/>
  <c r="AD260" i="1" s="1"/>
  <c r="Q291" i="1"/>
  <c r="AD291" i="1" s="1"/>
  <c r="Q262" i="1"/>
  <c r="AD262" i="1" s="1"/>
  <c r="Q92" i="1"/>
  <c r="AD92" i="1" s="1"/>
  <c r="Q98" i="1"/>
  <c r="AD98" i="1" s="1"/>
  <c r="Q219" i="1"/>
  <c r="AD219" i="1" s="1"/>
  <c r="Q80" i="1"/>
  <c r="AD80" i="1" s="1"/>
  <c r="Q332" i="1"/>
  <c r="Q286" i="1"/>
  <c r="AD286" i="1" s="1"/>
  <c r="O105" i="1"/>
  <c r="N105" i="1"/>
  <c r="AA105" i="1" s="1"/>
  <c r="AC105" i="1" s="1"/>
  <c r="K135" i="1"/>
  <c r="K315" i="1"/>
  <c r="K393" i="1"/>
  <c r="K260" i="1"/>
  <c r="K291" i="1"/>
  <c r="K262" i="1"/>
  <c r="K92" i="1"/>
  <c r="K98" i="1"/>
  <c r="K219" i="1"/>
  <c r="K80" i="1"/>
  <c r="K332" i="1"/>
  <c r="K286" i="1"/>
  <c r="K359" i="1"/>
  <c r="K453" i="1"/>
  <c r="K15" i="1"/>
  <c r="K105" i="1"/>
  <c r="G286" i="1"/>
  <c r="G332" i="1"/>
  <c r="G80" i="1"/>
  <c r="G219" i="1"/>
  <c r="G98" i="1"/>
  <c r="G92" i="1"/>
  <c r="G262" i="1"/>
  <c r="G291" i="1"/>
  <c r="G260" i="1"/>
  <c r="G393" i="1"/>
  <c r="G315" i="1"/>
  <c r="G135" i="1"/>
  <c r="G359" i="1"/>
  <c r="G453" i="1"/>
  <c r="G15" i="1"/>
  <c r="G105" i="1"/>
  <c r="S182" i="1"/>
  <c r="S368" i="1"/>
  <c r="N368" i="1"/>
  <c r="W464" i="1"/>
  <c r="S464" i="1"/>
  <c r="N464" i="1"/>
  <c r="O233" i="1"/>
  <c r="N233" i="1"/>
  <c r="AA233" i="1" s="1"/>
  <c r="AC233" i="1" s="1"/>
  <c r="W363" i="1"/>
  <c r="U363" i="1"/>
  <c r="T363" i="1"/>
  <c r="S363" i="1"/>
  <c r="R363" i="1"/>
  <c r="P363" i="1"/>
  <c r="O363" i="1"/>
  <c r="N363" i="1"/>
  <c r="N442" i="1"/>
  <c r="R341" i="1"/>
  <c r="P341" i="1"/>
  <c r="O341" i="1"/>
  <c r="N341" i="1"/>
  <c r="W376" i="1"/>
  <c r="T376" i="1"/>
  <c r="S376" i="1"/>
  <c r="AB376" i="1" s="1"/>
  <c r="N376" i="1"/>
  <c r="S12" i="1"/>
  <c r="R12" i="1"/>
  <c r="P12" i="1"/>
  <c r="O12" i="1"/>
  <c r="N12" i="1"/>
  <c r="T431" i="1"/>
  <c r="V431" i="1" s="1"/>
  <c r="S431" i="1"/>
  <c r="AB431" i="1" s="1"/>
  <c r="AC431" i="1" s="1"/>
  <c r="O148" i="1"/>
  <c r="N148" i="1"/>
  <c r="AA148" i="1" s="1"/>
  <c r="AC148" i="1" s="1"/>
  <c r="W240" i="1"/>
  <c r="U240" i="1"/>
  <c r="T240" i="1"/>
  <c r="S240" i="1"/>
  <c r="R240" i="1"/>
  <c r="P240" i="1"/>
  <c r="O240" i="1"/>
  <c r="N240" i="1"/>
  <c r="S165" i="1"/>
  <c r="W13" i="1"/>
  <c r="U13" i="1"/>
  <c r="T13" i="1"/>
  <c r="S13" i="1"/>
  <c r="R13" i="1"/>
  <c r="P13" i="1"/>
  <c r="O13" i="1"/>
  <c r="N13" i="1"/>
  <c r="W9" i="1"/>
  <c r="U9" i="1"/>
  <c r="T9" i="1"/>
  <c r="S9" i="1"/>
  <c r="R9" i="1"/>
  <c r="P9" i="1"/>
  <c r="O9" i="1"/>
  <c r="N9" i="1"/>
  <c r="N226" i="1"/>
  <c r="V131" i="1"/>
  <c r="AE131" i="1" s="1"/>
  <c r="V351" i="1"/>
  <c r="AE351" i="1" s="1"/>
  <c r="V369" i="1"/>
  <c r="AE369" i="1" s="1"/>
  <c r="V148" i="1"/>
  <c r="AE148" i="1" s="1"/>
  <c r="V165" i="1"/>
  <c r="V226" i="1"/>
  <c r="AE226" i="1" s="1"/>
  <c r="V38" i="1"/>
  <c r="AE38" i="1" s="1"/>
  <c r="V12" i="1"/>
  <c r="Q131" i="1"/>
  <c r="AD131" i="1" s="1"/>
  <c r="Q351" i="1"/>
  <c r="AD351" i="1" s="1"/>
  <c r="Q431" i="1"/>
  <c r="AD431" i="1" s="1"/>
  <c r="Q369" i="1"/>
  <c r="AD369" i="1" s="1"/>
  <c r="Q165" i="1"/>
  <c r="AD165" i="1" s="1"/>
  <c r="Q226" i="1"/>
  <c r="Q376" i="1"/>
  <c r="G14" i="1"/>
  <c r="V14" i="1"/>
  <c r="AE14" i="1" s="1"/>
  <c r="K226" i="1"/>
  <c r="K71" i="1"/>
  <c r="K38" i="1"/>
  <c r="K12" i="1"/>
  <c r="K376" i="1"/>
  <c r="K9" i="1"/>
  <c r="K13" i="1"/>
  <c r="K165" i="1"/>
  <c r="K240" i="1"/>
  <c r="K148" i="1"/>
  <c r="K369" i="1"/>
  <c r="K431" i="1"/>
  <c r="K351" i="1"/>
  <c r="K131" i="1"/>
  <c r="G376" i="1"/>
  <c r="G12" i="1"/>
  <c r="G38" i="1"/>
  <c r="G71" i="1"/>
  <c r="G226" i="1"/>
  <c r="G9" i="1"/>
  <c r="G13" i="1"/>
  <c r="G165" i="1"/>
  <c r="G240" i="1"/>
  <c r="G148" i="1"/>
  <c r="G369" i="1"/>
  <c r="G431" i="1"/>
  <c r="G351" i="1"/>
  <c r="G131" i="1"/>
  <c r="V180" i="1"/>
  <c r="AE180" i="1" s="1"/>
  <c r="V119" i="1"/>
  <c r="AE119" i="1" s="1"/>
  <c r="V24" i="1"/>
  <c r="AE24" i="1" s="1"/>
  <c r="V341" i="1"/>
  <c r="AE341" i="1" s="1"/>
  <c r="V442" i="1"/>
  <c r="AE442" i="1" s="1"/>
  <c r="V233" i="1"/>
  <c r="AE233" i="1" s="1"/>
  <c r="V464" i="1"/>
  <c r="V368" i="1"/>
  <c r="V182" i="1"/>
  <c r="V441" i="1"/>
  <c r="AE441" i="1" s="1"/>
  <c r="V55" i="1"/>
  <c r="AE55" i="1" s="1"/>
  <c r="V400" i="1"/>
  <c r="AE400" i="1" s="1"/>
  <c r="V40" i="1"/>
  <c r="AE40" i="1" s="1"/>
  <c r="V189" i="1"/>
  <c r="AE189" i="1" s="1"/>
  <c r="Q24" i="1"/>
  <c r="AD24" i="1" s="1"/>
  <c r="Q442" i="1"/>
  <c r="AD442" i="1" s="1"/>
  <c r="Q464" i="1"/>
  <c r="Q180" i="1"/>
  <c r="AD180" i="1" s="1"/>
  <c r="Q119" i="1"/>
  <c r="AD119" i="1" s="1"/>
  <c r="Q368" i="1"/>
  <c r="Q182" i="1"/>
  <c r="AD182" i="1" s="1"/>
  <c r="Q441" i="1"/>
  <c r="AD441" i="1" s="1"/>
  <c r="Q55" i="1"/>
  <c r="AD55" i="1" s="1"/>
  <c r="Q400" i="1"/>
  <c r="AD400" i="1" s="1"/>
  <c r="Q40" i="1"/>
  <c r="AD40" i="1" s="1"/>
  <c r="Q189" i="1"/>
  <c r="AD189" i="1" s="1"/>
  <c r="Q121" i="1"/>
  <c r="AD121" i="1" s="1"/>
  <c r="K24" i="1"/>
  <c r="K341" i="1"/>
  <c r="K442" i="1"/>
  <c r="K363" i="1"/>
  <c r="K233" i="1"/>
  <c r="K464" i="1"/>
  <c r="K180" i="1"/>
  <c r="K119" i="1"/>
  <c r="K368" i="1"/>
  <c r="K182" i="1"/>
  <c r="K441" i="1"/>
  <c r="K55" i="1"/>
  <c r="K400" i="1"/>
  <c r="K40" i="1"/>
  <c r="K189" i="1"/>
  <c r="K121" i="1"/>
  <c r="G24" i="1"/>
  <c r="G341" i="1"/>
  <c r="G442" i="1"/>
  <c r="G363" i="1"/>
  <c r="G233" i="1"/>
  <c r="G464" i="1"/>
  <c r="G180" i="1"/>
  <c r="G119" i="1"/>
  <c r="G368" i="1"/>
  <c r="G182" i="1"/>
  <c r="G441" i="1"/>
  <c r="G55" i="1"/>
  <c r="G400" i="1"/>
  <c r="G40" i="1"/>
  <c r="G189" i="1"/>
  <c r="G121" i="1"/>
  <c r="AF351" i="1" l="1"/>
  <c r="AF131" i="1"/>
  <c r="AD464" i="1"/>
  <c r="AF369" i="1"/>
  <c r="AF189" i="1"/>
  <c r="AF383" i="1"/>
  <c r="AF455" i="1"/>
  <c r="AF392" i="1"/>
  <c r="AF195" i="1"/>
  <c r="AF175" i="1"/>
  <c r="AF158" i="1"/>
  <c r="AF398" i="1"/>
  <c r="AE182" i="1"/>
  <c r="AF182" i="1" s="1"/>
  <c r="AF150" i="1"/>
  <c r="AF286" i="1"/>
  <c r="AF260" i="1"/>
  <c r="AE15" i="1"/>
  <c r="AF15" i="1" s="1"/>
  <c r="AF246" i="1"/>
  <c r="AE368" i="1"/>
  <c r="AF180" i="1"/>
  <c r="AD376" i="1"/>
  <c r="AF8" i="1"/>
  <c r="AF275" i="1"/>
  <c r="AF365" i="1"/>
  <c r="AF360" i="1"/>
  <c r="AF101" i="1"/>
  <c r="AF112" i="1"/>
  <c r="AF413" i="1"/>
  <c r="AF284" i="1"/>
  <c r="AA240" i="1"/>
  <c r="AD368" i="1"/>
  <c r="AD332" i="1"/>
  <c r="AF332" i="1" s="1"/>
  <c r="AE12" i="1"/>
  <c r="AB240" i="1"/>
  <c r="AA12" i="1"/>
  <c r="AF80" i="1"/>
  <c r="AF411" i="1"/>
  <c r="AF145" i="1"/>
  <c r="AB299" i="1"/>
  <c r="AC299" i="1" s="1"/>
  <c r="AF171" i="1"/>
  <c r="AF440" i="1"/>
  <c r="AF262" i="1"/>
  <c r="AF352" i="1"/>
  <c r="AE82" i="1"/>
  <c r="AF424" i="1"/>
  <c r="AB9" i="1"/>
  <c r="AB13" i="1"/>
  <c r="AF393" i="1"/>
  <c r="AA135" i="1"/>
  <c r="AC135" i="1" s="1"/>
  <c r="AF287" i="1"/>
  <c r="AF321" i="1"/>
  <c r="AF72" i="1"/>
  <c r="AF206" i="1"/>
  <c r="AF119" i="1"/>
  <c r="X226" i="1"/>
  <c r="Z226" i="1" s="1"/>
  <c r="AA226" i="1"/>
  <c r="AC226" i="1" s="1"/>
  <c r="AF435" i="1"/>
  <c r="AF456" i="1"/>
  <c r="Y165" i="1"/>
  <c r="Z165" i="1" s="1"/>
  <c r="AB165" i="1"/>
  <c r="AC165" i="1" s="1"/>
  <c r="AA341" i="1"/>
  <c r="AC341" i="1" s="1"/>
  <c r="X368" i="1"/>
  <c r="AA368" i="1"/>
  <c r="AF219" i="1"/>
  <c r="AF359" i="1"/>
  <c r="AF59" i="1"/>
  <c r="AD226" i="1"/>
  <c r="AF226" i="1" s="1"/>
  <c r="Y12" i="1"/>
  <c r="AB12" i="1"/>
  <c r="AB363" i="1"/>
  <c r="Y368" i="1"/>
  <c r="AB368" i="1"/>
  <c r="X332" i="1"/>
  <c r="Z332" i="1" s="1"/>
  <c r="AA332" i="1"/>
  <c r="AC332" i="1" s="1"/>
  <c r="AA133" i="1"/>
  <c r="AC133" i="1" s="1"/>
  <c r="AF400" i="1"/>
  <c r="AE165" i="1"/>
  <c r="AF165" i="1" s="1"/>
  <c r="AA9" i="1"/>
  <c r="AA13" i="1"/>
  <c r="X376" i="1"/>
  <c r="AA376" i="1"/>
  <c r="AC376" i="1" s="1"/>
  <c r="X442" i="1"/>
  <c r="Z442" i="1" s="1"/>
  <c r="AA442" i="1"/>
  <c r="AC442" i="1" s="1"/>
  <c r="Y182" i="1"/>
  <c r="Z182" i="1" s="1"/>
  <c r="AB182" i="1"/>
  <c r="AC182" i="1" s="1"/>
  <c r="X15" i="1"/>
  <c r="AA15" i="1"/>
  <c r="AF463" i="1"/>
  <c r="Y464" i="1"/>
  <c r="AB464" i="1"/>
  <c r="AE464" i="1"/>
  <c r="AF464" i="1" s="1"/>
  <c r="Y15" i="1"/>
  <c r="AB15" i="1"/>
  <c r="AF319" i="1"/>
  <c r="AD108" i="1"/>
  <c r="AF108" i="1" s="1"/>
  <c r="AF441" i="1"/>
  <c r="AE431" i="1"/>
  <c r="AF431" i="1" s="1"/>
  <c r="Y82" i="1"/>
  <c r="AB82" i="1"/>
  <c r="AC82" i="1" s="1"/>
  <c r="AA363" i="1"/>
  <c r="X464" i="1"/>
  <c r="AA464" i="1"/>
  <c r="AF211" i="1"/>
  <c r="AF467" i="1"/>
  <c r="AF36" i="1"/>
  <c r="AF405" i="1"/>
  <c r="AF167" i="1"/>
  <c r="AF461" i="1"/>
  <c r="AF403" i="1"/>
  <c r="AF97" i="1"/>
  <c r="AF78" i="1"/>
  <c r="AF162" i="1"/>
  <c r="AF146" i="1"/>
  <c r="AF85" i="1"/>
  <c r="AF203" i="1"/>
  <c r="AF92" i="1"/>
  <c r="AF40" i="1"/>
  <c r="AF98" i="1"/>
  <c r="AF453" i="1"/>
  <c r="AF103" i="1"/>
  <c r="AF264" i="1"/>
  <c r="AF355" i="1"/>
  <c r="AF170" i="1"/>
  <c r="AF465" i="1"/>
  <c r="AF199" i="1"/>
  <c r="AF442" i="1"/>
  <c r="AF291" i="1"/>
  <c r="AF314" i="1"/>
  <c r="AF55" i="1"/>
  <c r="AF24" i="1"/>
  <c r="AF427" i="1"/>
  <c r="AF43" i="1"/>
  <c r="AF34" i="1"/>
  <c r="AF388" i="1"/>
  <c r="AF247" i="1"/>
  <c r="AF315" i="1"/>
  <c r="AF283" i="1"/>
  <c r="AF110" i="1"/>
  <c r="AF342" i="1"/>
  <c r="AF79" i="1"/>
  <c r="AF421" i="1"/>
  <c r="AF242" i="1"/>
  <c r="AF173" i="1"/>
  <c r="AF285" i="1"/>
  <c r="AF338" i="1"/>
  <c r="AF26" i="1"/>
  <c r="AF296" i="1"/>
  <c r="Y299" i="1"/>
  <c r="X71" i="1"/>
  <c r="Y363" i="1"/>
  <c r="Y276" i="1"/>
  <c r="X299" i="1"/>
  <c r="Y71" i="1"/>
  <c r="Y431" i="1"/>
  <c r="Z431" i="1" s="1"/>
  <c r="X363" i="1"/>
  <c r="X14" i="1"/>
  <c r="Z14" i="1" s="1"/>
  <c r="X276" i="1"/>
  <c r="X240" i="1"/>
  <c r="X12" i="1"/>
  <c r="Y121" i="1"/>
  <c r="Z121" i="1" s="1"/>
  <c r="Q82" i="1"/>
  <c r="AD82" i="1" s="1"/>
  <c r="X82" i="1"/>
  <c r="Y9" i="1"/>
  <c r="Y13" i="1"/>
  <c r="V396" i="1"/>
  <c r="AE396" i="1" s="1"/>
  <c r="AF396" i="1" s="1"/>
  <c r="Y396" i="1"/>
  <c r="Z396" i="1" s="1"/>
  <c r="Y240" i="1"/>
  <c r="X38" i="1"/>
  <c r="Z38" i="1" s="1"/>
  <c r="X133" i="1"/>
  <c r="Z133" i="1" s="1"/>
  <c r="X341" i="1"/>
  <c r="Z341" i="1" s="1"/>
  <c r="Q233" i="1"/>
  <c r="AD233" i="1" s="1"/>
  <c r="AF233" i="1" s="1"/>
  <c r="X233" i="1"/>
  <c r="Z233" i="1" s="1"/>
  <c r="V376" i="1"/>
  <c r="AE376" i="1" s="1"/>
  <c r="Y376" i="1"/>
  <c r="Q105" i="1"/>
  <c r="AD105" i="1" s="1"/>
  <c r="AF105" i="1" s="1"/>
  <c r="X105" i="1"/>
  <c r="Z105" i="1" s="1"/>
  <c r="X9" i="1"/>
  <c r="X13" i="1"/>
  <c r="X135" i="1"/>
  <c r="Z135" i="1" s="1"/>
  <c r="Q148" i="1"/>
  <c r="AD148" i="1" s="1"/>
  <c r="AF148" i="1" s="1"/>
  <c r="X148" i="1"/>
  <c r="Z148" i="1" s="1"/>
  <c r="X108" i="1"/>
  <c r="Z108" i="1" s="1"/>
  <c r="Q299" i="1"/>
  <c r="AD299" i="1" s="1"/>
  <c r="V299" i="1"/>
  <c r="AE299" i="1" s="1"/>
  <c r="V64" i="1"/>
  <c r="AE64" i="1" s="1"/>
  <c r="AF64" i="1" s="1"/>
  <c r="Q133" i="1"/>
  <c r="AD133" i="1" s="1"/>
  <c r="AF133" i="1" s="1"/>
  <c r="V276" i="1"/>
  <c r="AE276" i="1" s="1"/>
  <c r="Q276" i="1"/>
  <c r="AD276" i="1" s="1"/>
  <c r="Q38" i="1"/>
  <c r="AD38" i="1" s="1"/>
  <c r="AF38" i="1" s="1"/>
  <c r="Q9" i="1"/>
  <c r="AD9" i="1" s="1"/>
  <c r="V9" i="1"/>
  <c r="AE9" i="1" s="1"/>
  <c r="Q135" i="1"/>
  <c r="AD135" i="1" s="1"/>
  <c r="AF135" i="1" s="1"/>
  <c r="Q12" i="1"/>
  <c r="AD12" i="1" s="1"/>
  <c r="V121" i="1"/>
  <c r="AE121" i="1" s="1"/>
  <c r="AF121" i="1" s="1"/>
  <c r="Q341" i="1"/>
  <c r="AD341" i="1" s="1"/>
  <c r="AF341" i="1" s="1"/>
  <c r="Q363" i="1"/>
  <c r="AD363" i="1" s="1"/>
  <c r="Q13" i="1"/>
  <c r="AD13" i="1" s="1"/>
  <c r="V363" i="1"/>
  <c r="AE363" i="1" s="1"/>
  <c r="Q240" i="1"/>
  <c r="AD240" i="1" s="1"/>
  <c r="Q14" i="1"/>
  <c r="AD14" i="1" s="1"/>
  <c r="AF14" i="1" s="1"/>
  <c r="V240" i="1"/>
  <c r="AE240" i="1" s="1"/>
  <c r="V13" i="1"/>
  <c r="AE13" i="1" s="1"/>
  <c r="V71" i="1"/>
  <c r="AE71" i="1" s="1"/>
  <c r="Q71" i="1"/>
  <c r="AD71" i="1" s="1"/>
  <c r="AC9" i="1" l="1"/>
  <c r="AF71" i="1"/>
  <c r="Z368" i="1"/>
  <c r="AF376" i="1"/>
  <c r="Z464" i="1"/>
  <c r="AC363" i="1"/>
  <c r="AC12" i="1"/>
  <c r="AC240" i="1"/>
  <c r="Z82" i="1"/>
  <c r="Z15" i="1"/>
  <c r="AF12" i="1"/>
  <c r="AF368" i="1"/>
  <c r="AF82" i="1"/>
  <c r="Z12" i="1"/>
  <c r="AC464" i="1"/>
  <c r="Z376" i="1"/>
  <c r="AF363" i="1"/>
  <c r="AC15" i="1"/>
  <c r="AC13" i="1"/>
  <c r="AF299" i="1"/>
  <c r="AC368" i="1"/>
  <c r="AF276" i="1"/>
  <c r="AF9" i="1"/>
  <c r="AF240" i="1"/>
  <c r="AF13" i="1"/>
  <c r="Z299" i="1"/>
  <c r="Z240" i="1"/>
  <c r="Z363" i="1"/>
  <c r="Z13" i="1"/>
  <c r="Z276" i="1"/>
  <c r="Z71" i="1"/>
  <c r="Z9" i="1"/>
</calcChain>
</file>

<file path=xl/sharedStrings.xml><?xml version="1.0" encoding="utf-8"?>
<sst xmlns="http://schemas.openxmlformats.org/spreadsheetml/2006/main" count="10305" uniqueCount="1182">
  <si>
    <t>Player Name</t>
  </si>
  <si>
    <t>Team</t>
  </si>
  <si>
    <t>G_1</t>
  </si>
  <si>
    <t>A_1</t>
  </si>
  <si>
    <t>P_1</t>
  </si>
  <si>
    <t>GP_1</t>
  </si>
  <si>
    <t>PIM_1</t>
  </si>
  <si>
    <t>GP_2</t>
  </si>
  <si>
    <t>G_2</t>
  </si>
  <si>
    <t>A_2</t>
  </si>
  <si>
    <t>P_2</t>
  </si>
  <si>
    <t>PIM_2</t>
  </si>
  <si>
    <t>Height</t>
  </si>
  <si>
    <t>Weight</t>
  </si>
  <si>
    <t>DraftAge</t>
  </si>
  <si>
    <t>Position</t>
  </si>
  <si>
    <t>Handedness</t>
  </si>
  <si>
    <t>BOS</t>
  </si>
  <si>
    <t>David Backes</t>
  </si>
  <si>
    <t>Patrice Bergeron</t>
  </si>
  <si>
    <t>Anders Bjork</t>
  </si>
  <si>
    <t>Brandon Carlo</t>
  </si>
  <si>
    <t>Peter Cehlarik</t>
  </si>
  <si>
    <t>Zdeno Chara</t>
  </si>
  <si>
    <t>Connor Clifton</t>
  </si>
  <si>
    <t>Jake DeBrusk</t>
  </si>
  <si>
    <t>Matt Grzelcyk</t>
  </si>
  <si>
    <t>Danton Heinen</t>
  </si>
  <si>
    <t>Steven Kampfer</t>
  </si>
  <si>
    <t>David Krejci</t>
  </si>
  <si>
    <t>Sean Kuraly</t>
  </si>
  <si>
    <t>Brad Marchand</t>
  </si>
  <si>
    <t>Charlie McAvoy</t>
  </si>
  <si>
    <t>David Pastrnak</t>
  </si>
  <si>
    <t>USA</t>
  </si>
  <si>
    <t>Canada</t>
  </si>
  <si>
    <t>Slovakia</t>
  </si>
  <si>
    <t>Czech Republic</t>
  </si>
  <si>
    <t>Finland</t>
  </si>
  <si>
    <t>Height_1</t>
  </si>
  <si>
    <t>Height_2</t>
  </si>
  <si>
    <t>F</t>
  </si>
  <si>
    <t>D</t>
  </si>
  <si>
    <t>R</t>
  </si>
  <si>
    <t>L</t>
  </si>
  <si>
    <t>Age</t>
  </si>
  <si>
    <t>Draft Year</t>
  </si>
  <si>
    <t>Overall</t>
  </si>
  <si>
    <t>Country</t>
  </si>
  <si>
    <t>TOR</t>
  </si>
  <si>
    <t>Tyson Barrie</t>
  </si>
  <si>
    <t>Travis Dermott</t>
  </si>
  <si>
    <t>Frederik Gauthier</t>
  </si>
  <si>
    <t>Justin Holl</t>
  </si>
  <si>
    <t>Andreas Johnsson</t>
  </si>
  <si>
    <t>Kasperi Kapanen</t>
  </si>
  <si>
    <t>Alexander Kerfoot</t>
  </si>
  <si>
    <t>Mitchell Marner</t>
  </si>
  <si>
    <t>Auston Matthews</t>
  </si>
  <si>
    <t>Jake Muzzin</t>
  </si>
  <si>
    <t>William Nylander</t>
  </si>
  <si>
    <t>Jason Spezza</t>
  </si>
  <si>
    <t>John Tavares</t>
  </si>
  <si>
    <t>Dmytro Timashov</t>
  </si>
  <si>
    <t>Denmark</t>
  </si>
  <si>
    <t>Sweden</t>
  </si>
  <si>
    <t>Russia</t>
  </si>
  <si>
    <t>Ukraine</t>
  </si>
  <si>
    <t>Charlie Coyle</t>
  </si>
  <si>
    <t>BUF</t>
  </si>
  <si>
    <t>Rasmus Dahlin</t>
  </si>
  <si>
    <t>Jack Eichel</t>
  </si>
  <si>
    <t>John Gilmour</t>
  </si>
  <si>
    <t>Zemgus Girgensons</t>
  </si>
  <si>
    <t>Marcus Johansson</t>
  </si>
  <si>
    <t>Henri Jokiharju</t>
  </si>
  <si>
    <t>Johan Larsson</t>
  </si>
  <si>
    <t>Colin Miller</t>
  </si>
  <si>
    <t>Casey Mittelstadt</t>
  </si>
  <si>
    <t>Brandon Montour</t>
  </si>
  <si>
    <t>Kyle Okposo</t>
  </si>
  <si>
    <t>Sam Reinhart</t>
  </si>
  <si>
    <t>Rasmus Ristolainen</t>
  </si>
  <si>
    <t>Jimmy Vesey</t>
  </si>
  <si>
    <t>Latvia</t>
  </si>
  <si>
    <t>Czechoslovakia</t>
  </si>
  <si>
    <t>Vladimir Sobotka</t>
  </si>
  <si>
    <t>MTL</t>
  </si>
  <si>
    <t>Joel Armia</t>
  </si>
  <si>
    <t>Max Domi</t>
  </si>
  <si>
    <t>Cale Fleury</t>
  </si>
  <si>
    <t>Brendan Gallagher</t>
  </si>
  <si>
    <t>Artturi Lehkonen</t>
  </si>
  <si>
    <t>Victor Mete</t>
  </si>
  <si>
    <t>Jeff Petry</t>
  </si>
  <si>
    <t>Mike Reilly</t>
  </si>
  <si>
    <t>Nicholas Suzuki</t>
  </si>
  <si>
    <t>Tomas Tatar</t>
  </si>
  <si>
    <t>Nate Thompson</t>
  </si>
  <si>
    <t>Jordan Weal</t>
  </si>
  <si>
    <t>Shea Weber</t>
  </si>
  <si>
    <t>Paul Byron</t>
  </si>
  <si>
    <t>FLA</t>
  </si>
  <si>
    <t>Aleksander Barkov</t>
  </si>
  <si>
    <t>Josh Brown</t>
  </si>
  <si>
    <t>Evgenii Dadonov</t>
  </si>
  <si>
    <t>Aaron Ekblad</t>
  </si>
  <si>
    <t>Jayce Hawryluk</t>
  </si>
  <si>
    <t>Mike Hoffman</t>
  </si>
  <si>
    <t>Jonathan Huberdeau</t>
  </si>
  <si>
    <t>Denis Malgin</t>
  </si>
  <si>
    <t>Michael Matheson</t>
  </si>
  <si>
    <t>Mark Pysyk</t>
  </si>
  <si>
    <t>Colton Sceviour</t>
  </si>
  <si>
    <t>Anton Stralman</t>
  </si>
  <si>
    <t>Dominic Toninato</t>
  </si>
  <si>
    <t>MacKenzie Weegar</t>
  </si>
  <si>
    <t>Keith Yandle</t>
  </si>
  <si>
    <t>Brett Connolly</t>
  </si>
  <si>
    <t>Switzerland</t>
  </si>
  <si>
    <t>Brian Boyle</t>
  </si>
  <si>
    <t>TBL</t>
  </si>
  <si>
    <t>Erik Cernak</t>
  </si>
  <si>
    <t>Anthony Cirelli</t>
  </si>
  <si>
    <t>Braydon Coburn</t>
  </si>
  <si>
    <t>Victor Hedman</t>
  </si>
  <si>
    <t>Mathieu Joseph</t>
  </si>
  <si>
    <t>Alex Killorn</t>
  </si>
  <si>
    <t>Pat Maroon</t>
  </si>
  <si>
    <t>Ondrej Palat</t>
  </si>
  <si>
    <t>Brayden Point</t>
  </si>
  <si>
    <t>Luke Schenn</t>
  </si>
  <si>
    <t>Kevin Shattenkirk</t>
  </si>
  <si>
    <t>Steven Stamkos</t>
  </si>
  <si>
    <t>Carte Verhaeghe</t>
  </si>
  <si>
    <t>OTT</t>
  </si>
  <si>
    <t>Mikkel Boedker</t>
  </si>
  <si>
    <t>Mark Borowiecki</t>
  </si>
  <si>
    <t>Connor Brown</t>
  </si>
  <si>
    <t>Thomas Chabot</t>
  </si>
  <si>
    <t>Filip Chlapik</t>
  </si>
  <si>
    <t>Dylan DeMelo</t>
  </si>
  <si>
    <t>Cody Goloubef</t>
  </si>
  <si>
    <t>Jean-Gabriel Pageau</t>
  </si>
  <si>
    <t>Nicholas Paul</t>
  </si>
  <si>
    <t>Bobby Ryan</t>
  </si>
  <si>
    <t>Brady Tkachuk</t>
  </si>
  <si>
    <t>Tyler Ennis</t>
  </si>
  <si>
    <t>DET</t>
  </si>
  <si>
    <t>Justin Abdelkader</t>
  </si>
  <si>
    <t>Andreas Athanasiou</t>
  </si>
  <si>
    <t>Tyler Bertuzzi</t>
  </si>
  <si>
    <t>Madison Bowey</t>
  </si>
  <si>
    <t>Dennis Cholowski</t>
  </si>
  <si>
    <t>Christoffer Ehn</t>
  </si>
  <si>
    <t>Adam Erne</t>
  </si>
  <si>
    <t>Robby Fabbri</t>
  </si>
  <si>
    <t>Valtteri Filppula</t>
  </si>
  <si>
    <t>Mike Green</t>
  </si>
  <si>
    <t>Darren Helm</t>
  </si>
  <si>
    <t>Dylan Larkin</t>
  </si>
  <si>
    <t>Patrik Nemeth</t>
  </si>
  <si>
    <t>Frans Nielsen</t>
  </si>
  <si>
    <t>Brendan Perlini</t>
  </si>
  <si>
    <t>Anthony Mantha</t>
  </si>
  <si>
    <t>Filip Hronek</t>
  </si>
  <si>
    <t>United Kingdom</t>
  </si>
  <si>
    <t>G_pg_1</t>
  </si>
  <si>
    <t>G_pg_2</t>
  </si>
  <si>
    <t>WSH</t>
  </si>
  <si>
    <t>Nicklas Backstrom</t>
  </si>
  <si>
    <t>Travis Boyd</t>
  </si>
  <si>
    <t>John Carlson</t>
  </si>
  <si>
    <t>Nic Dowd</t>
  </si>
  <si>
    <t>Lars Eller</t>
  </si>
  <si>
    <t>Radko Gudas</t>
  </si>
  <si>
    <t>Carl Hagelin</t>
  </si>
  <si>
    <t>Nick Jensen</t>
  </si>
  <si>
    <t>Evgeny Kuznetsov</t>
  </si>
  <si>
    <t>Tyler Lewington</t>
  </si>
  <si>
    <t>Dmitry Orlov</t>
  </si>
  <si>
    <t>T.J. Oshie</t>
  </si>
  <si>
    <t>Alex Ovechkin</t>
  </si>
  <si>
    <t>Jonas Siegenthaler</t>
  </si>
  <si>
    <t>Chandler Stephenson</t>
  </si>
  <si>
    <t>Jakub Vrana</t>
  </si>
  <si>
    <t>Tom Wilson</t>
  </si>
  <si>
    <t>Colin White</t>
  </si>
  <si>
    <t>NYI</t>
  </si>
  <si>
    <t>Josh Bailey</t>
  </si>
  <si>
    <t>Mathew Barzal</t>
  </si>
  <si>
    <t>Derick Brassard</t>
  </si>
  <si>
    <t>Casey Cizikas</t>
  </si>
  <si>
    <t>Cal Clutterbuck</t>
  </si>
  <si>
    <t>Michael Dal Colle</t>
  </si>
  <si>
    <t>Noah Dobson</t>
  </si>
  <si>
    <t>Jordan Eberle</t>
  </si>
  <si>
    <t>Nick Leddy</t>
  </si>
  <si>
    <t>Anders Lee</t>
  </si>
  <si>
    <t>Brock Nelson</t>
  </si>
  <si>
    <t>Adam Pelech</t>
  </si>
  <si>
    <t>Ryan Pulock</t>
  </si>
  <si>
    <t>Devon Toews</t>
  </si>
  <si>
    <t>Johnny Boychuk</t>
  </si>
  <si>
    <t>PIT</t>
  </si>
  <si>
    <t>Nick Bjugstad</t>
  </si>
  <si>
    <t>Teddy Blueger</t>
  </si>
  <si>
    <t>Sidney Crosby</t>
  </si>
  <si>
    <t>Alex Galchenyuk</t>
  </si>
  <si>
    <t>Jake Guentzel</t>
  </si>
  <si>
    <t>Jack Johnson</t>
  </si>
  <si>
    <t>Sam Lafferty</t>
  </si>
  <si>
    <t>Kris Letang</t>
  </si>
  <si>
    <t>Evgeni Malkin</t>
  </si>
  <si>
    <t>John Marino</t>
  </si>
  <si>
    <t>Jared McCann</t>
  </si>
  <si>
    <t>Marcus Pettersson</t>
  </si>
  <si>
    <t>Justin Schultz</t>
  </si>
  <si>
    <t>Dominik Simon</t>
  </si>
  <si>
    <t>Norway</t>
  </si>
  <si>
    <t>PHI</t>
  </si>
  <si>
    <t>Justin Braun</t>
  </si>
  <si>
    <t>Sean Couturier</t>
  </si>
  <si>
    <t>Claude Giroux</t>
  </si>
  <si>
    <t>Robert Hagg</t>
  </si>
  <si>
    <t>Travis Konecny</t>
  </si>
  <si>
    <t>Oskar Lindblom</t>
  </si>
  <si>
    <t>Matt Niskanen</t>
  </si>
  <si>
    <t>Ivan Provorov</t>
  </si>
  <si>
    <t>Travis Sanheim</t>
  </si>
  <si>
    <t>Chris Stewart</t>
  </si>
  <si>
    <t>Carsen Twarynski</t>
  </si>
  <si>
    <t>James van Riemsdyk</t>
  </si>
  <si>
    <t>Jakub Voracek</t>
  </si>
  <si>
    <t>CAR</t>
  </si>
  <si>
    <t>Sebastian Aho</t>
  </si>
  <si>
    <t>Ryan Dzingel</t>
  </si>
  <si>
    <t>Joel Edmundson</t>
  </si>
  <si>
    <t>Haydn Fleury</t>
  </si>
  <si>
    <t>Warren Foegele</t>
  </si>
  <si>
    <t>Jake Gardiner</t>
  </si>
  <si>
    <t>Dougie Hamilton</t>
  </si>
  <si>
    <t>Brock McGinn</t>
  </si>
  <si>
    <t>Martin Necas</t>
  </si>
  <si>
    <t>Nino Niederreiter</t>
  </si>
  <si>
    <t>Brett Pesce</t>
  </si>
  <si>
    <t>Jaccob Slavin</t>
  </si>
  <si>
    <t>Jordan Staal</t>
  </si>
  <si>
    <t>Andrei Svechnikov</t>
  </si>
  <si>
    <t>Teuvo Teravainen</t>
  </si>
  <si>
    <t>Lucas Wallmark</t>
  </si>
  <si>
    <t>CBJ</t>
  </si>
  <si>
    <t>Cam Atkinson</t>
  </si>
  <si>
    <t>Emil Bemstrom</t>
  </si>
  <si>
    <t>Oliver Bjorkstrand</t>
  </si>
  <si>
    <t>Pierre-Luc Dubois</t>
  </si>
  <si>
    <t>Nick Foligno</t>
  </si>
  <si>
    <t>Vladislav Gavrikov</t>
  </si>
  <si>
    <t>Boone Jenner</t>
  </si>
  <si>
    <t>Sonny Milano</t>
  </si>
  <si>
    <t>Riley Nash</t>
  </si>
  <si>
    <t>Markus Nutivaara</t>
  </si>
  <si>
    <t>Gustav Nyquist</t>
  </si>
  <si>
    <t>David Savard</t>
  </si>
  <si>
    <t>Alexander Wennberg</t>
  </si>
  <si>
    <t>Zachary Werenski</t>
  </si>
  <si>
    <t>NYR</t>
  </si>
  <si>
    <t>Lias Andersson</t>
  </si>
  <si>
    <t>Pavel Buchnevich</t>
  </si>
  <si>
    <t>Filip Chytil</t>
  </si>
  <si>
    <t>Anthony DeAngelo</t>
  </si>
  <si>
    <t>Jesper Fast</t>
  </si>
  <si>
    <t>Adam Fox</t>
  </si>
  <si>
    <t>Libor Hajek</t>
  </si>
  <si>
    <t>Brett Howden</t>
  </si>
  <si>
    <t>Kaapo Kakko</t>
  </si>
  <si>
    <t>Chris Kreider</t>
  </si>
  <si>
    <t>Brendan Lemieux</t>
  </si>
  <si>
    <t>Ryan Lindgren</t>
  </si>
  <si>
    <t>Brady Skjei</t>
  </si>
  <si>
    <t>Brendan Smith</t>
  </si>
  <si>
    <t>Marc Staal</t>
  </si>
  <si>
    <t>Mika Zibanejad</t>
  </si>
  <si>
    <t>NJD</t>
  </si>
  <si>
    <t>Jesper Boqvist</t>
  </si>
  <si>
    <t>Jesper Bratt</t>
  </si>
  <si>
    <t>Will Butcher</t>
  </si>
  <si>
    <t>Blake Coleman</t>
  </si>
  <si>
    <t>Nikita Gusev</t>
  </si>
  <si>
    <t>Taylor Hall</t>
  </si>
  <si>
    <t>John Hayden</t>
  </si>
  <si>
    <t>Nico Hischier</t>
  </si>
  <si>
    <t>Kyle Palmieri</t>
  </si>
  <si>
    <t>Wayne Simmonds</t>
  </si>
  <si>
    <t>P.K. Subban</t>
  </si>
  <si>
    <t>Sami Vatanen</t>
  </si>
  <si>
    <t>Miles Wood</t>
  </si>
  <si>
    <t>Pavel Zacha</t>
  </si>
  <si>
    <t>Travis Zajac</t>
  </si>
  <si>
    <t>A_pg_1</t>
  </si>
  <si>
    <t>A_pg_2</t>
  </si>
  <si>
    <t>G_Decreasing</t>
  </si>
  <si>
    <t>A_Decreasing</t>
  </si>
  <si>
    <t>P_pg_1</t>
  </si>
  <si>
    <t>P_pg_2</t>
  </si>
  <si>
    <t>P_Decreasing</t>
  </si>
  <si>
    <t>STL</t>
  </si>
  <si>
    <t>Sammy Blais</t>
  </si>
  <si>
    <t>Robert Bortuzzo</t>
  </si>
  <si>
    <t>Jay Bouwmeester</t>
  </si>
  <si>
    <t>Vince Dunn</t>
  </si>
  <si>
    <t>Justin Faulk</t>
  </si>
  <si>
    <t>Carl Gunnarsson</t>
  </si>
  <si>
    <t>Mackenzie MacEachern</t>
  </si>
  <si>
    <t>Ryan O'Reilly</t>
  </si>
  <si>
    <t>Alex Pietrangelo</t>
  </si>
  <si>
    <t>Zach Sanford</t>
  </si>
  <si>
    <t>Brayden Schenn</t>
  </si>
  <si>
    <t>Jaden Schwartz</t>
  </si>
  <si>
    <t>Oskar Sundqvist</t>
  </si>
  <si>
    <t>Robert Thomas</t>
  </si>
  <si>
    <t>David Perron</t>
  </si>
  <si>
    <t>COL</t>
  </si>
  <si>
    <t>Mark Barberio</t>
  </si>
  <si>
    <t>Matt Calvert</t>
  </si>
  <si>
    <t>Ian Cole</t>
  </si>
  <si>
    <t>J.T. Compher</t>
  </si>
  <si>
    <t>Joonas Donskoi</t>
  </si>
  <si>
    <t>Samuel Girard</t>
  </si>
  <si>
    <t>Ryan Graves</t>
  </si>
  <si>
    <t>Erik Johnson</t>
  </si>
  <si>
    <t>Tyson Jost</t>
  </si>
  <si>
    <t>Nazem Kadri</t>
  </si>
  <si>
    <t>Vladislav Kamenev</t>
  </si>
  <si>
    <t>Cale Makar</t>
  </si>
  <si>
    <t>Valeri Nichushkin</t>
  </si>
  <si>
    <t>T.J. Tynan</t>
  </si>
  <si>
    <t>Colin Wilson</t>
  </si>
  <si>
    <t>Viktor Arvidsson</t>
  </si>
  <si>
    <t>Nick Bonino</t>
  </si>
  <si>
    <t>Matt Duchene</t>
  </si>
  <si>
    <t>Mattias Ekholm</t>
  </si>
  <si>
    <t>Ryan Ellis</t>
  </si>
  <si>
    <t>Filip Forsberg</t>
  </si>
  <si>
    <t>Mikael Granlund</t>
  </si>
  <si>
    <t>Dan Hamhuis</t>
  </si>
  <si>
    <t>Calle Jarnkrok</t>
  </si>
  <si>
    <t>Ryan Johansen</t>
  </si>
  <si>
    <t>Anthony Richard</t>
  </si>
  <si>
    <t>Miikka Salomaki</t>
  </si>
  <si>
    <t>Craig Smith</t>
  </si>
  <si>
    <t>Kyle Turris</t>
  </si>
  <si>
    <t>Austin Watson</t>
  </si>
  <si>
    <t>Yannick Weber</t>
  </si>
  <si>
    <t>NSH</t>
  </si>
  <si>
    <t>isStarPlayer</t>
  </si>
  <si>
    <t>ST_G</t>
  </si>
  <si>
    <t>ST_A</t>
  </si>
  <si>
    <t>ST_P</t>
  </si>
  <si>
    <t>ST_PIM</t>
  </si>
  <si>
    <t>Career</t>
  </si>
  <si>
    <t>NHL</t>
  </si>
  <si>
    <t>Scoring</t>
  </si>
  <si>
    <t>Goals</t>
  </si>
  <si>
    <t>Assists</t>
  </si>
  <si>
    <t>Shots</t>
  </si>
  <si>
    <t>Ice Time</t>
  </si>
  <si>
    <t>Season</t>
  </si>
  <si>
    <t>Tm</t>
  </si>
  <si>
    <t>Lg</t>
  </si>
  <si>
    <t>GP</t>
  </si>
  <si>
    <t>G</t>
  </si>
  <si>
    <t>A</t>
  </si>
  <si>
    <t>PTS</t>
  </si>
  <si>
    <t>+/-</t>
  </si>
  <si>
    <t>PIM</t>
  </si>
  <si>
    <t>EV</t>
  </si>
  <si>
    <t>PP</t>
  </si>
  <si>
    <t>SH</t>
  </si>
  <si>
    <t>GW</t>
  </si>
  <si>
    <t>S</t>
  </si>
  <si>
    <t>S%</t>
  </si>
  <si>
    <t>TSA</t>
  </si>
  <si>
    <t>TOI</t>
  </si>
  <si>
    <t>ATOI</t>
  </si>
  <si>
    <t>FOW</t>
  </si>
  <si>
    <t>FOL</t>
  </si>
  <si>
    <t>FO%</t>
  </si>
  <si>
    <t>BLK</t>
  </si>
  <si>
    <t>HIT</t>
  </si>
  <si>
    <t>TK</t>
  </si>
  <si>
    <t>GV</t>
  </si>
  <si>
    <t>Jack Hughes</t>
  </si>
  <si>
    <t>Jeff Skinner</t>
  </si>
  <si>
    <t>Ryan McDonagh</t>
  </si>
  <si>
    <t>Anthony Beauvillier</t>
  </si>
  <si>
    <t>Ron Hainsey</t>
  </si>
  <si>
    <t>DAL</t>
  </si>
  <si>
    <t>Roman Josi</t>
  </si>
  <si>
    <t>Andrew Cogliano</t>
  </si>
  <si>
    <t>Blake Comeau</t>
  </si>
  <si>
    <t>Jason Dickinson</t>
  </si>
  <si>
    <t>Miro Heiskanen</t>
  </si>
  <si>
    <t>Mattias Janmark</t>
  </si>
  <si>
    <t>Esa Lindell</t>
  </si>
  <si>
    <t>Jamie Oleksiak</t>
  </si>
  <si>
    <t>Joe Pavelski</t>
  </si>
  <si>
    <t>Corey Perry</t>
  </si>
  <si>
    <t>Roman Rolak</t>
  </si>
  <si>
    <t>Alexander Radulov</t>
  </si>
  <si>
    <t>Tyler Seguin</t>
  </si>
  <si>
    <t>Andrej Sekera</t>
  </si>
  <si>
    <t>Radek Faksa</t>
  </si>
  <si>
    <t>WPG</t>
  </si>
  <si>
    <t>Nathan Beaulieu</t>
  </si>
  <si>
    <t>Kyle Connor</t>
  </si>
  <si>
    <t>Carl Dahlstrom</t>
  </si>
  <si>
    <t>Nikolaj Ehlers</t>
  </si>
  <si>
    <t>David Gustafsson</t>
  </si>
  <si>
    <t>Dmitry Kulikov</t>
  </si>
  <si>
    <t>Patrik Laine</t>
  </si>
  <si>
    <t>Josh Morrissey</t>
  </si>
  <si>
    <t>Tucker Poolman</t>
  </si>
  <si>
    <t>Jack Roslovic</t>
  </si>
  <si>
    <t>Luca Sbisa</t>
  </si>
  <si>
    <t>Mark Scheifele</t>
  </si>
  <si>
    <t>Logan Shaw</t>
  </si>
  <si>
    <t>Blake Wheeler</t>
  </si>
  <si>
    <t>Italy</t>
  </si>
  <si>
    <t>Mathieu Perreault</t>
  </si>
  <si>
    <t>CHI</t>
  </si>
  <si>
    <t>Kirby Dach</t>
  </si>
  <si>
    <t>Calvin de Haan</t>
  </si>
  <si>
    <t>Alex DeBrincat</t>
  </si>
  <si>
    <t>Erik Gustafsson</t>
  </si>
  <si>
    <t>Patrick Kane</t>
  </si>
  <si>
    <t>Duncan Keith</t>
  </si>
  <si>
    <t>Dominik Kubalik</t>
  </si>
  <si>
    <t>Alexander Nylander</t>
  </si>
  <si>
    <t>Brandon Saad</t>
  </si>
  <si>
    <t>Brent Seabrook</t>
  </si>
  <si>
    <t>Andrew Shaw</t>
  </si>
  <si>
    <t>Zack Smith</t>
  </si>
  <si>
    <t>Dylan Strome</t>
  </si>
  <si>
    <t>Jonathan Toews</t>
  </si>
  <si>
    <t>MIN</t>
  </si>
  <si>
    <t>Jonas Brodin</t>
  </si>
  <si>
    <t>Ryan Donato</t>
  </si>
  <si>
    <t>Kevin Fiala</t>
  </si>
  <si>
    <t>Marcus Foligno</t>
  </si>
  <si>
    <t>Jordan Greenway</t>
  </si>
  <si>
    <t>Luke Kunin</t>
  </si>
  <si>
    <t>Zach Parise</t>
  </si>
  <si>
    <t>Nick Seeler</t>
  </si>
  <si>
    <t>Carson Soucy</t>
  </si>
  <si>
    <t>Jared Spurgeon</t>
  </si>
  <si>
    <t>Eric Staal</t>
  </si>
  <si>
    <t>Ryan Suter</t>
  </si>
  <si>
    <t>Jason Zucker</t>
  </si>
  <si>
    <t>Joel Eriksson Ek</t>
  </si>
  <si>
    <t>Mikko Koivu</t>
  </si>
  <si>
    <t>EDM</t>
  </si>
  <si>
    <t>Josh Archibald</t>
  </si>
  <si>
    <t>Ethan Bear</t>
  </si>
  <si>
    <t>Alex Chiasson</t>
  </si>
  <si>
    <t>Leon Draisaitl</t>
  </si>
  <si>
    <t>Sam Gagner</t>
  </si>
  <si>
    <t>Markus Granlund</t>
  </si>
  <si>
    <t>Caleb Jones</t>
  </si>
  <si>
    <t>Zack Kassian</t>
  </si>
  <si>
    <t>Oscar Klefbom</t>
  </si>
  <si>
    <t>Adam Larsson</t>
  </si>
  <si>
    <t>Connor McDavid</t>
  </si>
  <si>
    <t>James Neal</t>
  </si>
  <si>
    <t>Ryan Nugent-Hopkins</t>
  </si>
  <si>
    <t>Kris Russell</t>
  </si>
  <si>
    <t>Riley Sheahan</t>
  </si>
  <si>
    <t>Germany</t>
  </si>
  <si>
    <t>ARI</t>
  </si>
  <si>
    <t>Jakob Chychrun</t>
  </si>
  <si>
    <t>Lawson Crouse</t>
  </si>
  <si>
    <t>Jason Demers</t>
  </si>
  <si>
    <t>Christian Dvorak</t>
  </si>
  <si>
    <t>Oliver Ekman-Larsson</t>
  </si>
  <si>
    <t>Christian Fischer</t>
  </si>
  <si>
    <t>Conor Garland</t>
  </si>
  <si>
    <t>Alex Goligoski</t>
  </si>
  <si>
    <t>Michael Grabner</t>
  </si>
  <si>
    <t>Barrett Hayton</t>
  </si>
  <si>
    <t>Vinnie Hinostroza</t>
  </si>
  <si>
    <t>Clayton Keller</t>
  </si>
  <si>
    <t>Phil Kessel</t>
  </si>
  <si>
    <t>Aaron Ness</t>
  </si>
  <si>
    <t>Brad Richardson</t>
  </si>
  <si>
    <t>Carl Soderberg</t>
  </si>
  <si>
    <t>Derek Stepan</t>
  </si>
  <si>
    <t>Austria</t>
  </si>
  <si>
    <t>Nick Schmaltz</t>
  </si>
  <si>
    <t>VAN</t>
  </si>
  <si>
    <t>Sven Baertschi</t>
  </si>
  <si>
    <t>Alexander Edler</t>
  </si>
  <si>
    <t>Loui Eriksson</t>
  </si>
  <si>
    <t>Adam Gaudette</t>
  </si>
  <si>
    <t>Quinn Hughes</t>
  </si>
  <si>
    <t>J.T. Miller</t>
  </si>
  <si>
    <t>Tyler Myers</t>
  </si>
  <si>
    <t>Tanner Pearson</t>
  </si>
  <si>
    <t>Elias Pettersson</t>
  </si>
  <si>
    <t>Jake Virtanen</t>
  </si>
  <si>
    <t>Brock Boeser</t>
  </si>
  <si>
    <t>VEG</t>
  </si>
  <si>
    <t>William Carrier</t>
  </si>
  <si>
    <t>Cody Eakin</t>
  </si>
  <si>
    <t>Deryk Engelland</t>
  </si>
  <si>
    <t>Cody Glass</t>
  </si>
  <si>
    <t>Nicolas Hague</t>
  </si>
  <si>
    <t>William Karlsson</t>
  </si>
  <si>
    <t>Brayden McNabb</t>
  </si>
  <si>
    <t>Max Pacioretty</t>
  </si>
  <si>
    <t>Ryan Reaves</t>
  </si>
  <si>
    <t>Paul Stastny</t>
  </si>
  <si>
    <t>Mark Stone</t>
  </si>
  <si>
    <t>Shea Theodore</t>
  </si>
  <si>
    <t>Alex Tuch</t>
  </si>
  <si>
    <t>Reilly Smith</t>
  </si>
  <si>
    <t>CGY</t>
  </si>
  <si>
    <t>Rasmus Andersson</t>
  </si>
  <si>
    <t>Mikael Backlund</t>
  </si>
  <si>
    <t>Dillon Dube</t>
  </si>
  <si>
    <t>Michael Frolik</t>
  </si>
  <si>
    <t>Travis Hamonic</t>
  </si>
  <si>
    <t>Noah Hanifin</t>
  </si>
  <si>
    <t>Mark Jankowski</t>
  </si>
  <si>
    <t>Elias Lindholm</t>
  </si>
  <si>
    <t>Milan Lucic</t>
  </si>
  <si>
    <t>Andrew Mangiapane</t>
  </si>
  <si>
    <t>Zac Rinaldo</t>
  </si>
  <si>
    <t>Michael Stone</t>
  </si>
  <si>
    <t>Matthew Tkachuk</t>
  </si>
  <si>
    <t>SJS</t>
  </si>
  <si>
    <t>Brent Burns</t>
  </si>
  <si>
    <t>Logan Couture</t>
  </si>
  <si>
    <t>Mario Ferraro</t>
  </si>
  <si>
    <t>Dylan Gambrell</t>
  </si>
  <si>
    <t>Noah Gregor</t>
  </si>
  <si>
    <t>Tim Heed</t>
  </si>
  <si>
    <t>Tomas Hertl</t>
  </si>
  <si>
    <t>Evander Kane</t>
  </si>
  <si>
    <t>Erik Karlsson</t>
  </si>
  <si>
    <t>Kevin Labanc</t>
  </si>
  <si>
    <t>Patrick Marleau</t>
  </si>
  <si>
    <t>Timo Meier</t>
  </si>
  <si>
    <t>Dalton Prout</t>
  </si>
  <si>
    <t>Marcus Sorensen</t>
  </si>
  <si>
    <t>Joe Thornton</t>
  </si>
  <si>
    <t>Marc-Eduoard Vlasic</t>
  </si>
  <si>
    <t>ANA</t>
  </si>
  <si>
    <t>Michael Del Zotto</t>
  </si>
  <si>
    <t>Cam Fowler</t>
  </si>
  <si>
    <t>Ryan Getzlaf</t>
  </si>
  <si>
    <t>Derek Grant</t>
  </si>
  <si>
    <t>Erik Gudbranson</t>
  </si>
  <si>
    <t>Brandan Guhle</t>
  </si>
  <si>
    <t>Adam Henrique</t>
  </si>
  <si>
    <t>Korbinian Holzer</t>
  </si>
  <si>
    <t>Max Jones</t>
  </si>
  <si>
    <t>Ondrej Kase</t>
  </si>
  <si>
    <t>Hampus Lindholm</t>
  </si>
  <si>
    <t>Josh Mahura</t>
  </si>
  <si>
    <t>Rickard Rakell</t>
  </si>
  <si>
    <t>Nick Ritchie</t>
  </si>
  <si>
    <t>Jakob Silfverberg</t>
  </si>
  <si>
    <t>Sam Steel</t>
  </si>
  <si>
    <t>Troy Terry</t>
  </si>
  <si>
    <t>2 yrs</t>
  </si>
  <si>
    <t>Jacob Larsson</t>
  </si>
  <si>
    <t>LAK</t>
  </si>
  <si>
    <t>Michael Amadio</t>
  </si>
  <si>
    <t>Dustin Brown</t>
  </si>
  <si>
    <t>Jeff Carter</t>
  </si>
  <si>
    <t>Kyle Clifford</t>
  </si>
  <si>
    <t>Drew Doughty</t>
  </si>
  <si>
    <t>Carl Grundstrom</t>
  </si>
  <si>
    <t>Adrian Kempe</t>
  </si>
  <si>
    <t>Anze Kopitar</t>
  </si>
  <si>
    <t>Ilya Kovalchuk</t>
  </si>
  <si>
    <t>Alec Martinez</t>
  </si>
  <si>
    <t>Mikolai Prokhorkin</t>
  </si>
  <si>
    <t>Matt Roy</t>
  </si>
  <si>
    <t>Joakim Ryan</t>
  </si>
  <si>
    <t>Tyler Toffoli</t>
  </si>
  <si>
    <t>Austin Wagner</t>
  </si>
  <si>
    <t>Slovenia</t>
  </si>
  <si>
    <t>Jamie Benn</t>
  </si>
  <si>
    <t>NHL_G_82</t>
  </si>
  <si>
    <t>NHL_A_82</t>
  </si>
  <si>
    <t>NHL_P_82</t>
  </si>
  <si>
    <t>NHL_PIM_82</t>
  </si>
  <si>
    <t>League_1</t>
  </si>
  <si>
    <t>WHL</t>
  </si>
  <si>
    <t>OHL</t>
  </si>
  <si>
    <t>CCHA</t>
  </si>
  <si>
    <t>BCHL</t>
  </si>
  <si>
    <t>Minn.</t>
  </si>
  <si>
    <t>Ind</t>
  </si>
  <si>
    <t>SEL</t>
  </si>
  <si>
    <t>Swe-1</t>
  </si>
  <si>
    <t>Czech</t>
  </si>
  <si>
    <t>USHL</t>
  </si>
  <si>
    <t>Sweden Jrs.</t>
  </si>
  <si>
    <t>Russia Jrs.</t>
  </si>
  <si>
    <t>H-East</t>
  </si>
  <si>
    <t>Mass H.S.</t>
  </si>
  <si>
    <t>WCHA</t>
  </si>
  <si>
    <t>QMJHL</t>
  </si>
  <si>
    <t>SM-liiga</t>
  </si>
  <si>
    <t>Quebec</t>
  </si>
  <si>
    <t>Ont. H.S.</t>
  </si>
  <si>
    <t>SweHL</t>
  </si>
  <si>
    <t>Intl</t>
  </si>
  <si>
    <t>AJHL</t>
  </si>
  <si>
    <t>Sweden-Jrs.</t>
  </si>
  <si>
    <t>Big-10</t>
  </si>
  <si>
    <t>Conn.</t>
  </si>
  <si>
    <t>KHL</t>
  </si>
  <si>
    <t>OJHL</t>
  </si>
  <si>
    <t>OPJHL</t>
  </si>
  <si>
    <t>USPHL</t>
  </si>
  <si>
    <t>Swiss-A</t>
  </si>
  <si>
    <t>Nikolai Prokhorkin</t>
  </si>
  <si>
    <t>NAHL</t>
  </si>
  <si>
    <t>Mass. H.S.</t>
  </si>
  <si>
    <t>EJHL</t>
  </si>
  <si>
    <t>ECAC</t>
  </si>
  <si>
    <t>Mass.</t>
  </si>
  <si>
    <t>CJHL</t>
  </si>
  <si>
    <t>Minn. H.S.</t>
  </si>
  <si>
    <t>NCHC</t>
  </si>
  <si>
    <t>Mitch. H.S.</t>
  </si>
  <si>
    <t>SweHl</t>
  </si>
  <si>
    <t>Roman Polak</t>
  </si>
  <si>
    <t>DEL</t>
  </si>
  <si>
    <t>PM</t>
  </si>
  <si>
    <t>PRE_G_82</t>
  </si>
  <si>
    <t>PRE_A_82</t>
  </si>
  <si>
    <t>PRE_PIM_82</t>
  </si>
  <si>
    <t>AE</t>
  </si>
  <si>
    <t>aggPM</t>
  </si>
  <si>
    <t>Top33</t>
  </si>
  <si>
    <t>catPM</t>
  </si>
  <si>
    <t>Yes</t>
  </si>
  <si>
    <t>No</t>
  </si>
  <si>
    <t>Jordan Kyrou</t>
  </si>
  <si>
    <t>C</t>
  </si>
  <si>
    <t>Zach Senyshyn</t>
  </si>
  <si>
    <t>Chase De Leo</t>
  </si>
  <si>
    <t>--</t>
  </si>
  <si>
    <t>Jakob Lilja</t>
  </si>
  <si>
    <t>Kevin Czuczman</t>
  </si>
  <si>
    <t>Nathan Bastian</t>
  </si>
  <si>
    <t>Nathan Walker</t>
  </si>
  <si>
    <t>Tony DeAngelo</t>
  </si>
  <si>
    <t>Shayne Gostisbehere</t>
  </si>
  <si>
    <t>John Klingberg</t>
  </si>
  <si>
    <t>Anthony Bitetto</t>
  </si>
  <si>
    <t>Christian Folin</t>
  </si>
  <si>
    <t>Matt Dumba</t>
  </si>
  <si>
    <t>Brian Dumoulin</t>
  </si>
  <si>
    <t>Cody Ceci</t>
  </si>
  <si>
    <t>Nikita Zadorov</t>
  </si>
  <si>
    <t>Jonathan Ericsson</t>
  </si>
  <si>
    <t>Joseph Cramarossa</t>
  </si>
  <si>
    <t>Drake Batherson</t>
  </si>
  <si>
    <t>Joseph Gambardella</t>
  </si>
  <si>
    <t>Kyle Rau</t>
  </si>
  <si>
    <t>Mike Vecchione</t>
  </si>
  <si>
    <t>Ilya Mikheyev</t>
  </si>
  <si>
    <t>Alexandre Fortin</t>
  </si>
  <si>
    <t>Jack Studnicka</t>
  </si>
  <si>
    <t>Torey Krug</t>
  </si>
  <si>
    <t>Jay Beagle</t>
  </si>
  <si>
    <t>Tomas Nosek</t>
  </si>
  <si>
    <t>Scott Wilson</t>
  </si>
  <si>
    <t>Derek Ryan</t>
  </si>
  <si>
    <t>Barclay Goodrow</t>
  </si>
  <si>
    <t>Ryan Kesler</t>
  </si>
  <si>
    <t>Luke Glendening</t>
  </si>
  <si>
    <t>Lukas Radil</t>
  </si>
  <si>
    <t>Nick Lappin</t>
  </si>
  <si>
    <t>Brendan Leipsic</t>
  </si>
  <si>
    <t>J.C. Beaudin</t>
  </si>
  <si>
    <t>Tyler Bozak</t>
  </si>
  <si>
    <t>Nick Paul</t>
  </si>
  <si>
    <t>Colton Sissons</t>
  </si>
  <si>
    <t>Michael McLeod</t>
  </si>
  <si>
    <t>Joey Anderson</t>
  </si>
  <si>
    <t>Patrick Brown</t>
  </si>
  <si>
    <t>Brandon Dubinsky</t>
  </si>
  <si>
    <t>Phillip Danault</t>
  </si>
  <si>
    <t>Bo Horvat</t>
  </si>
  <si>
    <t>Brad Malone</t>
  </si>
  <si>
    <t>Eetu Luostarinen</t>
  </si>
  <si>
    <t>Morgan Frost</t>
  </si>
  <si>
    <t>Mark Letestu</t>
  </si>
  <si>
    <t>Martin Hanzal</t>
  </si>
  <si>
    <t>Adam Lowry</t>
  </si>
  <si>
    <t>Chris Mueller</t>
  </si>
  <si>
    <t>Roope Hintz</t>
  </si>
  <si>
    <t>Max McCormick</t>
  </si>
  <si>
    <t>Michael Chaput</t>
  </si>
  <si>
    <t>Andrew Copp</t>
  </si>
  <si>
    <t>Henrik Zetterberg</t>
  </si>
  <si>
    <t>Vincent Trocheck</t>
  </si>
  <si>
    <t>Andy Andreoff</t>
  </si>
  <si>
    <t>Nolan Patrick</t>
  </si>
  <si>
    <t>Gabriel Dumont</t>
  </si>
  <si>
    <t>Erik Haula</t>
  </si>
  <si>
    <t>Justin Dowling</t>
  </si>
  <si>
    <t>Victor Rask</t>
  </si>
  <si>
    <t>Trent Frederic</t>
  </si>
  <si>
    <t>Nicolas Roy</t>
  </si>
  <si>
    <t>Nicholas Shore</t>
  </si>
  <si>
    <t>Troy Brouwer</t>
  </si>
  <si>
    <t>Mikko Rantanen</t>
  </si>
  <si>
    <t>Carter Rowney</t>
  </si>
  <si>
    <t>Jean-Sebastien Dea</t>
  </si>
  <si>
    <t>Sheldon Dries</t>
  </si>
  <si>
    <t>Scott Laughton</t>
  </si>
  <si>
    <t>Matthew Peca</t>
  </si>
  <si>
    <t>Bryan Little</t>
  </si>
  <si>
    <t>Gabriel Landeskog</t>
  </si>
  <si>
    <t>Sean Monahan</t>
  </si>
  <si>
    <t>Andrew Poturalski</t>
  </si>
  <si>
    <t>Julien Gauthier</t>
  </si>
  <si>
    <t>Kevin Stenlund</t>
  </si>
  <si>
    <t>Gerald Mayhew</t>
  </si>
  <si>
    <t>Filip Zadina</t>
  </si>
  <si>
    <t>Joakim Nygard</t>
  </si>
  <si>
    <t>Kalle Kossila</t>
  </si>
  <si>
    <t>Danick Martel</t>
  </si>
  <si>
    <t>Karson Kuhlman</t>
  </si>
  <si>
    <t>Nick Caamano</t>
  </si>
  <si>
    <t>Nikolay Goldobin</t>
  </si>
  <si>
    <t>Patrick Russell</t>
  </si>
  <si>
    <t>Denis Gurianov</t>
  </si>
  <si>
    <t>Martin Marincin</t>
  </si>
  <si>
    <t>Mike Matheson</t>
  </si>
  <si>
    <t>Mikhail Sergachev</t>
  </si>
  <si>
    <t>Luke Witkowski</t>
  </si>
  <si>
    <t>Derek Forbort</t>
  </si>
  <si>
    <t>Thomas Hickey</t>
  </si>
  <si>
    <t>Jordie Benn</t>
  </si>
  <si>
    <t>Kyle Brodziak</t>
  </si>
  <si>
    <t>Pierre-Edouard Bellemare</t>
  </si>
  <si>
    <t>Par Lindholm</t>
  </si>
  <si>
    <t>Ryan Carpenter</t>
  </si>
  <si>
    <t>Tyler Johnson</t>
  </si>
  <si>
    <t>Cedric Paquette</t>
  </si>
  <si>
    <t>Colby Cave</t>
  </si>
  <si>
    <t>Chris Tierney</t>
  </si>
  <si>
    <t>Brandon Sutter</t>
  </si>
  <si>
    <t>Greg McKegg</t>
  </si>
  <si>
    <t>David Kampf</t>
  </si>
  <si>
    <t>Melker Karlsson</t>
  </si>
  <si>
    <t>Johan Franzen</t>
  </si>
  <si>
    <t>Michael Raffl</t>
  </si>
  <si>
    <t>Chris Wagner</t>
  </si>
  <si>
    <t>Blake Lizotte</t>
  </si>
  <si>
    <t>Brandon Pirri</t>
  </si>
  <si>
    <t>Kevin Rooney</t>
  </si>
  <si>
    <t>Brendan Gaunce</t>
  </si>
  <si>
    <t>Nick Suzuki</t>
  </si>
  <si>
    <t>Danny O'Regan</t>
  </si>
  <si>
    <t>Frederick Gaudreau</t>
  </si>
  <si>
    <t>Carter Verhaeghe</t>
  </si>
  <si>
    <t>Noel Acciari</t>
  </si>
  <si>
    <t>Luke Johnson</t>
  </si>
  <si>
    <t>Vinni Lettieri</t>
  </si>
  <si>
    <t>Sam Bennett</t>
  </si>
  <si>
    <t>Leo Komarov</t>
  </si>
  <si>
    <t>Antoine Roussel</t>
  </si>
  <si>
    <t>Michael McCarron</t>
  </si>
  <si>
    <t>Phil Varone</t>
  </si>
  <si>
    <t>Rhett Gardner</t>
  </si>
  <si>
    <t>Ben Street</t>
  </si>
  <si>
    <t>Clark Bishop</t>
  </si>
  <si>
    <t>Gemel Smith</t>
  </si>
  <si>
    <t>Byron Froese</t>
  </si>
  <si>
    <t>Alan Quine</t>
  </si>
  <si>
    <t>Tyler Graovac</t>
  </si>
  <si>
    <t>Andreas Martinsen</t>
  </si>
  <si>
    <t>Nic Petan</t>
  </si>
  <si>
    <t>Andrew Agozzino</t>
  </si>
  <si>
    <t>Blake Pietila</t>
  </si>
  <si>
    <t>Yanni Gourde</t>
  </si>
  <si>
    <t>Kyle Criscuolo</t>
  </si>
  <si>
    <t>Artem Anisimov</t>
  </si>
  <si>
    <t>Nathan MacKinnon</t>
  </si>
  <si>
    <t>Tyler Gaudet</t>
  </si>
  <si>
    <t>Ryan Strome</t>
  </si>
  <si>
    <t>Devin Shore</t>
  </si>
  <si>
    <t>Joel L'Esperance</t>
  </si>
  <si>
    <t>Kevin Hayes</t>
  </si>
  <si>
    <t>Zac Dalpe</t>
  </si>
  <si>
    <t>Zach Hyman</t>
  </si>
  <si>
    <t>Micheal Haley</t>
  </si>
  <si>
    <t>Conor Sheary</t>
  </si>
  <si>
    <t>Jesperi Kotkaniemi</t>
  </si>
  <si>
    <t>Alexander Steen</t>
  </si>
  <si>
    <t>Sam Carrick</t>
  </si>
  <si>
    <t>Jujhar Khaira</t>
  </si>
  <si>
    <t>Evan Rodrigues</t>
  </si>
  <si>
    <t>Laurent Dauphin</t>
  </si>
  <si>
    <t>Colin Blackwell</t>
  </si>
  <si>
    <t>Antti Suomela</t>
  </si>
  <si>
    <t>Nathan Horton</t>
  </si>
  <si>
    <t>Vladislav Namestnikov</t>
  </si>
  <si>
    <t>Tanner Kero</t>
  </si>
  <si>
    <t>Alex Iafallo</t>
  </si>
  <si>
    <t>Austin Czarnik</t>
  </si>
  <si>
    <t>Jaret Anderson-Dolan</t>
  </si>
  <si>
    <t>Josh Leivo</t>
  </si>
  <si>
    <t>Andre Burakovsky</t>
  </si>
  <si>
    <t>Ryan Callahan</t>
  </si>
  <si>
    <t>Curtis Lazar</t>
  </si>
  <si>
    <t>Jordan Martinook</t>
  </si>
  <si>
    <t>Nick Cousins</t>
  </si>
  <si>
    <t>Kiefer Sherwood</t>
  </si>
  <si>
    <t>Remi Elie</t>
  </si>
  <si>
    <t>Jacob de la Rose</t>
  </si>
  <si>
    <t>Michael Sgarbossa</t>
  </si>
  <si>
    <t>Rocco Grimaldi</t>
  </si>
  <si>
    <t>Ivan Barbashev</t>
  </si>
  <si>
    <t>Joseph Blandisi</t>
  </si>
  <si>
    <t>Ryan Hartman</t>
  </si>
  <si>
    <t>Jonathan Marchessault</t>
  </si>
  <si>
    <t>Tanner Fritz</t>
  </si>
  <si>
    <t>German Rubtsov</t>
  </si>
  <si>
    <t>Rasmus Asplund</t>
  </si>
  <si>
    <t>Markus Hannikainen</t>
  </si>
  <si>
    <t>Jonathan Drouin</t>
  </si>
  <si>
    <t>Patric Hornqvist</t>
  </si>
  <si>
    <t>Trevor Lewis</t>
  </si>
  <si>
    <t>Boo Nieves</t>
  </si>
  <si>
    <t>Jakob Forsbacka Karlsson</t>
  </si>
  <si>
    <t>Vladimir Tarasenko</t>
  </si>
  <si>
    <t>Cole Bardreau</t>
  </si>
  <si>
    <t>Paul Carey</t>
  </si>
  <si>
    <t>Tim Schaller</t>
  </si>
  <si>
    <t>Gaetan Haas</t>
  </si>
  <si>
    <t>Andrew Ladd</t>
  </si>
  <si>
    <t>Dominik Kahun</t>
  </si>
  <si>
    <t>Henrik Borgstrom</t>
  </si>
  <si>
    <t>Clarke MacArthur</t>
  </si>
  <si>
    <t>J.T. Brown</t>
  </si>
  <si>
    <t>Jordan Szwarz</t>
  </si>
  <si>
    <t>Connor Bunnaman</t>
  </si>
  <si>
    <t>Logan Brown</t>
  </si>
  <si>
    <t>Josh Currie</t>
  </si>
  <si>
    <t>Brian Gibbons</t>
  </si>
  <si>
    <t>Curtis McKenzie</t>
  </si>
  <si>
    <t>Charles Hudon</t>
  </si>
  <si>
    <t>Matt Martin</t>
  </si>
  <si>
    <t>Mikhail Vorobyev</t>
  </si>
  <si>
    <t>Joakim Nordstrom</t>
  </si>
  <si>
    <t>Chris Terry</t>
  </si>
  <si>
    <t>Nathan Gerbe</t>
  </si>
  <si>
    <t>Stefan Noesen</t>
  </si>
  <si>
    <t>Isac Lundestrom</t>
  </si>
  <si>
    <t>Jonny Brodzinski</t>
  </si>
  <si>
    <t>Garnet Hathaway</t>
  </si>
  <si>
    <t>Nicolas Deslauriers</t>
  </si>
  <si>
    <t>Dale Weise</t>
  </si>
  <si>
    <t>David Clarkson</t>
  </si>
  <si>
    <t>Cory Conacher</t>
  </si>
  <si>
    <t>Matt Beleskey</t>
  </si>
  <si>
    <t>Drake Caggiula</t>
  </si>
  <si>
    <t>Micheal Ferland</t>
  </si>
  <si>
    <t>Jacob Nilsson</t>
  </si>
  <si>
    <t>A.J. Greer</t>
  </si>
  <si>
    <t>Garrett Wilson</t>
  </si>
  <si>
    <t>Brett Seney</t>
  </si>
  <si>
    <t>Frank Vatrano</t>
  </si>
  <si>
    <t>Tyler Pitlick</t>
  </si>
  <si>
    <t>Zach Aston-Reese</t>
  </si>
  <si>
    <t>Marko Dano</t>
  </si>
  <si>
    <t>Richard Panik</t>
  </si>
  <si>
    <t>Tage Thompson</t>
  </si>
  <si>
    <t>Matt Nieto</t>
  </si>
  <si>
    <t>Michael Rasmussen</t>
  </si>
  <si>
    <t>Josh Anderson</t>
  </si>
  <si>
    <t>Mats Zuccarello</t>
  </si>
  <si>
    <t>Dominic Turgeon</t>
  </si>
  <si>
    <t>Phillip Di Giuseppe</t>
  </si>
  <si>
    <t>Alexandre Texier</t>
  </si>
  <si>
    <t>Ryan Poehling</t>
  </si>
  <si>
    <t>Patrick Eaves</t>
  </si>
  <si>
    <t>Gabriel Bourque</t>
  </si>
  <si>
    <t>Kenny Agostino</t>
  </si>
  <si>
    <t>Tobias Rieder</t>
  </si>
  <si>
    <t>Cooper Marody</t>
  </si>
  <si>
    <t>Alex Formenton</t>
  </si>
  <si>
    <t>John Quenneville</t>
  </si>
  <si>
    <t>Johnny Gaudreau</t>
  </si>
  <si>
    <t>Nikita Kucherov</t>
  </si>
  <si>
    <t>Trevor Daley</t>
  </si>
  <si>
    <t>Andy Miele</t>
  </si>
  <si>
    <t>Tyler Motte</t>
  </si>
  <si>
    <t>Daniel Sprong</t>
  </si>
  <si>
    <t>Otto Koivula</t>
  </si>
  <si>
    <t>Brandon Tanev</t>
  </si>
  <si>
    <t>Reid Boucher</t>
  </si>
  <si>
    <t>Marian Hossa</t>
  </si>
  <si>
    <t>Bryan Rust</t>
  </si>
  <si>
    <t>Steven Fogarty</t>
  </si>
  <si>
    <t>Nico Sturm</t>
  </si>
  <si>
    <t>Tomas Jurco</t>
  </si>
  <si>
    <t>Alex Nylander</t>
  </si>
  <si>
    <t>Ross Johnston</t>
  </si>
  <si>
    <t>Anthony Duclair</t>
  </si>
  <si>
    <t>Beau Bennett</t>
  </si>
  <si>
    <t>CJ Suess</t>
  </si>
  <si>
    <t>Alexander Volkov</t>
  </si>
  <si>
    <t>Joshua Ho-Sang</t>
  </si>
  <si>
    <t>Matt Luff</t>
  </si>
  <si>
    <t>Michael Mersch</t>
  </si>
  <si>
    <t>Liam O'Brien</t>
  </si>
  <si>
    <t>Seth Griffith</t>
  </si>
  <si>
    <t>Trevor Moore</t>
  </si>
  <si>
    <t>Daniel Carr</t>
  </si>
  <si>
    <t>Marian Gaborik</t>
  </si>
  <si>
    <t>Brett Ritchie</t>
  </si>
  <si>
    <t>Pontus Aberg</t>
  </si>
  <si>
    <t>Max Comtois</t>
  </si>
  <si>
    <t>Matthew Highmore</t>
  </si>
  <si>
    <t>Evgeny Svechnikov</t>
  </si>
  <si>
    <t>Jordan Nolan</t>
  </si>
  <si>
    <t>Tom Kuhnhackl</t>
  </si>
  <si>
    <t>Valentin Zykov</t>
  </si>
  <si>
    <t>Artemi Panarin</t>
  </si>
  <si>
    <t>Taro Hirose</t>
  </si>
  <si>
    <t>Matt Puempel</t>
  </si>
  <si>
    <t>Jayson Megna</t>
  </si>
  <si>
    <t>Dustin Byfuglien</t>
  </si>
  <si>
    <t>Rudolfs Balcers</t>
  </si>
  <si>
    <t>Dryden Hunt</t>
  </si>
  <si>
    <t>Tobias Bjornfot</t>
  </si>
  <si>
    <t>Nicholas Merkley</t>
  </si>
  <si>
    <t>Brogan Rafferty</t>
  </si>
  <si>
    <t>Shane Gersich</t>
  </si>
  <si>
    <t>Zach Whitecloud</t>
  </si>
  <si>
    <t>Alexandre Carrier</t>
  </si>
  <si>
    <t>Sheldon Rempal</t>
  </si>
  <si>
    <t>Matt Lorito</t>
  </si>
  <si>
    <t>Giovanni Fiore</t>
  </si>
  <si>
    <t>Mitch Reinke</t>
  </si>
  <si>
    <t>Jimmy Schuldt</t>
  </si>
  <si>
    <t>Vitaly Abramov</t>
  </si>
  <si>
    <t>Brandon Gignac</t>
  </si>
  <si>
    <t>Rem Pitlick</t>
  </si>
  <si>
    <t>Conor Timmins</t>
  </si>
  <si>
    <t>Anthony Greco</t>
  </si>
  <si>
    <t>Jake Bean</t>
  </si>
  <si>
    <t>Janne Kuokkanen</t>
  </si>
  <si>
    <t>Yakov Trenin</t>
  </si>
  <si>
    <t>Kristian Vesalainen</t>
  </si>
  <si>
    <t>Cameron Hughes</t>
  </si>
  <si>
    <t>Philip Holm</t>
  </si>
  <si>
    <t>Blake Speers</t>
  </si>
  <si>
    <t>Jacob MacDonald</t>
  </si>
  <si>
    <t>Mark Friedman</t>
  </si>
  <si>
    <t>Morgan Klimchuk</t>
  </si>
  <si>
    <t>Riley Barber</t>
  </si>
  <si>
    <t>Josh Jacobs</t>
  </si>
  <si>
    <t>Louie Belpedio</t>
  </si>
  <si>
    <t>Justin Kloos</t>
  </si>
  <si>
    <t>Max Veronneau</t>
  </si>
  <si>
    <t>Ben Gleason</t>
  </si>
  <si>
    <t>Colton White</t>
  </si>
  <si>
    <t>Brady Keeper</t>
  </si>
  <si>
    <t>Turner Elson</t>
  </si>
  <si>
    <t>Anton Wedin</t>
  </si>
  <si>
    <t>Tommy Cross</t>
  </si>
  <si>
    <t>Roland McKeown</t>
  </si>
  <si>
    <t>Guillaume Brisebois</t>
  </si>
  <si>
    <t>Jacob Middleton</t>
  </si>
  <si>
    <t>Jakub Zboril</t>
  </si>
  <si>
    <t>Dillon Simpson</t>
  </si>
  <si>
    <t>Owen Tippett</t>
  </si>
  <si>
    <t>Trevor Carrick</t>
  </si>
  <si>
    <t>Danil Yurtaykin</t>
  </si>
  <si>
    <t>Dan Renouf</t>
  </si>
  <si>
    <t>Dylan Sikura</t>
  </si>
  <si>
    <t>Ville Heinola</t>
  </si>
  <si>
    <t>Jonathan Davidsson</t>
  </si>
  <si>
    <t>Calle Rosen</t>
  </si>
  <si>
    <t>Patrick Sieloff</t>
  </si>
  <si>
    <t>Ryan Kuffner</t>
  </si>
  <si>
    <t>Keegan Lowe</t>
  </si>
  <si>
    <t>Josh Teves</t>
  </si>
  <si>
    <t>C.J. Smith</t>
  </si>
  <si>
    <t>Rasmus Sandin</t>
  </si>
  <si>
    <t>Beck Malenstyn</t>
  </si>
  <si>
    <t>Dakota Mermis</t>
  </si>
  <si>
    <t>Adam Boqvist</t>
  </si>
  <si>
    <t>Joel Persson</t>
  </si>
  <si>
    <t>Pierre Engvall</t>
  </si>
  <si>
    <t>Klim Kostin</t>
  </si>
  <si>
    <t>Martin Fehervary</t>
  </si>
  <si>
    <t>Daniel Brickley</t>
  </si>
  <si>
    <t>Evan Bouchard</t>
  </si>
  <si>
    <t>Victor Olofsson</t>
  </si>
  <si>
    <t>Michael Bunting</t>
  </si>
  <si>
    <t>Eeli Tolvanen</t>
  </si>
  <si>
    <t>Logan O'Connor</t>
  </si>
  <si>
    <t>Riley Stillman</t>
  </si>
  <si>
    <t>Joona Luoto</t>
  </si>
  <si>
    <t>Urho Vaakanainen</t>
  </si>
  <si>
    <t>Jake Bischoff</t>
  </si>
  <si>
    <t>Givani Smith</t>
  </si>
  <si>
    <t>Rinat Valiev</t>
  </si>
  <si>
    <t>Cameron Schilling</t>
  </si>
  <si>
    <t>Oliver Wahlstrom</t>
  </si>
  <si>
    <t>Lean Bergmann</t>
  </si>
  <si>
    <t>Erik Brannstrom</t>
  </si>
  <si>
    <t>Gavin Bayreuther</t>
  </si>
  <si>
    <t>David Warsofsky</t>
  </si>
  <si>
    <t>Kevin Roy</t>
  </si>
  <si>
    <t>Sami Niku</t>
  </si>
  <si>
    <t>William Borgen</t>
  </si>
  <si>
    <t>Nelson Nogier</t>
  </si>
  <si>
    <t>Kyle Capobianco</t>
  </si>
  <si>
    <t>Joel Farabee</t>
  </si>
  <si>
    <t>Dillon Heatherington</t>
  </si>
  <si>
    <t>Jack Rodewald</t>
  </si>
  <si>
    <t>Nicolas Aube-Kubel</t>
  </si>
  <si>
    <t>Jeremy Lauzon</t>
  </si>
  <si>
    <t>Gabriel Carlsson</t>
  </si>
  <si>
    <t>Adam Johnson</t>
  </si>
  <si>
    <t>Christian Wolanin</t>
  </si>
  <si>
    <t>Mike Liambas</t>
  </si>
  <si>
    <t>Mathieu Olivier</t>
  </si>
  <si>
    <t>Jordan Schmaltz</t>
  </si>
  <si>
    <t>Mark Alt</t>
  </si>
  <si>
    <t>Kole Sherwood</t>
  </si>
  <si>
    <t>Tim Gettinger</t>
  </si>
  <si>
    <t>Buddy Robinson</t>
  </si>
  <si>
    <t>Lawrence Pilut</t>
  </si>
  <si>
    <t>Tyrell Goulbourne</t>
  </si>
  <si>
    <t>Juuso Valimaki</t>
  </si>
  <si>
    <t>Ryan Lomberg</t>
  </si>
  <si>
    <t>Zack MacEwen</t>
  </si>
  <si>
    <t>Kailer Yamamoto</t>
  </si>
  <si>
    <t>Robbie Russo</t>
  </si>
  <si>
    <t>Dante Fabbro</t>
  </si>
  <si>
    <t>Tyler Wotherspoon</t>
  </si>
  <si>
    <t>Dennis Gilbert</t>
  </si>
  <si>
    <t>Samuel Morin</t>
  </si>
  <si>
    <t>Oliver Kylington</t>
  </si>
  <si>
    <t>Scott Sabourin</t>
  </si>
  <si>
    <t>Andreas Englund</t>
  </si>
  <si>
    <t>JC Lipon</t>
  </si>
  <si>
    <t>Chris Bigras</t>
  </si>
  <si>
    <t>Brendan Guhle</t>
  </si>
  <si>
    <t>Hudson Fasching</t>
  </si>
  <si>
    <t>Mason Appleton</t>
  </si>
  <si>
    <t>Joel Hanley</t>
  </si>
  <si>
    <t>Ashton Sautner</t>
  </si>
  <si>
    <t>Maxime Lajoie</t>
  </si>
  <si>
    <t>Gustav Olofsson</t>
  </si>
  <si>
    <t>Eric Robinson</t>
  </si>
  <si>
    <t>Jaycob Megna</t>
  </si>
  <si>
    <t>Joe Hicketts</t>
  </si>
  <si>
    <t>Christian Djoos</t>
  </si>
  <si>
    <t>Dean Kukan</t>
  </si>
  <si>
    <t>Taylor Fedun</t>
  </si>
  <si>
    <t>Cameron Gaunce</t>
  </si>
  <si>
    <t>Anton Blidh</t>
  </si>
  <si>
    <t>Paul Thompson</t>
  </si>
  <si>
    <t>Andy Welinski</t>
  </si>
  <si>
    <t>Jan Rutta</t>
  </si>
  <si>
    <t>Adam Clendening</t>
  </si>
  <si>
    <t>Brad Hunt</t>
  </si>
  <si>
    <t>TJ Brennan</t>
  </si>
  <si>
    <t>Justin Bailey</t>
  </si>
  <si>
    <t>Brett Lernout</t>
  </si>
  <si>
    <t>Philippe Myers</t>
  </si>
  <si>
    <t>Sean Walker</t>
  </si>
  <si>
    <t>Gustav Forsling</t>
  </si>
  <si>
    <t>Paul LaDue</t>
  </si>
  <si>
    <t>Matt Donovan</t>
  </si>
  <si>
    <t>Casey Nelson</t>
  </si>
  <si>
    <t>Jarred Tinordi</t>
  </si>
  <si>
    <t>Radim Simek</t>
  </si>
  <si>
    <t>Seth Helgeson</t>
  </si>
  <si>
    <t>Kurtis Gabriel</t>
  </si>
  <si>
    <t>Juuso Riikola</t>
  </si>
  <si>
    <t>Ian McCoshen</t>
  </si>
  <si>
    <t>Martin Frk</t>
  </si>
  <si>
    <t>Christian Jaros</t>
  </si>
  <si>
    <t>Noah Juulsen</t>
  </si>
  <si>
    <t>Andreas Borgman</t>
  </si>
  <si>
    <t>Kevin Gravel</t>
  </si>
  <si>
    <t>Brian Lashoff</t>
  </si>
  <si>
    <t>Oscar Fantenberg</t>
  </si>
  <si>
    <t>Kurtis MacDermid</t>
  </si>
  <si>
    <t>Anton Lindholm</t>
  </si>
  <si>
    <t>Slater Koekkoek</t>
  </si>
  <si>
    <t>Trevor van Riemsdyk</t>
  </si>
  <si>
    <t>Jordan Oesterle</t>
  </si>
  <si>
    <t>Zach Trotman</t>
  </si>
  <si>
    <t>Mirco Mueller</t>
  </si>
  <si>
    <t>Xavier Ouellet</t>
  </si>
  <si>
    <t>Ryan Murray</t>
  </si>
  <si>
    <t>Dylan McIlrath</t>
  </si>
  <si>
    <t>Scott Harrington</t>
  </si>
  <si>
    <t>Ben Harpur</t>
  </si>
  <si>
    <t>Chris Wideman</t>
  </si>
  <si>
    <t>Brett Kulak</t>
  </si>
  <si>
    <t>Zach Werenski</t>
  </si>
  <si>
    <t>Christopher Tanev</t>
  </si>
  <si>
    <t>Matt Tennyson</t>
  </si>
  <si>
    <t>Joe Morrow</t>
  </si>
  <si>
    <t>Ilya Lyubushkin</t>
  </si>
  <si>
    <t>Chad Ruhwedel</t>
  </si>
  <si>
    <t>Connor Carrick</t>
  </si>
  <si>
    <t>Derrick Pouliot</t>
  </si>
  <si>
    <t>Ben Hutton</t>
  </si>
  <si>
    <t>Michal Kempny</t>
  </si>
  <si>
    <t>Jake Dotchin</t>
  </si>
  <si>
    <t>Neal Pionk</t>
  </si>
  <si>
    <t>Nate Prosser</t>
  </si>
  <si>
    <t>TJ Brodie</t>
  </si>
  <si>
    <t>Brandon Davidson</t>
  </si>
  <si>
    <t>Nate Schmidt</t>
  </si>
  <si>
    <t>Steven Santini</t>
  </si>
  <si>
    <t>Troy Stecher</t>
  </si>
  <si>
    <t>Scott Mayfield</t>
  </si>
  <si>
    <t>Jon Merrill</t>
  </si>
  <si>
    <t>Fredrik Claesson</t>
  </si>
  <si>
    <t>Brian Strait</t>
  </si>
  <si>
    <t>Damon Severson</t>
  </si>
  <si>
    <t>Niklas Hjalmarsson</t>
  </si>
  <si>
    <t>Stephen Johns</t>
  </si>
  <si>
    <t>Matt Benning</t>
  </si>
  <si>
    <t>Morgan Rielly</t>
  </si>
  <si>
    <t>Brandon Manning</t>
  </si>
  <si>
    <t>Matt Irwin</t>
  </si>
  <si>
    <t>Jake McCabe</t>
  </si>
  <si>
    <t>Colton Parayko</t>
  </si>
  <si>
    <t>Nikita Zaitsev</t>
  </si>
  <si>
    <t>Matt Bartkowski</t>
  </si>
  <si>
    <t>Danny DeKeyser</t>
  </si>
  <si>
    <t>Olli Maatta</t>
  </si>
  <si>
    <t>Seth Jones</t>
  </si>
  <si>
    <t>Kevin Connauton</t>
  </si>
  <si>
    <t>Alex Biega</t>
  </si>
  <si>
    <t>Marco Scandella</t>
  </si>
  <si>
    <t>Marc-Edouard Vlasic</t>
  </si>
  <si>
    <t>Greg Pateryn</t>
  </si>
  <si>
    <t>Matt Hunwick</t>
  </si>
  <si>
    <t>John Moore</t>
  </si>
  <si>
    <t>Ben Chiarot</t>
  </si>
  <si>
    <t>Alexander Petrovic</t>
  </si>
  <si>
    <t>Darnell Nurse</t>
  </si>
  <si>
    <t>Jacob Trouba</t>
  </si>
  <si>
    <t>Kevan Miller</t>
  </si>
  <si>
    <t>Andy Greene</t>
  </si>
  <si>
    <t>Josh Manson</t>
  </si>
  <si>
    <t>Karl Alzner</t>
  </si>
  <si>
    <t>Connor Murphy</t>
  </si>
  <si>
    <t>Nick Holden</t>
  </si>
  <si>
    <t>Mark Giordano</t>
  </si>
  <si>
    <t>Zach Bogosian</t>
  </si>
  <si>
    <t>Brenden Dillon</t>
  </si>
  <si>
    <t>V2</t>
  </si>
  <si>
    <t>aggHits</t>
  </si>
  <si>
    <t>NHL_GP</t>
  </si>
  <si>
    <t>V17</t>
  </si>
  <si>
    <t>aggShots</t>
  </si>
  <si>
    <t>NHL_Hits_82</t>
  </si>
  <si>
    <t>NHL_S_82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</si>
</sst>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.6"/>
      <color rgb="FF990000"/>
      <name val="Verdana"/>
      <family val="2"/>
    </font>
    <font>
      <b/>
      <sz val="8.6"/>
      <color theme="1"/>
      <name val="Verdana"/>
      <family val="2"/>
    </font>
    <font>
      <sz val="9"/>
      <color rgb="FF000000"/>
      <name val="Inherit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/>
      <top style="medium">
        <color rgb="FF747678"/>
      </top>
      <bottom style="medium">
        <color rgb="FF747678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/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/>
      <right style="medium">
        <color rgb="FF747678"/>
      </right>
      <top/>
      <bottom style="medium">
        <color rgb="FF747678"/>
      </bottom>
      <diagonal/>
    </border>
    <border>
      <left style="medium">
        <color rgb="FFAAAAAA"/>
      </left>
      <right/>
      <top style="medium">
        <color rgb="FF747678"/>
      </top>
      <bottom style="medium">
        <color rgb="FF747678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0" fontId="3" fillId="4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right" vertical="center"/>
    </xf>
    <xf numFmtId="0" fontId="0" fillId="3" borderId="10" xfId="0" applyFill="1" applyBorder="1"/>
    <xf numFmtId="1" fontId="0" fillId="0" borderId="0" xfId="0" applyNumberFormat="1"/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right" vertical="center"/>
    </xf>
    <xf numFmtId="20" fontId="4" fillId="4" borderId="4" xfId="0" applyNumberFormat="1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left" vertical="center"/>
    </xf>
    <xf numFmtId="0" fontId="0" fillId="0" borderId="1" xfId="0" applyFill="1" applyBorder="1"/>
    <xf numFmtId="1" fontId="0" fillId="0" borderId="0" xfId="0" applyNumberFormat="1" applyFill="1" applyBorder="1"/>
    <xf numFmtId="1" fontId="0" fillId="0" borderId="0" xfId="0" applyNumberFormat="1" applyBorder="1"/>
    <xf numFmtId="2" fontId="0" fillId="0" borderId="0" xfId="0" applyNumberFormat="1"/>
    <xf numFmtId="0" fontId="5" fillId="0" borderId="0" xfId="0" applyFont="1" applyAlignment="1">
      <alignment vertical="center" wrapText="1"/>
    </xf>
    <xf numFmtId="0" fontId="6" fillId="0" borderId="0" xfId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5" fillId="0" borderId="12" xfId="0" applyNumberFormat="1" applyFont="1" applyBorder="1" applyAlignment="1">
      <alignment horizontal="center" vertical="center" wrapText="1"/>
    </xf>
    <xf numFmtId="46" fontId="5" fillId="0" borderId="12" xfId="0" applyNumberFormat="1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hl.com/player/Artemi-Panarin-8478550" TargetMode="External"/><Relationship Id="rId671" Type="http://schemas.openxmlformats.org/officeDocument/2006/relationships/hyperlink" Target="https://www.nhl.com/player/Adam-Fox-8479323" TargetMode="External"/><Relationship Id="rId769" Type="http://schemas.openxmlformats.org/officeDocument/2006/relationships/hyperlink" Target="https://www.nhl.com/player/Caleb-Jones-8478452" TargetMode="External"/><Relationship Id="rId976" Type="http://schemas.openxmlformats.org/officeDocument/2006/relationships/hyperlink" Target="https://www.nhl.com/player/Guillaume-Brisebois-8478465" TargetMode="External"/><Relationship Id="rId21" Type="http://schemas.openxmlformats.org/officeDocument/2006/relationships/hyperlink" Target="https://www.nhl.com/player/Marian-Hossa-8466148" TargetMode="External"/><Relationship Id="rId324" Type="http://schemas.openxmlformats.org/officeDocument/2006/relationships/hyperlink" Target="https://www.nhl.com/player/Nick-Schmaltz-8477951" TargetMode="External"/><Relationship Id="rId531" Type="http://schemas.openxmlformats.org/officeDocument/2006/relationships/hyperlink" Target="https://www.nhl.com/player/Matt-Grzelcyk-8476891" TargetMode="External"/><Relationship Id="rId629" Type="http://schemas.openxmlformats.org/officeDocument/2006/relationships/hyperlink" Target="https://www.nhl.com/player/Slater-Koekkoek-8476886" TargetMode="External"/><Relationship Id="rId170" Type="http://schemas.openxmlformats.org/officeDocument/2006/relationships/hyperlink" Target="https://www.nhl.com/player/Jakob-Silfverberg-8475164" TargetMode="External"/><Relationship Id="rId836" Type="http://schemas.openxmlformats.org/officeDocument/2006/relationships/hyperlink" Target="https://www.nhl.com/player/Cameron-Gaunce-8474611" TargetMode="External"/><Relationship Id="rId1021" Type="http://schemas.openxmlformats.org/officeDocument/2006/relationships/hyperlink" Target="https://www.nhl.com/player/Jack-Rodewald-8478268" TargetMode="External"/><Relationship Id="rId268" Type="http://schemas.openxmlformats.org/officeDocument/2006/relationships/hyperlink" Target="https://www.nhl.com/player/Dmitry-Orlov-8475200" TargetMode="External"/><Relationship Id="rId475" Type="http://schemas.openxmlformats.org/officeDocument/2006/relationships/hyperlink" Target="https://www.nhl.com/player/Derek-Grant-8474683" TargetMode="External"/><Relationship Id="rId682" Type="http://schemas.openxmlformats.org/officeDocument/2006/relationships/hyperlink" Target="https://www.nhl.com/player/Luke-Witkowski-8474722" TargetMode="External"/><Relationship Id="rId903" Type="http://schemas.openxmlformats.org/officeDocument/2006/relationships/hyperlink" Target="https://www.nhl.com/player/Scott-Sabourin-8477149" TargetMode="External"/><Relationship Id="rId32" Type="http://schemas.openxmlformats.org/officeDocument/2006/relationships/hyperlink" Target="https://www.nhl.com/player/Dustin-Brown-8470606" TargetMode="External"/><Relationship Id="rId128" Type="http://schemas.openxmlformats.org/officeDocument/2006/relationships/hyperlink" Target="https://www.nhl.com/player/Jaden-Schwartz-8475768" TargetMode="External"/><Relationship Id="rId335" Type="http://schemas.openxmlformats.org/officeDocument/2006/relationships/hyperlink" Target="https://www.nhl.com/player/Radek-Faksa-8476889" TargetMode="External"/><Relationship Id="rId542" Type="http://schemas.openxmlformats.org/officeDocument/2006/relationships/hyperlink" Target="https://www.nhl.com/player/Zach-Sanford-8477482" TargetMode="External"/><Relationship Id="rId987" Type="http://schemas.openxmlformats.org/officeDocument/2006/relationships/hyperlink" Target="https://www.nhl.com/player/Trevor-Carrick-8476953" TargetMode="External"/><Relationship Id="rId181" Type="http://schemas.openxmlformats.org/officeDocument/2006/relationships/hyperlink" Target="https://www.nhl.com/player/Nick-Bonino-8474009" TargetMode="External"/><Relationship Id="rId402" Type="http://schemas.openxmlformats.org/officeDocument/2006/relationships/hyperlink" Target="https://www.nhl.com/player/Ryan-Pulock-8477506" TargetMode="External"/><Relationship Id="rId847" Type="http://schemas.openxmlformats.org/officeDocument/2006/relationships/hyperlink" Target="https://www.nhl.com/player/Joe-Hicketts-8478176" TargetMode="External"/><Relationship Id="rId1032" Type="http://schemas.openxmlformats.org/officeDocument/2006/relationships/hyperlink" Target="https://www.nhl.com/player/Dakota-Mermis-8477541" TargetMode="External"/><Relationship Id="rId279" Type="http://schemas.openxmlformats.org/officeDocument/2006/relationships/hyperlink" Target="https://www.nhl.com/player/Riley-Nash-8474062" TargetMode="External"/><Relationship Id="rId486" Type="http://schemas.openxmlformats.org/officeDocument/2006/relationships/hyperlink" Target="https://www.nhl.com/player/Chris-Wagner-8475780" TargetMode="External"/><Relationship Id="rId693" Type="http://schemas.openxmlformats.org/officeDocument/2006/relationships/hyperlink" Target="https://www.nhl.com/player/Tyler-Graovac-8476344" TargetMode="External"/><Relationship Id="rId707" Type="http://schemas.openxmlformats.org/officeDocument/2006/relationships/hyperlink" Target="https://www.nhl.com/player/Tucker-Poolman-8477359" TargetMode="External"/><Relationship Id="rId914" Type="http://schemas.openxmlformats.org/officeDocument/2006/relationships/hyperlink" Target="https://www.nhl.com/player/Andy-Miele-8476206" TargetMode="External"/><Relationship Id="rId43" Type="http://schemas.openxmlformats.org/officeDocument/2006/relationships/hyperlink" Target="https://www.nhl.com/player/Ryan-Suter-8470600" TargetMode="External"/><Relationship Id="rId139" Type="http://schemas.openxmlformats.org/officeDocument/2006/relationships/hyperlink" Target="https://www.nhl.com/player/Marc-Edouard-Vlasic-8471709" TargetMode="External"/><Relationship Id="rId346" Type="http://schemas.openxmlformats.org/officeDocument/2006/relationships/hyperlink" Target="https://www.nhl.com/player/Nico-Hischier-8480002" TargetMode="External"/><Relationship Id="rId553" Type="http://schemas.openxmlformats.org/officeDocument/2006/relationships/hyperlink" Target="https://www.nhl.com/player/Roope-Hintz-8478449" TargetMode="External"/><Relationship Id="rId760" Type="http://schemas.openxmlformats.org/officeDocument/2006/relationships/hyperlink" Target="https://www.nhl.com/player/Aaron-Ness-8474604" TargetMode="External"/><Relationship Id="rId998" Type="http://schemas.openxmlformats.org/officeDocument/2006/relationships/hyperlink" Target="https://www.nhl.com/player/Ryan-Kuffner-8481426" TargetMode="External"/><Relationship Id="rId192" Type="http://schemas.openxmlformats.org/officeDocument/2006/relationships/hyperlink" Target="https://www.nhl.com/player/Bo-Horvat-8477500" TargetMode="External"/><Relationship Id="rId206" Type="http://schemas.openxmlformats.org/officeDocument/2006/relationships/hyperlink" Target="https://www.nhl.com/player/Darren-Helm-8471794" TargetMode="External"/><Relationship Id="rId413" Type="http://schemas.openxmlformats.org/officeDocument/2006/relationships/hyperlink" Target="https://www.nhl.com/player/Adrian-Kempe-8477960" TargetMode="External"/><Relationship Id="rId858" Type="http://schemas.openxmlformats.org/officeDocument/2006/relationships/hyperlink" Target="https://www.nhl.com/player/Seth-Helgeson-8475274" TargetMode="External"/><Relationship Id="rId497" Type="http://schemas.openxmlformats.org/officeDocument/2006/relationships/hyperlink" Target="https://www.nhl.com/player/Derek-Forbort-8475762" TargetMode="External"/><Relationship Id="rId620" Type="http://schemas.openxmlformats.org/officeDocument/2006/relationships/hyperlink" Target="https://www.nhl.com/player/John-Hayden-8477401" TargetMode="External"/><Relationship Id="rId718" Type="http://schemas.openxmlformats.org/officeDocument/2006/relationships/hyperlink" Target="https://www.nhl.com/player/Sam-Lafferty-8478043" TargetMode="External"/><Relationship Id="rId925" Type="http://schemas.openxmlformats.org/officeDocument/2006/relationships/hyperlink" Target="https://www.nhl.com/player/Vitaly-Abramov-8479411" TargetMode="External"/><Relationship Id="rId357" Type="http://schemas.openxmlformats.org/officeDocument/2006/relationships/hyperlink" Target="https://www.nhl.com/player/Melker-Karlsson-8477922" TargetMode="External"/><Relationship Id="rId54" Type="http://schemas.openxmlformats.org/officeDocument/2006/relationships/hyperlink" Target="https://www.nhl.com/player/Zdeno-Chara-8465009" TargetMode="External"/><Relationship Id="rId217" Type="http://schemas.openxmlformats.org/officeDocument/2006/relationships/hyperlink" Target="https://www.nhl.com/player/Brian-Boyle-8470619" TargetMode="External"/><Relationship Id="rId564" Type="http://schemas.openxmlformats.org/officeDocument/2006/relationships/hyperlink" Target="https://www.nhl.com/player/Jacob-de%20la%20Rose-8477455" TargetMode="External"/><Relationship Id="rId771" Type="http://schemas.openxmlformats.org/officeDocument/2006/relationships/hyperlink" Target="https://www.nhl.com/player/Andy-Welinski-8476407" TargetMode="External"/><Relationship Id="rId869" Type="http://schemas.openxmlformats.org/officeDocument/2006/relationships/hyperlink" Target="https://www.nhl.com/player/Eric-Robinson-8480762" TargetMode="External"/><Relationship Id="rId424" Type="http://schemas.openxmlformats.org/officeDocument/2006/relationships/hyperlink" Target="https://www.nhl.com/player/Ben-Hutton-8477018" TargetMode="External"/><Relationship Id="rId631" Type="http://schemas.openxmlformats.org/officeDocument/2006/relationships/hyperlink" Target="https://www.nhl.com/player/Gemel-Smith-8476966" TargetMode="External"/><Relationship Id="rId729" Type="http://schemas.openxmlformats.org/officeDocument/2006/relationships/hyperlink" Target="https://www.nhl.com/player/Gabriel-Dumont-8475254" TargetMode="External"/><Relationship Id="rId270" Type="http://schemas.openxmlformats.org/officeDocument/2006/relationships/hyperlink" Target="https://www.nhl.com/player/Jean-Gabriel-Pageau-8476419" TargetMode="External"/><Relationship Id="rId936" Type="http://schemas.openxmlformats.org/officeDocument/2006/relationships/hyperlink" Target="https://www.nhl.com/player/Jack-Studnicka-8480021" TargetMode="External"/><Relationship Id="rId65" Type="http://schemas.openxmlformats.org/officeDocument/2006/relationships/hyperlink" Target="https://www.nhl.com/player/Kyle-Okposo-8473449" TargetMode="External"/><Relationship Id="rId130" Type="http://schemas.openxmlformats.org/officeDocument/2006/relationships/hyperlink" Target="https://www.nhl.com/player/Mika-Zibanejad-8476459" TargetMode="External"/><Relationship Id="rId368" Type="http://schemas.openxmlformats.org/officeDocument/2006/relationships/hyperlink" Target="https://www.nhl.com/player/Nick-Ritchie-8477941" TargetMode="External"/><Relationship Id="rId575" Type="http://schemas.openxmlformats.org/officeDocument/2006/relationships/hyperlink" Target="https://www.nhl.com/player/Michael-Amadio-8478020" TargetMode="External"/><Relationship Id="rId782" Type="http://schemas.openxmlformats.org/officeDocument/2006/relationships/hyperlink" Target="https://www.nhl.com/player/Gaetan-Haas-8481813" TargetMode="External"/><Relationship Id="rId228" Type="http://schemas.openxmlformats.org/officeDocument/2006/relationships/hyperlink" Target="https://www.nhl.com/player/Jonathan-Drouin-8477494" TargetMode="External"/><Relationship Id="rId435" Type="http://schemas.openxmlformats.org/officeDocument/2006/relationships/hyperlink" Target="https://www.nhl.com/player/Kasperi-Kapanen-8477953" TargetMode="External"/><Relationship Id="rId642" Type="http://schemas.openxmlformats.org/officeDocument/2006/relationships/hyperlink" Target="https://www.nhl.com/player/Henrik-Borgstrom-8479404" TargetMode="External"/><Relationship Id="rId281" Type="http://schemas.openxmlformats.org/officeDocument/2006/relationships/hyperlink" Target="https://www.nhl.com/player/Ryan-Dzingel-8476288" TargetMode="External"/><Relationship Id="rId502" Type="http://schemas.openxmlformats.org/officeDocument/2006/relationships/hyperlink" Target="https://www.nhl.com/player/Alexander-Petrovic-8475755" TargetMode="External"/><Relationship Id="rId947" Type="http://schemas.openxmlformats.org/officeDocument/2006/relationships/hyperlink" Target="https://www.nhl.com/player/Tim-Gettinger-8479364" TargetMode="External"/><Relationship Id="rId76" Type="http://schemas.openxmlformats.org/officeDocument/2006/relationships/hyperlink" Target="https://www.nhl.com/player/James-van%20Riemsdyk-8474037" TargetMode="External"/><Relationship Id="rId141" Type="http://schemas.openxmlformats.org/officeDocument/2006/relationships/hyperlink" Target="https://www.nhl.com/player/Mathieu-Perreault-8473618" TargetMode="External"/><Relationship Id="rId379" Type="http://schemas.openxmlformats.org/officeDocument/2006/relationships/hyperlink" Target="https://www.nhl.com/player/Brendan-Smith-8474090" TargetMode="External"/><Relationship Id="rId586" Type="http://schemas.openxmlformats.org/officeDocument/2006/relationships/hyperlink" Target="https://www.nhl.com/player/Brian-Strait-8473565" TargetMode="External"/><Relationship Id="rId793" Type="http://schemas.openxmlformats.org/officeDocument/2006/relationships/hyperlink" Target="https://www.nhl.com/player/Filip-Zadina-8480821" TargetMode="External"/><Relationship Id="rId807" Type="http://schemas.openxmlformats.org/officeDocument/2006/relationships/hyperlink" Target="https://www.nhl.com/player/Dillon-Dube-8479346" TargetMode="External"/><Relationship Id="rId7" Type="http://schemas.openxmlformats.org/officeDocument/2006/relationships/hyperlink" Target="https://www.nhl.com/player/Ryan-Getzlaf-8470612" TargetMode="External"/><Relationship Id="rId239" Type="http://schemas.openxmlformats.org/officeDocument/2006/relationships/hyperlink" Target="https://www.nhl.com/player/Alec-Martinez-8474166" TargetMode="External"/><Relationship Id="rId446" Type="http://schemas.openxmlformats.org/officeDocument/2006/relationships/hyperlink" Target="https://www.nhl.com/player/Nikita-Zadorov-8477507" TargetMode="External"/><Relationship Id="rId653" Type="http://schemas.openxmlformats.org/officeDocument/2006/relationships/hyperlink" Target="https://www.nhl.com/player/Erik-Cernak-8478416" TargetMode="External"/><Relationship Id="rId292" Type="http://schemas.openxmlformats.org/officeDocument/2006/relationships/hyperlink" Target="https://www.nhl.com/player/Joonas-Donskoi-8475820" TargetMode="External"/><Relationship Id="rId306" Type="http://schemas.openxmlformats.org/officeDocument/2006/relationships/hyperlink" Target="https://www.nhl.com/player/Micheal-Ferland-8475907" TargetMode="External"/><Relationship Id="rId860" Type="http://schemas.openxmlformats.org/officeDocument/2006/relationships/hyperlink" Target="https://www.nhl.com/player/Sebastian-Aho-8480222" TargetMode="External"/><Relationship Id="rId958" Type="http://schemas.openxmlformats.org/officeDocument/2006/relationships/hyperlink" Target="https://www.nhl.com/player/Ben-Gleason-8479416" TargetMode="External"/><Relationship Id="rId87" Type="http://schemas.openxmlformats.org/officeDocument/2006/relationships/hyperlink" Target="https://www.nhl.com/player/Connor-McDavid-8478402" TargetMode="External"/><Relationship Id="rId513" Type="http://schemas.openxmlformats.org/officeDocument/2006/relationships/hyperlink" Target="https://www.nhl.com/player/Joel-Eriksson%20Ek-8478493" TargetMode="External"/><Relationship Id="rId597" Type="http://schemas.openxmlformats.org/officeDocument/2006/relationships/hyperlink" Target="https://www.nhl.com/player/Cale-Makar-8480069" TargetMode="External"/><Relationship Id="rId720" Type="http://schemas.openxmlformats.org/officeDocument/2006/relationships/hyperlink" Target="https://www.nhl.com/player/Joel-Farabee-8480797" TargetMode="External"/><Relationship Id="rId818" Type="http://schemas.openxmlformats.org/officeDocument/2006/relationships/hyperlink" Target="https://www.nhl.com/player/Dylan-Gambrell-8479580" TargetMode="External"/><Relationship Id="rId152" Type="http://schemas.openxmlformats.org/officeDocument/2006/relationships/hyperlink" Target="https://www.nhl.com/player/Ron-Hainsey-8468493" TargetMode="External"/><Relationship Id="rId457" Type="http://schemas.openxmlformats.org/officeDocument/2006/relationships/hyperlink" Target="https://www.nhl.com/player/Brady-Tkachuk-8480801" TargetMode="External"/><Relationship Id="rId1003" Type="http://schemas.openxmlformats.org/officeDocument/2006/relationships/hyperlink" Target="https://www.nhl.com/player/Kyle-Criscuolo-8479304" TargetMode="External"/><Relationship Id="rId664" Type="http://schemas.openxmlformats.org/officeDocument/2006/relationships/hyperlink" Target="https://www.nhl.com/player/Maxime-Lajoie-8479320" TargetMode="External"/><Relationship Id="rId871" Type="http://schemas.openxmlformats.org/officeDocument/2006/relationships/hyperlink" Target="https://www.nhl.com/player/C.J.-Smith-8480083" TargetMode="External"/><Relationship Id="rId969" Type="http://schemas.openxmlformats.org/officeDocument/2006/relationships/hyperlink" Target="https://www.nhl.com/player/Tyrell-Goulbourne-8477399" TargetMode="External"/><Relationship Id="rId14" Type="http://schemas.openxmlformats.org/officeDocument/2006/relationships/hyperlink" Target="https://www.nhl.com/player/Patrice-Bergeron-8470638" TargetMode="External"/><Relationship Id="rId317" Type="http://schemas.openxmlformats.org/officeDocument/2006/relationships/hyperlink" Target="https://www.nhl.com/player/Tobias-Rieder-8476356" TargetMode="External"/><Relationship Id="rId524" Type="http://schemas.openxmlformats.org/officeDocument/2006/relationships/hyperlink" Target="https://www.nhl.com/player/Mark-Borowiecki-8474697" TargetMode="External"/><Relationship Id="rId731" Type="http://schemas.openxmlformats.org/officeDocument/2006/relationships/hyperlink" Target="https://www.nhl.com/player/Christoffer-Ehn-8478036" TargetMode="External"/><Relationship Id="rId98" Type="http://schemas.openxmlformats.org/officeDocument/2006/relationships/hyperlink" Target="https://www.nhl.com/player/Jonathan-Huberdeau-8476456" TargetMode="External"/><Relationship Id="rId163" Type="http://schemas.openxmlformats.org/officeDocument/2006/relationships/hyperlink" Target="https://www.nhl.com/player/Cam-Fowler-8475764" TargetMode="External"/><Relationship Id="rId370" Type="http://schemas.openxmlformats.org/officeDocument/2006/relationships/hyperlink" Target="https://www.nhl.com/player/Brady-Skjei-8476869" TargetMode="External"/><Relationship Id="rId829" Type="http://schemas.openxmlformats.org/officeDocument/2006/relationships/hyperlink" Target="https://www.nhl.com/player/Karson-Kuhlman-8480901" TargetMode="External"/><Relationship Id="rId1014" Type="http://schemas.openxmlformats.org/officeDocument/2006/relationships/hyperlink" Target="https://www.nhl.com/player/Morgan-Klimchuk-8477449" TargetMode="External"/><Relationship Id="rId230" Type="http://schemas.openxmlformats.org/officeDocument/2006/relationships/hyperlink" Target="https://www.nhl.com/player/Nick-Bjugstad-8475760" TargetMode="External"/><Relationship Id="rId468" Type="http://schemas.openxmlformats.org/officeDocument/2006/relationships/hyperlink" Target="https://www.nhl.com/player/Tyson-Jost-8479370" TargetMode="External"/><Relationship Id="rId675" Type="http://schemas.openxmlformats.org/officeDocument/2006/relationships/hyperlink" Target="https://www.nhl.com/player/Brian-Lashoff-8474873" TargetMode="External"/><Relationship Id="rId882" Type="http://schemas.openxmlformats.org/officeDocument/2006/relationships/hyperlink" Target="https://www.nhl.com/player/Mikhail-Vorobyev-8478844" TargetMode="External"/><Relationship Id="rId25" Type="http://schemas.openxmlformats.org/officeDocument/2006/relationships/hyperlink" Target="https://www.nhl.com/player/Paul-Stastny-8471669" TargetMode="External"/><Relationship Id="rId328" Type="http://schemas.openxmlformats.org/officeDocument/2006/relationships/hyperlink" Target="https://www.nhl.com/player/Danny-DeKeyser-8477215" TargetMode="External"/><Relationship Id="rId535" Type="http://schemas.openxmlformats.org/officeDocument/2006/relationships/hyperlink" Target="https://www.nhl.com/player/Charles-Hudon-8476948" TargetMode="External"/><Relationship Id="rId742" Type="http://schemas.openxmlformats.org/officeDocument/2006/relationships/hyperlink" Target="https://www.nhl.com/player/Frederick-Gaudreau-8477919" TargetMode="External"/><Relationship Id="rId174" Type="http://schemas.openxmlformats.org/officeDocument/2006/relationships/hyperlink" Target="https://www.nhl.com/player/Brandon-Sutter-8474091" TargetMode="External"/><Relationship Id="rId381" Type="http://schemas.openxmlformats.org/officeDocument/2006/relationships/hyperlink" Target="https://www.nhl.com/player/Ryan-Hartman-8477451" TargetMode="External"/><Relationship Id="rId602" Type="http://schemas.openxmlformats.org/officeDocument/2006/relationships/hyperlink" Target="https://www.nhl.com/player/Greg-McKegg-8475735" TargetMode="External"/><Relationship Id="rId1025" Type="http://schemas.openxmlformats.org/officeDocument/2006/relationships/hyperlink" Target="https://www.nhl.com/player/Kevin-Stenlund-8478831" TargetMode="External"/><Relationship Id="rId241" Type="http://schemas.openxmlformats.org/officeDocument/2006/relationships/hyperlink" Target="https://www.nhl.com/player/Zach-Bogosian-8474567" TargetMode="External"/><Relationship Id="rId479" Type="http://schemas.openxmlformats.org/officeDocument/2006/relationships/hyperlink" Target="https://www.nhl.com/player/Tim-Schaller-8477213" TargetMode="External"/><Relationship Id="rId686" Type="http://schemas.openxmlformats.org/officeDocument/2006/relationships/hyperlink" Target="https://www.nhl.com/player/Jonny-Brodzinski-8477380" TargetMode="External"/><Relationship Id="rId893" Type="http://schemas.openxmlformats.org/officeDocument/2006/relationships/hyperlink" Target="https://www.nhl.com/player/Gerald-Mayhew-8479933" TargetMode="External"/><Relationship Id="rId907" Type="http://schemas.openxmlformats.org/officeDocument/2006/relationships/hyperlink" Target="https://www.nhl.com/player/Nick-Caamano-8479381" TargetMode="External"/><Relationship Id="rId36" Type="http://schemas.openxmlformats.org/officeDocument/2006/relationships/hyperlink" Target="https://www.nhl.com/player/Brad-Marchand-8473419" TargetMode="External"/><Relationship Id="rId339" Type="http://schemas.openxmlformats.org/officeDocument/2006/relationships/hyperlink" Target="https://www.nhl.com/player/Nate-Schmidt-8477220" TargetMode="External"/><Relationship Id="rId546" Type="http://schemas.openxmlformats.org/officeDocument/2006/relationships/hyperlink" Target="https://www.nhl.com/player/Josh-Archibald-8476326" TargetMode="External"/><Relationship Id="rId753" Type="http://schemas.openxmlformats.org/officeDocument/2006/relationships/hyperlink" Target="https://www.nhl.com/player/Jean-Sebastien-Dea-8477520" TargetMode="External"/><Relationship Id="rId101" Type="http://schemas.openxmlformats.org/officeDocument/2006/relationships/hyperlink" Target="https://www.nhl.com/player/Ryan-Callahan-8471339" TargetMode="External"/><Relationship Id="rId185" Type="http://schemas.openxmlformats.org/officeDocument/2006/relationships/hyperlink" Target="https://www.nhl.com/player/Vincent-Trocheck-8476389" TargetMode="External"/><Relationship Id="rId406" Type="http://schemas.openxmlformats.org/officeDocument/2006/relationships/hyperlink" Target="https://www.nhl.com/player/Ondrej-Kase-8478131" TargetMode="External"/><Relationship Id="rId960" Type="http://schemas.openxmlformats.org/officeDocument/2006/relationships/hyperlink" Target="https://www.nhl.com/player/Brogan-Rafferty-8481479" TargetMode="External"/><Relationship Id="rId392" Type="http://schemas.openxmlformats.org/officeDocument/2006/relationships/hyperlink" Target="https://www.nhl.com/player/Yannick-Weber-8474134" TargetMode="External"/><Relationship Id="rId613" Type="http://schemas.openxmlformats.org/officeDocument/2006/relationships/hyperlink" Target="https://www.nhl.com/player/Korbinian-Holzer-8473560" TargetMode="External"/><Relationship Id="rId697" Type="http://schemas.openxmlformats.org/officeDocument/2006/relationships/hyperlink" Target="https://www.nhl.com/player/Kaapo-Kakko-8481554" TargetMode="External"/><Relationship Id="rId820" Type="http://schemas.openxmlformats.org/officeDocument/2006/relationships/hyperlink" Target="https://www.nhl.com/player/A.J.-Greer-8478421" TargetMode="External"/><Relationship Id="rId918" Type="http://schemas.openxmlformats.org/officeDocument/2006/relationships/hyperlink" Target="https://www.nhl.com/player/Noah-Dobson-8480865" TargetMode="External"/><Relationship Id="rId252" Type="http://schemas.openxmlformats.org/officeDocument/2006/relationships/hyperlink" Target="https://www.nhl.com/player/Marc-Staal-8471686" TargetMode="External"/><Relationship Id="rId47" Type="http://schemas.openxmlformats.org/officeDocument/2006/relationships/hyperlink" Target="https://www.nhl.com/player/T.J.-Oshie-8471698" TargetMode="External"/><Relationship Id="rId112" Type="http://schemas.openxmlformats.org/officeDocument/2006/relationships/hyperlink" Target="https://www.nhl.com/player/Evgeny-Kuznetsov-8475744" TargetMode="External"/><Relationship Id="rId557" Type="http://schemas.openxmlformats.org/officeDocument/2006/relationships/hyperlink" Target="https://www.nhl.com/player/Travis-Dermott-8478408" TargetMode="External"/><Relationship Id="rId764" Type="http://schemas.openxmlformats.org/officeDocument/2006/relationships/hyperlink" Target="https://www.nhl.com/player/Alexandre-Fortin-8479657" TargetMode="External"/><Relationship Id="rId971" Type="http://schemas.openxmlformats.org/officeDocument/2006/relationships/hyperlink" Target="https://www.nhl.com/player/Oliver-Wahlstrom-8480789" TargetMode="External"/><Relationship Id="rId196" Type="http://schemas.openxmlformats.org/officeDocument/2006/relationships/hyperlink" Target="https://www.nhl.com/player/Seth-Jones-8477495" TargetMode="External"/><Relationship Id="rId417" Type="http://schemas.openxmlformats.org/officeDocument/2006/relationships/hyperlink" Target="https://www.nhl.com/player/Brandon-Montour-8477986" TargetMode="External"/><Relationship Id="rId624" Type="http://schemas.openxmlformats.org/officeDocument/2006/relationships/hyperlink" Target="https://www.nhl.com/player/Andrew-Mangiapane-8478233" TargetMode="External"/><Relationship Id="rId831" Type="http://schemas.openxmlformats.org/officeDocument/2006/relationships/hyperlink" Target="https://www.nhl.com/player/Kyle-Rau-8476415" TargetMode="External"/><Relationship Id="rId263" Type="http://schemas.openxmlformats.org/officeDocument/2006/relationships/hyperlink" Target="https://www.nhl.com/player/Andre-Burakovsky-8477444" TargetMode="External"/><Relationship Id="rId470" Type="http://schemas.openxmlformats.org/officeDocument/2006/relationships/hyperlink" Target="https://www.nhl.com/player/Matt-Benning-8476988" TargetMode="External"/><Relationship Id="rId929" Type="http://schemas.openxmlformats.org/officeDocument/2006/relationships/hyperlink" Target="https://www.nhl.com/player/Michael-Bunting-8478047" TargetMode="External"/><Relationship Id="rId58" Type="http://schemas.openxmlformats.org/officeDocument/2006/relationships/hyperlink" Target="https://www.nhl.com/player/Travis-Zajac-8471233" TargetMode="External"/><Relationship Id="rId123" Type="http://schemas.openxmlformats.org/officeDocument/2006/relationships/hyperlink" Target="https://www.nhl.com/player/Martin-Hanzal-8471691" TargetMode="External"/><Relationship Id="rId330" Type="http://schemas.openxmlformats.org/officeDocument/2006/relationships/hyperlink" Target="https://www.nhl.com/player/Kyle-Clifford-8475160" TargetMode="External"/><Relationship Id="rId568" Type="http://schemas.openxmlformats.org/officeDocument/2006/relationships/hyperlink" Target="https://www.nhl.com/player/Joe-Morrow-8476476" TargetMode="External"/><Relationship Id="rId775" Type="http://schemas.openxmlformats.org/officeDocument/2006/relationships/hyperlink" Target="https://www.nhl.com/player/Jarred-Tinordi-8475797" TargetMode="External"/><Relationship Id="rId982" Type="http://schemas.openxmlformats.org/officeDocument/2006/relationships/hyperlink" Target="https://www.nhl.com/player/Mark-Alt-8475729" TargetMode="External"/><Relationship Id="rId428" Type="http://schemas.openxmlformats.org/officeDocument/2006/relationships/hyperlink" Target="https://www.nhl.com/player/Pierre-Edouard-Bellemare-8477930" TargetMode="External"/><Relationship Id="rId635" Type="http://schemas.openxmlformats.org/officeDocument/2006/relationships/hyperlink" Target="https://www.nhl.com/player/Joakim-Ryan-8477046" TargetMode="External"/><Relationship Id="rId842" Type="http://schemas.openxmlformats.org/officeDocument/2006/relationships/hyperlink" Target="https://www.nhl.com/player/Jaycob-Megna-8477034" TargetMode="External"/><Relationship Id="rId274" Type="http://schemas.openxmlformats.org/officeDocument/2006/relationships/hyperlink" Target="https://www.nhl.com/player/Richard-Panik-8475209" TargetMode="External"/><Relationship Id="rId481" Type="http://schemas.openxmlformats.org/officeDocument/2006/relationships/hyperlink" Target="https://www.nhl.com/player/Dominik-Simon-8478866" TargetMode="External"/><Relationship Id="rId702" Type="http://schemas.openxmlformats.org/officeDocument/2006/relationships/hyperlink" Target="https://www.nhl.com/player/Justin-Holl-8475718" TargetMode="External"/><Relationship Id="rId69" Type="http://schemas.openxmlformats.org/officeDocument/2006/relationships/hyperlink" Target="https://www.nhl.com/player/Derick-Brassard-8473544" TargetMode="External"/><Relationship Id="rId134" Type="http://schemas.openxmlformats.org/officeDocument/2006/relationships/hyperlink" Target="https://www.nhl.com/player/Filip-Forsberg-8476887" TargetMode="External"/><Relationship Id="rId579" Type="http://schemas.openxmlformats.org/officeDocument/2006/relationships/hyperlink" Target="https://www.nhl.com/player/Kenny-Agostino-8475844" TargetMode="External"/><Relationship Id="rId786" Type="http://schemas.openxmlformats.org/officeDocument/2006/relationships/hyperlink" Target="https://www.nhl.com/player/Cameron-Gaunce-8474611" TargetMode="External"/><Relationship Id="rId993" Type="http://schemas.openxmlformats.org/officeDocument/2006/relationships/hyperlink" Target="https://www.nhl.com/player/Keegan-Lowe-8476397" TargetMode="External"/><Relationship Id="rId341" Type="http://schemas.openxmlformats.org/officeDocument/2006/relationships/hyperlink" Target="https://www.nhl.com/player/Matt-Hunwick-8471436" TargetMode="External"/><Relationship Id="rId439" Type="http://schemas.openxmlformats.org/officeDocument/2006/relationships/hyperlink" Target="https://www.nhl.com/player/Charlie-McAvoy-8479325" TargetMode="External"/><Relationship Id="rId646" Type="http://schemas.openxmlformats.org/officeDocument/2006/relationships/hyperlink" Target="https://www.nhl.com/player/Michael-Rasmussen-8479992" TargetMode="External"/><Relationship Id="rId201" Type="http://schemas.openxmlformats.org/officeDocument/2006/relationships/hyperlink" Target="https://www.nhl.com/player/Andrej-Sekera-8471284" TargetMode="External"/><Relationship Id="rId285" Type="http://schemas.openxmlformats.org/officeDocument/2006/relationships/hyperlink" Target="https://www.nhl.com/player/Travis-Konecny-8478439" TargetMode="External"/><Relationship Id="rId506" Type="http://schemas.openxmlformats.org/officeDocument/2006/relationships/hyperlink" Target="https://www.nhl.com/player/Jujhar-Khaira-8476915" TargetMode="External"/><Relationship Id="rId853" Type="http://schemas.openxmlformats.org/officeDocument/2006/relationships/hyperlink" Target="https://www.nhl.com/player/Evgeny-Svechnikov-8478431" TargetMode="External"/><Relationship Id="rId492" Type="http://schemas.openxmlformats.org/officeDocument/2006/relationships/hyperlink" Target="https://www.nhl.com/player/Oskar-Sundqvist-8476897" TargetMode="External"/><Relationship Id="rId713" Type="http://schemas.openxmlformats.org/officeDocument/2006/relationships/hyperlink" Target="https://www.nhl.com/player/Kirby-Dach-8481523" TargetMode="External"/><Relationship Id="rId797" Type="http://schemas.openxmlformats.org/officeDocument/2006/relationships/hyperlink" Target="https://www.nhl.com/player/Joe-Hicketts-8478176" TargetMode="External"/><Relationship Id="rId920" Type="http://schemas.openxmlformats.org/officeDocument/2006/relationships/hyperlink" Target="https://www.nhl.com/player/Evan-Bouchard-8480803" TargetMode="External"/><Relationship Id="rId145" Type="http://schemas.openxmlformats.org/officeDocument/2006/relationships/hyperlink" Target="https://www.nhl.com/player/Tomas-Tatar-8475193" TargetMode="External"/><Relationship Id="rId352" Type="http://schemas.openxmlformats.org/officeDocument/2006/relationships/hyperlink" Target="https://www.nhl.com/player/Oliver-Bjorkstrand-8477416" TargetMode="External"/><Relationship Id="rId212" Type="http://schemas.openxmlformats.org/officeDocument/2006/relationships/hyperlink" Target="https://www.nhl.com/player/Jeff-Petry-8473507" TargetMode="External"/><Relationship Id="rId657" Type="http://schemas.openxmlformats.org/officeDocument/2006/relationships/hyperlink" Target="https://www.nhl.com/player/Paul-Carey-8474008" TargetMode="External"/><Relationship Id="rId864" Type="http://schemas.openxmlformats.org/officeDocument/2006/relationships/hyperlink" Target="https://www.nhl.com/player/Patrick-Russell-8479466" TargetMode="External"/><Relationship Id="rId49" Type="http://schemas.openxmlformats.org/officeDocument/2006/relationships/hyperlink" Target="https://www.nhl.com/player/Logan-Couture-8474053" TargetMode="External"/><Relationship Id="rId114" Type="http://schemas.openxmlformats.org/officeDocument/2006/relationships/hyperlink" Target="https://www.nhl.com/player/Leon-Draisaitl-8477934" TargetMode="External"/><Relationship Id="rId296" Type="http://schemas.openxmlformats.org/officeDocument/2006/relationships/hyperlink" Target="https://www.nhl.com/player/Matt-Nieto-8476442" TargetMode="External"/><Relationship Id="rId461" Type="http://schemas.openxmlformats.org/officeDocument/2006/relationships/hyperlink" Target="https://www.nhl.com/player/Barclay-Goodrow-8476624" TargetMode="External"/><Relationship Id="rId517" Type="http://schemas.openxmlformats.org/officeDocument/2006/relationships/hyperlink" Target="https://www.nhl.com/player/Jordan-Oesterle-8477851" TargetMode="External"/><Relationship Id="rId559" Type="http://schemas.openxmlformats.org/officeDocument/2006/relationships/hyperlink" Target="https://www.nhl.com/player/Jordan-Greenway-8478413" TargetMode="External"/><Relationship Id="rId724" Type="http://schemas.openxmlformats.org/officeDocument/2006/relationships/hyperlink" Target="https://www.nhl.com/player/Oliver-Kylington-8478430" TargetMode="External"/><Relationship Id="rId766" Type="http://schemas.openxmlformats.org/officeDocument/2006/relationships/hyperlink" Target="https://www.nhl.com/player/Juuso-Riikola-8480945" TargetMode="External"/><Relationship Id="rId931" Type="http://schemas.openxmlformats.org/officeDocument/2006/relationships/hyperlink" Target="https://www.nhl.com/player/Owen-Tippett-8480015" TargetMode="External"/><Relationship Id="rId60" Type="http://schemas.openxmlformats.org/officeDocument/2006/relationships/hyperlink" Target="https://www.nhl.com/player/Kris-Letang-8471724" TargetMode="External"/><Relationship Id="rId156" Type="http://schemas.openxmlformats.org/officeDocument/2006/relationships/hyperlink" Target="https://www.nhl.com/player/Ryan-McDonagh-8474151" TargetMode="External"/><Relationship Id="rId198" Type="http://schemas.openxmlformats.org/officeDocument/2006/relationships/hyperlink" Target="https://www.nhl.com/player/Mitchell-Marner-8478483" TargetMode="External"/><Relationship Id="rId321" Type="http://schemas.openxmlformats.org/officeDocument/2006/relationships/hyperlink" Target="https://www.nhl.com/player/Timo-Meier-8478414" TargetMode="External"/><Relationship Id="rId363" Type="http://schemas.openxmlformats.org/officeDocument/2006/relationships/hyperlink" Target="https://www.nhl.com/player/Christopher-Tanev-8475690" TargetMode="External"/><Relationship Id="rId419" Type="http://schemas.openxmlformats.org/officeDocument/2006/relationships/hyperlink" Target="https://www.nhl.com/player/Connor-Murphy-8476473" TargetMode="External"/><Relationship Id="rId570" Type="http://schemas.openxmlformats.org/officeDocument/2006/relationships/hyperlink" Target="https://www.nhl.com/player/Tyler-Motte-8477353" TargetMode="External"/><Relationship Id="rId626" Type="http://schemas.openxmlformats.org/officeDocument/2006/relationships/hyperlink" Target="https://www.nhl.com/player/Tanner-Kero-8478528" TargetMode="External"/><Relationship Id="rId973" Type="http://schemas.openxmlformats.org/officeDocument/2006/relationships/hyperlink" Target="https://www.nhl.com/player/Yakov-Trenin-8478508" TargetMode="External"/><Relationship Id="rId1007" Type="http://schemas.openxmlformats.org/officeDocument/2006/relationships/hyperlink" Target="https://www.nhl.com/player/Rem-Pitlick-8479514" TargetMode="External"/><Relationship Id="rId223" Type="http://schemas.openxmlformats.org/officeDocument/2006/relationships/hyperlink" Target="https://www.nhl.com/player/Pat-Maroon-8474034" TargetMode="External"/><Relationship Id="rId430" Type="http://schemas.openxmlformats.org/officeDocument/2006/relationships/hyperlink" Target="https://www.nhl.com/player/Jake-Virtanen-8477937" TargetMode="External"/><Relationship Id="rId668" Type="http://schemas.openxmlformats.org/officeDocument/2006/relationships/hyperlink" Target="https://www.nhl.com/player/Ryan-Graves-8477435" TargetMode="External"/><Relationship Id="rId833" Type="http://schemas.openxmlformats.org/officeDocument/2006/relationships/hyperlink" Target="https://www.nhl.com/player/Josh-Currie-8477680" TargetMode="External"/><Relationship Id="rId875" Type="http://schemas.openxmlformats.org/officeDocument/2006/relationships/hyperlink" Target="https://www.nhl.com/player/Calle-Rosen-8480157" TargetMode="External"/><Relationship Id="rId18" Type="http://schemas.openxmlformats.org/officeDocument/2006/relationships/hyperlink" Target="https://www.nhl.com/player/Joe-Pavelski-8470794" TargetMode="External"/><Relationship Id="rId265" Type="http://schemas.openxmlformats.org/officeDocument/2006/relationships/hyperlink" Target="https://www.nhl.com/player/Tom-Wilson-8476880" TargetMode="External"/><Relationship Id="rId472" Type="http://schemas.openxmlformats.org/officeDocument/2006/relationships/hyperlink" Target="https://www.nhl.com/player/Oskar-Lindblom-8478067" TargetMode="External"/><Relationship Id="rId528" Type="http://schemas.openxmlformats.org/officeDocument/2006/relationships/hyperlink" Target="https://www.nhl.com/player/Connor-Carrick-8476941" TargetMode="External"/><Relationship Id="rId735" Type="http://schemas.openxmlformats.org/officeDocument/2006/relationships/hyperlink" Target="https://www.nhl.com/player/Emil-Bemstrom-8480205" TargetMode="External"/><Relationship Id="rId900" Type="http://schemas.openxmlformats.org/officeDocument/2006/relationships/hyperlink" Target="https://www.nhl.com/player/Liam-O'Brien-8477070" TargetMode="External"/><Relationship Id="rId942" Type="http://schemas.openxmlformats.org/officeDocument/2006/relationships/hyperlink" Target="https://www.nhl.com/player/T.J.-Tynan-8476391" TargetMode="External"/><Relationship Id="rId125" Type="http://schemas.openxmlformats.org/officeDocument/2006/relationships/hyperlink" Target="https://www.nhl.com/player/Mikael-Granlund-8475798" TargetMode="External"/><Relationship Id="rId167" Type="http://schemas.openxmlformats.org/officeDocument/2006/relationships/hyperlink" Target="https://www.nhl.com/player/Michael-Grabner-8473546" TargetMode="External"/><Relationship Id="rId332" Type="http://schemas.openxmlformats.org/officeDocument/2006/relationships/hyperlink" Target="https://www.nhl.com/player/Sam-Bennett-8477935" TargetMode="External"/><Relationship Id="rId374" Type="http://schemas.openxmlformats.org/officeDocument/2006/relationships/hyperlink" Target="https://www.nhl.com/player/Jimmy-Vesey-8476918" TargetMode="External"/><Relationship Id="rId581" Type="http://schemas.openxmlformats.org/officeDocument/2006/relationships/hyperlink" Target="https://www.nhl.com/player/Martin-Marincin-8475716" TargetMode="External"/><Relationship Id="rId777" Type="http://schemas.openxmlformats.org/officeDocument/2006/relationships/hyperlink" Target="https://www.nhl.com/player/Dylan-McIlrath-8475795" TargetMode="External"/><Relationship Id="rId984" Type="http://schemas.openxmlformats.org/officeDocument/2006/relationships/hyperlink" Target="https://www.nhl.com/player/Colin-Blackwell-8476278" TargetMode="External"/><Relationship Id="rId1018" Type="http://schemas.openxmlformats.org/officeDocument/2006/relationships/hyperlink" Target="https://www.nhl.com/player/Conor-Timmins-8479982" TargetMode="External"/><Relationship Id="rId71" Type="http://schemas.openxmlformats.org/officeDocument/2006/relationships/hyperlink" Target="https://www.nhl.com/player/Brent-Seabrook-8470607" TargetMode="External"/><Relationship Id="rId234" Type="http://schemas.openxmlformats.org/officeDocument/2006/relationships/hyperlink" Target="https://www.nhl.com/player/Viktor-Arvidsson-8478042" TargetMode="External"/><Relationship Id="rId637" Type="http://schemas.openxmlformats.org/officeDocument/2006/relationships/hyperlink" Target="https://www.nhl.com/player/Anthony-Bitetto-8475868" TargetMode="External"/><Relationship Id="rId679" Type="http://schemas.openxmlformats.org/officeDocument/2006/relationships/hyperlink" Target="https://www.nhl.com/player/Brett-Seney-8478881" TargetMode="External"/><Relationship Id="rId802" Type="http://schemas.openxmlformats.org/officeDocument/2006/relationships/hyperlink" Target="https://www.nhl.com/player/Kevin-Roy-8476971" TargetMode="External"/><Relationship Id="rId844" Type="http://schemas.openxmlformats.org/officeDocument/2006/relationships/hyperlink" Target="https://www.nhl.com/player/Danny-O'Regan-8476982" TargetMode="External"/><Relationship Id="rId886" Type="http://schemas.openxmlformats.org/officeDocument/2006/relationships/hyperlink" Target="https://www.nhl.com/player/Paul-Thompson-8476200" TargetMode="External"/><Relationship Id="rId2" Type="http://schemas.openxmlformats.org/officeDocument/2006/relationships/hyperlink" Target="https://www.nhl.com/player/Sidney-Crosby-8471675" TargetMode="External"/><Relationship Id="rId29" Type="http://schemas.openxmlformats.org/officeDocument/2006/relationships/hyperlink" Target="https://www.nhl.com/player/Jamie-Benn-8473994" TargetMode="External"/><Relationship Id="rId276" Type="http://schemas.openxmlformats.org/officeDocument/2006/relationships/hyperlink" Target="https://www.nhl.com/player/Justin-Braun-8474027" TargetMode="External"/><Relationship Id="rId441" Type="http://schemas.openxmlformats.org/officeDocument/2006/relationships/hyperlink" Target="https://www.nhl.com/player/Brian-Gibbons-8476207" TargetMode="External"/><Relationship Id="rId483" Type="http://schemas.openxmlformats.org/officeDocument/2006/relationships/hyperlink" Target="https://www.nhl.com/player/Colin-White-8478400" TargetMode="External"/><Relationship Id="rId539" Type="http://schemas.openxmlformats.org/officeDocument/2006/relationships/hyperlink" Target="https://www.nhl.com/player/Lucas-Wallmark-8478027" TargetMode="External"/><Relationship Id="rId690" Type="http://schemas.openxmlformats.org/officeDocument/2006/relationships/hyperlink" Target="https://www.nhl.com/player/Matt-Roy-8478911" TargetMode="External"/><Relationship Id="rId704" Type="http://schemas.openxmlformats.org/officeDocument/2006/relationships/hyperlink" Target="https://www.nhl.com/player/John-Marino-8478507" TargetMode="External"/><Relationship Id="rId746" Type="http://schemas.openxmlformats.org/officeDocument/2006/relationships/hyperlink" Target="https://www.nhl.com/player/Michael-McCarron-8477446" TargetMode="External"/><Relationship Id="rId911" Type="http://schemas.openxmlformats.org/officeDocument/2006/relationships/hyperlink" Target="https://www.nhl.com/player/Joel-Persson-8480940" TargetMode="External"/><Relationship Id="rId40" Type="http://schemas.openxmlformats.org/officeDocument/2006/relationships/hyperlink" Target="https://www.nhl.com/player/Ryan-Kesler-8470616" TargetMode="External"/><Relationship Id="rId136" Type="http://schemas.openxmlformats.org/officeDocument/2006/relationships/hyperlink" Target="https://www.nhl.com/player/Reilly-Smith-8475191" TargetMode="External"/><Relationship Id="rId178" Type="http://schemas.openxmlformats.org/officeDocument/2006/relationships/hyperlink" Target="https://www.nhl.com/player/Justin-Faulk-8475753" TargetMode="External"/><Relationship Id="rId301" Type="http://schemas.openxmlformats.org/officeDocument/2006/relationships/hyperlink" Target="https://www.nhl.com/player/Sven-Baertschi-8476466" TargetMode="External"/><Relationship Id="rId343" Type="http://schemas.openxmlformats.org/officeDocument/2006/relationships/hyperlink" Target="https://www.nhl.com/player/Derek-Ryan-8478585" TargetMode="External"/><Relationship Id="rId550" Type="http://schemas.openxmlformats.org/officeDocument/2006/relationships/hyperlink" Target="https://www.nhl.com/player/Filip-Hronek-8479425" TargetMode="External"/><Relationship Id="rId788" Type="http://schemas.openxmlformats.org/officeDocument/2006/relationships/hyperlink" Target="https://www.nhl.com/player/Sami-Niku-8478915" TargetMode="External"/><Relationship Id="rId953" Type="http://schemas.openxmlformats.org/officeDocument/2006/relationships/hyperlink" Target="https://www.nhl.com/player/J.C.-Beaudin-8478833" TargetMode="External"/><Relationship Id="rId995" Type="http://schemas.openxmlformats.org/officeDocument/2006/relationships/hyperlink" Target="https://www.nhl.com/player/Nelson-Nogier-8478031" TargetMode="External"/><Relationship Id="rId1029" Type="http://schemas.openxmlformats.org/officeDocument/2006/relationships/hyperlink" Target="https://www.nhl.com/player/Nicolas-Aube-Kubel-8477979" TargetMode="External"/><Relationship Id="rId82" Type="http://schemas.openxmlformats.org/officeDocument/2006/relationships/hyperlink" Target="https://www.nhl.com/player/Victor-Hedman-8475167" TargetMode="External"/><Relationship Id="rId203" Type="http://schemas.openxmlformats.org/officeDocument/2006/relationships/hyperlink" Target="https://www.nhl.com/player/Cal-Clutterbuck-8473504" TargetMode="External"/><Relationship Id="rId385" Type="http://schemas.openxmlformats.org/officeDocument/2006/relationships/hyperlink" Target="https://www.nhl.com/player/Christian-Dvorak-8477989" TargetMode="External"/><Relationship Id="rId592" Type="http://schemas.openxmlformats.org/officeDocument/2006/relationships/hyperlink" Target="https://www.nhl.com/player/William-Carrier-8477478" TargetMode="External"/><Relationship Id="rId606" Type="http://schemas.openxmlformats.org/officeDocument/2006/relationships/hyperlink" Target="https://www.nhl.com/player/Quinn-Hughes-8480800" TargetMode="External"/><Relationship Id="rId648" Type="http://schemas.openxmlformats.org/officeDocument/2006/relationships/hyperlink" Target="https://www.nhl.com/player/Paul-LaDue-8476983" TargetMode="External"/><Relationship Id="rId813" Type="http://schemas.openxmlformats.org/officeDocument/2006/relationships/hyperlink" Target="https://www.nhl.com/player/Alexandre-Texier-8480074" TargetMode="External"/><Relationship Id="rId855" Type="http://schemas.openxmlformats.org/officeDocument/2006/relationships/hyperlink" Target="https://www.nhl.com/player/Clark-Bishop-8478056" TargetMode="External"/><Relationship Id="rId245" Type="http://schemas.openxmlformats.org/officeDocument/2006/relationships/hyperlink" Target="https://www.nhl.com/player/Aaron-Ekblad-8477932" TargetMode="External"/><Relationship Id="rId287" Type="http://schemas.openxmlformats.org/officeDocument/2006/relationships/hyperlink" Target="https://www.nhl.com/player/Nate-Thompson-8470775" TargetMode="External"/><Relationship Id="rId410" Type="http://schemas.openxmlformats.org/officeDocument/2006/relationships/hyperlink" Target="https://www.nhl.com/player/Nathan-Beaulieu-8476470" TargetMode="External"/><Relationship Id="rId452" Type="http://schemas.openxmlformats.org/officeDocument/2006/relationships/hyperlink" Target="https://www.nhl.com/player/Jakob-Chychrun-8479345" TargetMode="External"/><Relationship Id="rId494" Type="http://schemas.openxmlformats.org/officeDocument/2006/relationships/hyperlink" Target="https://www.nhl.com/player/Tomas-Jurco-8476430" TargetMode="External"/><Relationship Id="rId508" Type="http://schemas.openxmlformats.org/officeDocument/2006/relationships/hyperlink" Target="https://www.nhl.com/player/Brandon-Manning-8475430" TargetMode="External"/><Relationship Id="rId715" Type="http://schemas.openxmlformats.org/officeDocument/2006/relationships/hyperlink" Target="https://www.nhl.com/player/Filip-Chlapik-8478488" TargetMode="External"/><Relationship Id="rId897" Type="http://schemas.openxmlformats.org/officeDocument/2006/relationships/hyperlink" Target="https://www.nhl.com/player/Pierre-Engvall-8478115" TargetMode="External"/><Relationship Id="rId922" Type="http://schemas.openxmlformats.org/officeDocument/2006/relationships/hyperlink" Target="https://www.nhl.com/player/Alex-Formenton-8480029" TargetMode="External"/><Relationship Id="rId105" Type="http://schemas.openxmlformats.org/officeDocument/2006/relationships/hyperlink" Target="https://www.nhl.com/player/Nazem-Kadri-8475172" TargetMode="External"/><Relationship Id="rId147" Type="http://schemas.openxmlformats.org/officeDocument/2006/relationships/hyperlink" Target="https://www.nhl.com/player/Craig-Smith-8475225" TargetMode="External"/><Relationship Id="rId312" Type="http://schemas.openxmlformats.org/officeDocument/2006/relationships/hyperlink" Target="https://www.nhl.com/player/Kevin-Labanc-8478099" TargetMode="External"/><Relationship Id="rId354" Type="http://schemas.openxmlformats.org/officeDocument/2006/relationships/hyperlink" Target="https://www.nhl.com/player/Radko-Gudas-8475462" TargetMode="External"/><Relationship Id="rId757" Type="http://schemas.openxmlformats.org/officeDocument/2006/relationships/hyperlink" Target="https://www.nhl.com/player/Dillon-Dube-8479346" TargetMode="External"/><Relationship Id="rId799" Type="http://schemas.openxmlformats.org/officeDocument/2006/relationships/hyperlink" Target="https://www.nhl.com/player/Ilya-Lyubushkin-8480950" TargetMode="External"/><Relationship Id="rId964" Type="http://schemas.openxmlformats.org/officeDocument/2006/relationships/hyperlink" Target="https://www.nhl.com/player/Colton-White-8478841" TargetMode="External"/><Relationship Id="rId51" Type="http://schemas.openxmlformats.org/officeDocument/2006/relationships/hyperlink" Target="https://www.nhl.com/player/Taylor-Hall-8475791" TargetMode="External"/><Relationship Id="rId93" Type="http://schemas.openxmlformats.org/officeDocument/2006/relationships/hyperlink" Target="https://www.nhl.com/player/Nathan-Horton-8470596" TargetMode="External"/><Relationship Id="rId189" Type="http://schemas.openxmlformats.org/officeDocument/2006/relationships/hyperlink" Target="https://www.nhl.com/player/Teuvo-Teravainen-8476882" TargetMode="External"/><Relationship Id="rId396" Type="http://schemas.openxmlformats.org/officeDocument/2006/relationships/hyperlink" Target="https://www.nhl.com/player/Vinnie-Hinostroza-8476994" TargetMode="External"/><Relationship Id="rId561" Type="http://schemas.openxmlformats.org/officeDocument/2006/relationships/hyperlink" Target="https://www.nhl.com/player/Taylor-Fedun-8476166" TargetMode="External"/><Relationship Id="rId617" Type="http://schemas.openxmlformats.org/officeDocument/2006/relationships/hyperlink" Target="https://www.nhl.com/player/Dennis-Cholowski-8479395" TargetMode="External"/><Relationship Id="rId659" Type="http://schemas.openxmlformats.org/officeDocument/2006/relationships/hyperlink" Target="https://www.nhl.com/player/Brendan-Gaunce-8476867" TargetMode="External"/><Relationship Id="rId824" Type="http://schemas.openxmlformats.org/officeDocument/2006/relationships/hyperlink" Target="https://www.nhl.com/player/Libor-Hajek-8479333" TargetMode="External"/><Relationship Id="rId866" Type="http://schemas.openxmlformats.org/officeDocument/2006/relationships/hyperlink" Target="https://www.nhl.com/player/Joel-L'Esperance-8480769" TargetMode="External"/><Relationship Id="rId214" Type="http://schemas.openxmlformats.org/officeDocument/2006/relationships/hyperlink" Target="https://www.nhl.com/player/Michael-Del%20Zotto-8474584" TargetMode="External"/><Relationship Id="rId256" Type="http://schemas.openxmlformats.org/officeDocument/2006/relationships/hyperlink" Target="https://www.nhl.com/player/Antoine-Roussel-8474849" TargetMode="External"/><Relationship Id="rId298" Type="http://schemas.openxmlformats.org/officeDocument/2006/relationships/hyperlink" Target="https://www.nhl.com/player/Oscar-Klefbom-8476472" TargetMode="External"/><Relationship Id="rId421" Type="http://schemas.openxmlformats.org/officeDocument/2006/relationships/hyperlink" Target="https://www.nhl.com/player/Jesper-Bratt-8479407" TargetMode="External"/><Relationship Id="rId463" Type="http://schemas.openxmlformats.org/officeDocument/2006/relationships/hyperlink" Target="https://www.nhl.com/player/Rasmus-Dahlin-8480839" TargetMode="External"/><Relationship Id="rId519" Type="http://schemas.openxmlformats.org/officeDocument/2006/relationships/hyperlink" Target="https://www.nhl.com/player/Chris-Wideman-8475227" TargetMode="External"/><Relationship Id="rId670" Type="http://schemas.openxmlformats.org/officeDocument/2006/relationships/hyperlink" Target="https://www.nhl.com/player/Oscar-Fantenberg-8480147" TargetMode="External"/><Relationship Id="rId116" Type="http://schemas.openxmlformats.org/officeDocument/2006/relationships/hyperlink" Target="https://www.nhl.com/player/Cam-Atkinson-8474715" TargetMode="External"/><Relationship Id="rId158" Type="http://schemas.openxmlformats.org/officeDocument/2006/relationships/hyperlink" Target="https://www.nhl.com/player/Nick-Leddy-8475181" TargetMode="External"/><Relationship Id="rId323" Type="http://schemas.openxmlformats.org/officeDocument/2006/relationships/hyperlink" Target="https://www.nhl.com/player/Zemgus-Girgensons-8476878" TargetMode="External"/><Relationship Id="rId530" Type="http://schemas.openxmlformats.org/officeDocument/2006/relationships/hyperlink" Target="https://www.nhl.com/player/Phillip-Di%20Giuseppe-8476858" TargetMode="External"/><Relationship Id="rId726" Type="http://schemas.openxmlformats.org/officeDocument/2006/relationships/hyperlink" Target="https://www.nhl.com/player/Christian-Jaros-8478868" TargetMode="External"/><Relationship Id="rId768" Type="http://schemas.openxmlformats.org/officeDocument/2006/relationships/hyperlink" Target="https://www.nhl.com/player/Dylan-Gambrell-8479580" TargetMode="External"/><Relationship Id="rId933" Type="http://schemas.openxmlformats.org/officeDocument/2006/relationships/hyperlink" Target="https://www.nhl.com/player/David-Gustafsson-8481019" TargetMode="External"/><Relationship Id="rId975" Type="http://schemas.openxmlformats.org/officeDocument/2006/relationships/hyperlink" Target="https://www.nhl.com/player/Jake-Bean-8479402" TargetMode="External"/><Relationship Id="rId1009" Type="http://schemas.openxmlformats.org/officeDocument/2006/relationships/hyperlink" Target="https://www.nhl.com/player/Brady-Keeper-8481442" TargetMode="External"/><Relationship Id="rId20" Type="http://schemas.openxmlformats.org/officeDocument/2006/relationships/hyperlink" Target="https://www.nhl.com/player/Zach-Parise-8470610" TargetMode="External"/><Relationship Id="rId62" Type="http://schemas.openxmlformats.org/officeDocument/2006/relationships/hyperlink" Target="https://www.nhl.com/player/Milan-Lucic-8473473" TargetMode="External"/><Relationship Id="rId365" Type="http://schemas.openxmlformats.org/officeDocument/2006/relationships/hyperlink" Target="https://www.nhl.com/player/Markus-Granlund-8476440" TargetMode="External"/><Relationship Id="rId572" Type="http://schemas.openxmlformats.org/officeDocument/2006/relationships/hyperlink" Target="https://www.nhl.com/player/Martin-Frk-8476924" TargetMode="External"/><Relationship Id="rId628" Type="http://schemas.openxmlformats.org/officeDocument/2006/relationships/hyperlink" Target="https://www.nhl.com/player/Remi-Elie-8477461" TargetMode="External"/><Relationship Id="rId835" Type="http://schemas.openxmlformats.org/officeDocument/2006/relationships/hyperlink" Target="https://www.nhl.com/player/John-Gilmour-8477337" TargetMode="External"/><Relationship Id="rId225" Type="http://schemas.openxmlformats.org/officeDocument/2006/relationships/hyperlink" Target="https://www.nhl.com/player/Mark-Letestu-8473914" TargetMode="External"/><Relationship Id="rId267" Type="http://schemas.openxmlformats.org/officeDocument/2006/relationships/hyperlink" Target="https://www.nhl.com/player/Marcus-Foligno-8475220" TargetMode="External"/><Relationship Id="rId432" Type="http://schemas.openxmlformats.org/officeDocument/2006/relationships/hyperlink" Target="https://www.nhl.com/player/Alex-Iafallo-8480113" TargetMode="External"/><Relationship Id="rId474" Type="http://schemas.openxmlformats.org/officeDocument/2006/relationships/hyperlink" Target="https://www.nhl.com/player/Dylan-DeMelo-8476331" TargetMode="External"/><Relationship Id="rId877" Type="http://schemas.openxmlformats.org/officeDocument/2006/relationships/hyperlink" Target="https://www.nhl.com/player/Zack-MacEwen-8479772" TargetMode="External"/><Relationship Id="rId1020" Type="http://schemas.openxmlformats.org/officeDocument/2006/relationships/hyperlink" Target="https://www.nhl.com/player/Steven-Fogarty-8476396" TargetMode="External"/><Relationship Id="rId127" Type="http://schemas.openxmlformats.org/officeDocument/2006/relationships/hyperlink" Target="https://www.nhl.com/player/Mikael-Backlund-8474150" TargetMode="External"/><Relationship Id="rId681" Type="http://schemas.openxmlformats.org/officeDocument/2006/relationships/hyperlink" Target="https://www.nhl.com/player/Zach-Trotman-8475902" TargetMode="External"/><Relationship Id="rId737" Type="http://schemas.openxmlformats.org/officeDocument/2006/relationships/hyperlink" Target="https://www.nhl.com/player/Jakob-Forsbacka%20Karlsson-8478417" TargetMode="External"/><Relationship Id="rId779" Type="http://schemas.openxmlformats.org/officeDocument/2006/relationships/hyperlink" Target="https://www.nhl.com/player/Karson-Kuhlman-8480901" TargetMode="External"/><Relationship Id="rId902" Type="http://schemas.openxmlformats.org/officeDocument/2006/relationships/hyperlink" Target="https://www.nhl.com/player/Joakim-Nygard-8481638" TargetMode="External"/><Relationship Id="rId944" Type="http://schemas.openxmlformats.org/officeDocument/2006/relationships/hyperlink" Target="https://www.nhl.com/player/Carter-Verhaeghe-8477409" TargetMode="External"/><Relationship Id="rId986" Type="http://schemas.openxmlformats.org/officeDocument/2006/relationships/hyperlink" Target="https://www.nhl.com/player/Giovanni-Fiore-8479613" TargetMode="External"/><Relationship Id="rId31" Type="http://schemas.openxmlformats.org/officeDocument/2006/relationships/hyperlink" Target="https://www.nhl.com/player/Ilya-Kovalchuk-8469454" TargetMode="External"/><Relationship Id="rId73" Type="http://schemas.openxmlformats.org/officeDocument/2006/relationships/hyperlink" Target="https://www.nhl.com/player/Jeff-Skinner-8475784" TargetMode="External"/><Relationship Id="rId169" Type="http://schemas.openxmlformats.org/officeDocument/2006/relationships/hyperlink" Target="https://www.nhl.com/player/Nino-Niederreiter-8475799" TargetMode="External"/><Relationship Id="rId334" Type="http://schemas.openxmlformats.org/officeDocument/2006/relationships/hyperlink" Target="https://www.nhl.com/player/Brandon-Pirri-8475204" TargetMode="External"/><Relationship Id="rId376" Type="http://schemas.openxmlformats.org/officeDocument/2006/relationships/hyperlink" Target="https://www.nhl.com/player/Alex-Tuch-8477949" TargetMode="External"/><Relationship Id="rId541" Type="http://schemas.openxmlformats.org/officeDocument/2006/relationships/hyperlink" Target="https://www.nhl.com/player/Chris-Terry-8474052" TargetMode="External"/><Relationship Id="rId583" Type="http://schemas.openxmlformats.org/officeDocument/2006/relationships/hyperlink" Target="https://www.nhl.com/player/Brendan-Lemieux-8477962" TargetMode="External"/><Relationship Id="rId639" Type="http://schemas.openxmlformats.org/officeDocument/2006/relationships/hyperlink" Target="https://www.nhl.com/player/Chad-Ruhwedel-8477244" TargetMode="External"/><Relationship Id="rId790" Type="http://schemas.openxmlformats.org/officeDocument/2006/relationships/hyperlink" Target="https://www.nhl.com/player/Andrew-Agozzino-8475461" TargetMode="External"/><Relationship Id="rId804" Type="http://schemas.openxmlformats.org/officeDocument/2006/relationships/hyperlink" Target="https://www.nhl.com/player/Jordan-Szwarz-8475224" TargetMode="External"/><Relationship Id="rId4" Type="http://schemas.openxmlformats.org/officeDocument/2006/relationships/hyperlink" Target="https://www.nhl.com/player/Evgeni-Malkin-8471215" TargetMode="External"/><Relationship Id="rId180" Type="http://schemas.openxmlformats.org/officeDocument/2006/relationships/hyperlink" Target="https://www.nhl.com/player/Jared-Spurgeon-8474716" TargetMode="External"/><Relationship Id="rId236" Type="http://schemas.openxmlformats.org/officeDocument/2006/relationships/hyperlink" Target="https://www.nhl.com/player/Zack-Smith-8474250" TargetMode="External"/><Relationship Id="rId278" Type="http://schemas.openxmlformats.org/officeDocument/2006/relationships/hyperlink" Target="https://www.nhl.com/player/Matt-Beleskey-8473492" TargetMode="External"/><Relationship Id="rId401" Type="http://schemas.openxmlformats.org/officeDocument/2006/relationships/hyperlink" Target="https://www.nhl.com/player/Scott-Laughton-8476872" TargetMode="External"/><Relationship Id="rId443" Type="http://schemas.openxmlformats.org/officeDocument/2006/relationships/hyperlink" Target="https://www.nhl.com/player/Jake-McCabe-8476931" TargetMode="External"/><Relationship Id="rId650" Type="http://schemas.openxmlformats.org/officeDocument/2006/relationships/hyperlink" Target="https://www.nhl.com/player/Teddy-Blueger-8476927" TargetMode="External"/><Relationship Id="rId846" Type="http://schemas.openxmlformats.org/officeDocument/2006/relationships/hyperlink" Target="https://www.nhl.com/player/Jordan-Schmaltz-8476877" TargetMode="External"/><Relationship Id="rId888" Type="http://schemas.openxmlformats.org/officeDocument/2006/relationships/hyperlink" Target="https://www.nhl.com/player/Gabriel-Carlsson-8478506" TargetMode="External"/><Relationship Id="rId1031" Type="http://schemas.openxmlformats.org/officeDocument/2006/relationships/hyperlink" Target="https://www.nhl.com/player/Blake-Speers-8478480" TargetMode="External"/><Relationship Id="rId303" Type="http://schemas.openxmlformats.org/officeDocument/2006/relationships/hyperlink" Target="https://www.nhl.com/player/Roman-Polak-8471392" TargetMode="External"/><Relationship Id="rId485" Type="http://schemas.openxmlformats.org/officeDocument/2006/relationships/hyperlink" Target="https://www.nhl.com/player/Neal-Pionk-8480145" TargetMode="External"/><Relationship Id="rId692" Type="http://schemas.openxmlformats.org/officeDocument/2006/relationships/hyperlink" Target="https://www.nhl.com/player/Dean-Kukan-8478567" TargetMode="External"/><Relationship Id="rId706" Type="http://schemas.openxmlformats.org/officeDocument/2006/relationships/hyperlink" Target="https://www.nhl.com/player/David-Warsofsky-8474660" TargetMode="External"/><Relationship Id="rId748" Type="http://schemas.openxmlformats.org/officeDocument/2006/relationships/hyperlink" Target="https://www.nhl.com/player/Noah-Juulsen-8478454" TargetMode="External"/><Relationship Id="rId913" Type="http://schemas.openxmlformats.org/officeDocument/2006/relationships/hyperlink" Target="https://www.nhl.com/player/Erik-Brannstrom-8480073" TargetMode="External"/><Relationship Id="rId955" Type="http://schemas.openxmlformats.org/officeDocument/2006/relationships/hyperlink" Target="https://www.nhl.com/player/Shane-Gersich-8478063" TargetMode="External"/><Relationship Id="rId42" Type="http://schemas.openxmlformats.org/officeDocument/2006/relationships/hyperlink" Target="https://www.nhl.com/player/Shea-Weber-8470642" TargetMode="External"/><Relationship Id="rId84" Type="http://schemas.openxmlformats.org/officeDocument/2006/relationships/hyperlink" Target="https://www.nhl.com/player/Evander-Kane-8475169" TargetMode="External"/><Relationship Id="rId138" Type="http://schemas.openxmlformats.org/officeDocument/2006/relationships/hyperlink" Target="https://www.nhl.com/player/Tyson-Barrie-8475197" TargetMode="External"/><Relationship Id="rId345" Type="http://schemas.openxmlformats.org/officeDocument/2006/relationships/hyperlink" Target="https://www.nhl.com/player/Connor-Brown-8477015" TargetMode="External"/><Relationship Id="rId387" Type="http://schemas.openxmlformats.org/officeDocument/2006/relationships/hyperlink" Target="https://www.nhl.com/player/Danton-Heinen-8478046" TargetMode="External"/><Relationship Id="rId510" Type="http://schemas.openxmlformats.org/officeDocument/2006/relationships/hyperlink" Target="https://www.nhl.com/player/Derrick-Pouliot-8476884" TargetMode="External"/><Relationship Id="rId552" Type="http://schemas.openxmlformats.org/officeDocument/2006/relationships/hyperlink" Target="https://www.nhl.com/player/Alex-Biega-8473415" TargetMode="External"/><Relationship Id="rId594" Type="http://schemas.openxmlformats.org/officeDocument/2006/relationships/hyperlink" Target="https://www.nhl.com/player/Adam-Erne-8477454" TargetMode="External"/><Relationship Id="rId608" Type="http://schemas.openxmlformats.org/officeDocument/2006/relationships/hyperlink" Target="https://www.nhl.com/player/Zac-Dalpe-8474610" TargetMode="External"/><Relationship Id="rId815" Type="http://schemas.openxmlformats.org/officeDocument/2006/relationships/hyperlink" Target="https://www.nhl.com/player/Sheldon-Dries-8480326" TargetMode="External"/><Relationship Id="rId997" Type="http://schemas.openxmlformats.org/officeDocument/2006/relationships/hyperlink" Target="https://www.nhl.com/player/Chase-De%20Leo-8478029" TargetMode="External"/><Relationship Id="rId191" Type="http://schemas.openxmlformats.org/officeDocument/2006/relationships/hyperlink" Target="https://www.nhl.com/player/Jake-Gardiner-8474581" TargetMode="External"/><Relationship Id="rId205" Type="http://schemas.openxmlformats.org/officeDocument/2006/relationships/hyperlink" Target="https://www.nhl.com/player/Jason-Zucker-8475722" TargetMode="External"/><Relationship Id="rId247" Type="http://schemas.openxmlformats.org/officeDocument/2006/relationships/hyperlink" Target="https://www.nhl.com/player/William-Nylander-8477939" TargetMode="External"/><Relationship Id="rId412" Type="http://schemas.openxmlformats.org/officeDocument/2006/relationships/hyperlink" Target="https://www.nhl.com/player/Miles-Wood-8477425" TargetMode="External"/><Relationship Id="rId857" Type="http://schemas.openxmlformats.org/officeDocument/2006/relationships/hyperlink" Target="https://www.nhl.com/player/Adam-Johnson-8480341" TargetMode="External"/><Relationship Id="rId899" Type="http://schemas.openxmlformats.org/officeDocument/2006/relationships/hyperlink" Target="https://www.nhl.com/player/Buddy-Robinson-8477210" TargetMode="External"/><Relationship Id="rId1000" Type="http://schemas.openxmlformats.org/officeDocument/2006/relationships/hyperlink" Target="https://www.nhl.com/player/Brandon-Gignac-8479330" TargetMode="External"/><Relationship Id="rId107" Type="http://schemas.openxmlformats.org/officeDocument/2006/relationships/hyperlink" Target="https://www.nhl.com/player/Michael-Frolik-8473564" TargetMode="External"/><Relationship Id="rId289" Type="http://schemas.openxmlformats.org/officeDocument/2006/relationships/hyperlink" Target="https://www.nhl.com/player/Alex-DeBrincat-8479337" TargetMode="External"/><Relationship Id="rId454" Type="http://schemas.openxmlformats.org/officeDocument/2006/relationships/hyperlink" Target="https://www.nhl.com/player/Trevor-van%20Riemsdyk-8477845" TargetMode="External"/><Relationship Id="rId496" Type="http://schemas.openxmlformats.org/officeDocument/2006/relationships/hyperlink" Target="https://www.nhl.com/player/Jamie-Oleksiak-8476467" TargetMode="External"/><Relationship Id="rId661" Type="http://schemas.openxmlformats.org/officeDocument/2006/relationships/hyperlink" Target="https://www.nhl.com/player/Sammy-Blais-8478104" TargetMode="External"/><Relationship Id="rId717" Type="http://schemas.openxmlformats.org/officeDocument/2006/relationships/hyperlink" Target="https://www.nhl.com/player/Joseph-Cramarossa-8476390" TargetMode="External"/><Relationship Id="rId759" Type="http://schemas.openxmlformats.org/officeDocument/2006/relationships/hyperlink" Target="https://www.nhl.com/player/Justin-Dowling-8475413" TargetMode="External"/><Relationship Id="rId924" Type="http://schemas.openxmlformats.org/officeDocument/2006/relationships/hyperlink" Target="https://www.nhl.com/player/Klim-Kostin-8480011" TargetMode="External"/><Relationship Id="rId966" Type="http://schemas.openxmlformats.org/officeDocument/2006/relationships/hyperlink" Target="https://www.nhl.com/player/William-Borgen-8478840" TargetMode="External"/><Relationship Id="rId11" Type="http://schemas.openxmlformats.org/officeDocument/2006/relationships/hyperlink" Target="https://www.nhl.com/player/Patrick-Marleau-8466139" TargetMode="External"/><Relationship Id="rId53" Type="http://schemas.openxmlformats.org/officeDocument/2006/relationships/hyperlink" Target="https://www.nhl.com/player/Dustin-Byfuglien-8470834" TargetMode="External"/><Relationship Id="rId149" Type="http://schemas.openxmlformats.org/officeDocument/2006/relationships/hyperlink" Target="https://www.nhl.com/player/Torey-Krug-8476792" TargetMode="External"/><Relationship Id="rId314" Type="http://schemas.openxmlformats.org/officeDocument/2006/relationships/hyperlink" Target="https://www.nhl.com/player/Jaccob-Slavin-8476958" TargetMode="External"/><Relationship Id="rId356" Type="http://schemas.openxmlformats.org/officeDocument/2006/relationships/hyperlink" Target="https://www.nhl.com/player/Luca-Sbisa-8474579" TargetMode="External"/><Relationship Id="rId398" Type="http://schemas.openxmlformats.org/officeDocument/2006/relationships/hyperlink" Target="https://www.nhl.com/player/Brayden-McNabb-8475188" TargetMode="External"/><Relationship Id="rId521" Type="http://schemas.openxmlformats.org/officeDocument/2006/relationships/hyperlink" Target="https://www.nhl.com/player/Ryan-Carpenter-8477846" TargetMode="External"/><Relationship Id="rId563" Type="http://schemas.openxmlformats.org/officeDocument/2006/relationships/hyperlink" Target="https://www.nhl.com/player/Mathieu-Joseph-8478472" TargetMode="External"/><Relationship Id="rId619" Type="http://schemas.openxmlformats.org/officeDocument/2006/relationships/hyperlink" Target="https://www.nhl.com/player/Brandon-Davidson-8475869" TargetMode="External"/><Relationship Id="rId770" Type="http://schemas.openxmlformats.org/officeDocument/2006/relationships/hyperlink" Target="https://www.nhl.com/player/A.J.-Greer-8478421" TargetMode="External"/><Relationship Id="rId95" Type="http://schemas.openxmlformats.org/officeDocument/2006/relationships/hyperlink" Target="https://www.nhl.com/player/Brayden-Schenn-8475170" TargetMode="External"/><Relationship Id="rId160" Type="http://schemas.openxmlformats.org/officeDocument/2006/relationships/hyperlink" Target="https://www.nhl.com/player/Tyler-Ennis-8474589" TargetMode="External"/><Relationship Id="rId216" Type="http://schemas.openxmlformats.org/officeDocument/2006/relationships/hyperlink" Target="https://www.nhl.com/player/Sam-Reinhart-8477933" TargetMode="External"/><Relationship Id="rId423" Type="http://schemas.openxmlformats.org/officeDocument/2006/relationships/hyperlink" Target="https://www.nhl.com/player/Cory-Conacher-8476195" TargetMode="External"/><Relationship Id="rId826" Type="http://schemas.openxmlformats.org/officeDocument/2006/relationships/hyperlink" Target="https://www.nhl.com/player/Nikolai-Prokhorkin-8476947" TargetMode="External"/><Relationship Id="rId868" Type="http://schemas.openxmlformats.org/officeDocument/2006/relationships/hyperlink" Target="https://www.nhl.com/player/Ryan-Poehling-8480068" TargetMode="External"/><Relationship Id="rId1011" Type="http://schemas.openxmlformats.org/officeDocument/2006/relationships/hyperlink" Target="https://www.nhl.com/player/Jacob-Nilsson-8480954" TargetMode="External"/><Relationship Id="rId258" Type="http://schemas.openxmlformats.org/officeDocument/2006/relationships/hyperlink" Target="https://www.nhl.com/player/Victor-Rask-8476437" TargetMode="External"/><Relationship Id="rId465" Type="http://schemas.openxmlformats.org/officeDocument/2006/relationships/hyperlink" Target="https://www.nhl.com/player/Adam-Pelech-8476917" TargetMode="External"/><Relationship Id="rId630" Type="http://schemas.openxmlformats.org/officeDocument/2006/relationships/hyperlink" Target="https://www.nhl.com/player/Michael-Chaput-8475808" TargetMode="External"/><Relationship Id="rId672" Type="http://schemas.openxmlformats.org/officeDocument/2006/relationships/hyperlink" Target="https://www.nhl.com/player/Rudolfs-Balcers-8478870" TargetMode="External"/><Relationship Id="rId728" Type="http://schemas.openxmlformats.org/officeDocument/2006/relationships/hyperlink" Target="https://www.nhl.com/player/Justin-Bailey-8477473" TargetMode="External"/><Relationship Id="rId935" Type="http://schemas.openxmlformats.org/officeDocument/2006/relationships/hyperlink" Target="https://www.nhl.com/player/Lean-Bergmann-8481640" TargetMode="External"/><Relationship Id="rId22" Type="http://schemas.openxmlformats.org/officeDocument/2006/relationships/hyperlink" Target="https://www.nhl.com/player/John-Tavares-8475166" TargetMode="External"/><Relationship Id="rId64" Type="http://schemas.openxmlformats.org/officeDocument/2006/relationships/hyperlink" Target="https://www.nhl.com/player/Nikita-Kucherov-8476453" TargetMode="External"/><Relationship Id="rId118" Type="http://schemas.openxmlformats.org/officeDocument/2006/relationships/hyperlink" Target="https://www.nhl.com/player/Artem-Anisimov-8473573" TargetMode="External"/><Relationship Id="rId325" Type="http://schemas.openxmlformats.org/officeDocument/2006/relationships/hyperlink" Target="https://www.nhl.com/player/Jonathan-Ericsson-8470318" TargetMode="External"/><Relationship Id="rId367" Type="http://schemas.openxmlformats.org/officeDocument/2006/relationships/hyperlink" Target="https://www.nhl.com/player/Gabriel-Bourque-8475268" TargetMode="External"/><Relationship Id="rId532" Type="http://schemas.openxmlformats.org/officeDocument/2006/relationships/hyperlink" Target="https://www.nhl.com/player/Mike-Reilly-8476422" TargetMode="External"/><Relationship Id="rId574" Type="http://schemas.openxmlformats.org/officeDocument/2006/relationships/hyperlink" Target="https://www.nhl.com/player/Zach-Aston-Reese-8479944" TargetMode="External"/><Relationship Id="rId977" Type="http://schemas.openxmlformats.org/officeDocument/2006/relationships/hyperlink" Target="https://www.nhl.com/player/Anthony-Richard-8478409" TargetMode="External"/><Relationship Id="rId171" Type="http://schemas.openxmlformats.org/officeDocument/2006/relationships/hyperlink" Target="https://www.nhl.com/player/Lars-Eller-8474189" TargetMode="External"/><Relationship Id="rId227" Type="http://schemas.openxmlformats.org/officeDocument/2006/relationships/hyperlink" Target="https://www.nhl.com/player/William-Karlsson-8476448" TargetMode="External"/><Relationship Id="rId781" Type="http://schemas.openxmlformats.org/officeDocument/2006/relationships/hyperlink" Target="https://www.nhl.com/player/Kyle-Rau-8476415" TargetMode="External"/><Relationship Id="rId837" Type="http://schemas.openxmlformats.org/officeDocument/2006/relationships/hyperlink" Target="https://www.nhl.com/player/John-Quenneville-8477961" TargetMode="External"/><Relationship Id="rId879" Type="http://schemas.openxmlformats.org/officeDocument/2006/relationships/hyperlink" Target="https://www.nhl.com/player/Sam-Carrick-8475842" TargetMode="External"/><Relationship Id="rId1022" Type="http://schemas.openxmlformats.org/officeDocument/2006/relationships/hyperlink" Target="https://www.nhl.com/player/Urho-Vaakanainen-8480001" TargetMode="External"/><Relationship Id="rId269" Type="http://schemas.openxmlformats.org/officeDocument/2006/relationships/hyperlink" Target="https://www.nhl.com/player/Dmitry-Kulikov-8475179" TargetMode="External"/><Relationship Id="rId434" Type="http://schemas.openxmlformats.org/officeDocument/2006/relationships/hyperlink" Target="https://www.nhl.com/player/Mark-Pysyk-8475796" TargetMode="External"/><Relationship Id="rId476" Type="http://schemas.openxmlformats.org/officeDocument/2006/relationships/hyperlink" Target="https://www.nhl.com/player/Nicholas-Shore-8476406" TargetMode="External"/><Relationship Id="rId641" Type="http://schemas.openxmlformats.org/officeDocument/2006/relationships/hyperlink" Target="https://www.nhl.com/player/Matt-Donovan-8474659" TargetMode="External"/><Relationship Id="rId683" Type="http://schemas.openxmlformats.org/officeDocument/2006/relationships/hyperlink" Target="https://www.nhl.com/player/Haydn-Fleury-8477938" TargetMode="External"/><Relationship Id="rId739" Type="http://schemas.openxmlformats.org/officeDocument/2006/relationships/hyperlink" Target="https://www.nhl.com/player/Jonas-Siegenthaler-8478399" TargetMode="External"/><Relationship Id="rId890" Type="http://schemas.openxmlformats.org/officeDocument/2006/relationships/hyperlink" Target="https://www.nhl.com/player/Ashton-Sautner-8477085" TargetMode="External"/><Relationship Id="rId904" Type="http://schemas.openxmlformats.org/officeDocument/2006/relationships/hyperlink" Target="https://www.nhl.com/player/Anton-Blidh-8477320" TargetMode="External"/><Relationship Id="rId33" Type="http://schemas.openxmlformats.org/officeDocument/2006/relationships/hyperlink" Target="https://www.nhl.com/player/Alexander-Steen-8470257" TargetMode="External"/><Relationship Id="rId129" Type="http://schemas.openxmlformats.org/officeDocument/2006/relationships/hyperlink" Target="https://www.nhl.com/player/David-Pastrnak-8477956" TargetMode="External"/><Relationship Id="rId280" Type="http://schemas.openxmlformats.org/officeDocument/2006/relationships/hyperlink" Target="https://www.nhl.com/player/Trevor-Lewis-8473453" TargetMode="External"/><Relationship Id="rId336" Type="http://schemas.openxmlformats.org/officeDocument/2006/relationships/hyperlink" Target="https://www.nhl.com/player/Dale-Weise-8474668" TargetMode="External"/><Relationship Id="rId501" Type="http://schemas.openxmlformats.org/officeDocument/2006/relationships/hyperlink" Target="https://www.nhl.com/player/Nick-Jensen-8475324" TargetMode="External"/><Relationship Id="rId543" Type="http://schemas.openxmlformats.org/officeDocument/2006/relationships/hyperlink" Target="https://www.nhl.com/player/Austin-Czarnik-8478512" TargetMode="External"/><Relationship Id="rId946" Type="http://schemas.openxmlformats.org/officeDocument/2006/relationships/hyperlink" Target="https://www.nhl.com/player/Jimmy-Schuldt-8481486" TargetMode="External"/><Relationship Id="rId988" Type="http://schemas.openxmlformats.org/officeDocument/2006/relationships/hyperlink" Target="https://www.nhl.com/player/CJ-Suess-8478058" TargetMode="External"/><Relationship Id="rId75" Type="http://schemas.openxmlformats.org/officeDocument/2006/relationships/hyperlink" Target="https://www.nhl.com/player/Frans-Nielsen-8470144" TargetMode="External"/><Relationship Id="rId140" Type="http://schemas.openxmlformats.org/officeDocument/2006/relationships/hyperlink" Target="https://www.nhl.com/player/Mike-Hoffman-8474884" TargetMode="External"/><Relationship Id="rId182" Type="http://schemas.openxmlformats.org/officeDocument/2006/relationships/hyperlink" Target="https://www.nhl.com/player/Morgan-Rielly-8476853" TargetMode="External"/><Relationship Id="rId378" Type="http://schemas.openxmlformats.org/officeDocument/2006/relationships/hyperlink" Target="https://www.nhl.com/player/Thomas-Chabot-8478469" TargetMode="External"/><Relationship Id="rId403" Type="http://schemas.openxmlformats.org/officeDocument/2006/relationships/hyperlink" Target="https://www.nhl.com/player/Ryan-Reaves-8471817" TargetMode="External"/><Relationship Id="rId585" Type="http://schemas.openxmlformats.org/officeDocument/2006/relationships/hyperlink" Target="https://www.nhl.com/player/Devon-Toews-8478038" TargetMode="External"/><Relationship Id="rId750" Type="http://schemas.openxmlformats.org/officeDocument/2006/relationships/hyperlink" Target="https://www.nhl.com/player/Jacob-Larsson-8478491" TargetMode="External"/><Relationship Id="rId792" Type="http://schemas.openxmlformats.org/officeDocument/2006/relationships/hyperlink" Target="https://www.nhl.com/player/Jaycob-Megna-8477034" TargetMode="External"/><Relationship Id="rId806" Type="http://schemas.openxmlformats.org/officeDocument/2006/relationships/hyperlink" Target="https://www.nhl.com/player/Ian-McCoshen-8477452" TargetMode="External"/><Relationship Id="rId848" Type="http://schemas.openxmlformats.org/officeDocument/2006/relationships/hyperlink" Target="https://www.nhl.com/player/Mario-Ferraro-8479983" TargetMode="External"/><Relationship Id="rId1033" Type="http://schemas.openxmlformats.org/officeDocument/2006/relationships/hyperlink" Target="https://www.nhl.com/player/Givani-Smith-8479379" TargetMode="External"/><Relationship Id="rId6" Type="http://schemas.openxmlformats.org/officeDocument/2006/relationships/hyperlink" Target="https://www.nhl.com/player/Eric-Staal-8470595" TargetMode="External"/><Relationship Id="rId238" Type="http://schemas.openxmlformats.org/officeDocument/2006/relationships/hyperlink" Target="https://www.nhl.com/player/Shayne-Gostisbehere-8476906" TargetMode="External"/><Relationship Id="rId445" Type="http://schemas.openxmlformats.org/officeDocument/2006/relationships/hyperlink" Target="https://www.nhl.com/player/Andrei-Svechnikov-8480830" TargetMode="External"/><Relationship Id="rId487" Type="http://schemas.openxmlformats.org/officeDocument/2006/relationships/hyperlink" Target="https://www.nhl.com/player/Nicolas-Deslauriers-8475235" TargetMode="External"/><Relationship Id="rId610" Type="http://schemas.openxmlformats.org/officeDocument/2006/relationships/hyperlink" Target="https://www.nhl.com/player/Tim-Heed-8475841" TargetMode="External"/><Relationship Id="rId652" Type="http://schemas.openxmlformats.org/officeDocument/2006/relationships/hyperlink" Target="https://www.nhl.com/player/Nick-Paul-8477426" TargetMode="External"/><Relationship Id="rId694" Type="http://schemas.openxmlformats.org/officeDocument/2006/relationships/hyperlink" Target="https://www.nhl.com/player/Mackenzie-MacEachern-8476907" TargetMode="External"/><Relationship Id="rId708" Type="http://schemas.openxmlformats.org/officeDocument/2006/relationships/hyperlink" Target="https://www.nhl.com/player/Dylan-Sikura-8478106" TargetMode="External"/><Relationship Id="rId915" Type="http://schemas.openxmlformats.org/officeDocument/2006/relationships/hyperlink" Target="https://www.nhl.com/player/Danick-Martel-8478365" TargetMode="External"/><Relationship Id="rId291" Type="http://schemas.openxmlformats.org/officeDocument/2006/relationships/hyperlink" Target="https://www.nhl.com/player/Andreas-Athanasiou-8476960" TargetMode="External"/><Relationship Id="rId305" Type="http://schemas.openxmlformats.org/officeDocument/2006/relationships/hyperlink" Target="https://www.nhl.com/player/Yanni-Gourde-8476826" TargetMode="External"/><Relationship Id="rId347" Type="http://schemas.openxmlformats.org/officeDocument/2006/relationships/hyperlink" Target="https://www.nhl.com/player/Ivan-Provorov-8478500" TargetMode="External"/><Relationship Id="rId512" Type="http://schemas.openxmlformats.org/officeDocument/2006/relationships/hyperlink" Target="https://www.nhl.com/player/Lawson-Crouse-8478474" TargetMode="External"/><Relationship Id="rId957" Type="http://schemas.openxmlformats.org/officeDocument/2006/relationships/hyperlink" Target="https://www.nhl.com/player/Mathieu-Olivier-8479671" TargetMode="External"/><Relationship Id="rId999" Type="http://schemas.openxmlformats.org/officeDocument/2006/relationships/hyperlink" Target="https://www.nhl.com/player/Cooper-Marody-8478442" TargetMode="External"/><Relationship Id="rId44" Type="http://schemas.openxmlformats.org/officeDocument/2006/relationships/hyperlink" Target="https://www.nhl.com/player/David-Backes-8470655" TargetMode="External"/><Relationship Id="rId86" Type="http://schemas.openxmlformats.org/officeDocument/2006/relationships/hyperlink" Target="https://www.nhl.com/player/Gabriel-Landeskog-8476455" TargetMode="External"/><Relationship Id="rId151" Type="http://schemas.openxmlformats.org/officeDocument/2006/relationships/hyperlink" Target="https://www.nhl.com/player/Ondrej-Palat-8476292" TargetMode="External"/><Relationship Id="rId389" Type="http://schemas.openxmlformats.org/officeDocument/2006/relationships/hyperlink" Target="https://www.nhl.com/player/Jordan-Martinook-8476921" TargetMode="External"/><Relationship Id="rId554" Type="http://schemas.openxmlformats.org/officeDocument/2006/relationships/hyperlink" Target="https://www.nhl.com/player/Daniel-Carr-8477901" TargetMode="External"/><Relationship Id="rId596" Type="http://schemas.openxmlformats.org/officeDocument/2006/relationships/hyperlink" Target="https://www.nhl.com/player/Gustav-Forsling-8478055" TargetMode="External"/><Relationship Id="rId761" Type="http://schemas.openxmlformats.org/officeDocument/2006/relationships/hyperlink" Target="https://www.nhl.com/player/Ben-Harpur-8477433" TargetMode="External"/><Relationship Id="rId817" Type="http://schemas.openxmlformats.org/officeDocument/2006/relationships/hyperlink" Target="https://www.nhl.com/player/Dmytro-Timashov-8478857" TargetMode="External"/><Relationship Id="rId859" Type="http://schemas.openxmlformats.org/officeDocument/2006/relationships/hyperlink" Target="https://www.nhl.com/player/Tyler-Gaudet-8477715" TargetMode="External"/><Relationship Id="rId1002" Type="http://schemas.openxmlformats.org/officeDocument/2006/relationships/hyperlink" Target="https://www.nhl.com/player/Beck-Malenstyn-8479359" TargetMode="External"/><Relationship Id="rId193" Type="http://schemas.openxmlformats.org/officeDocument/2006/relationships/hyperlink" Target="https://www.nhl.com/player/Carl-Hagelin-8474176" TargetMode="External"/><Relationship Id="rId207" Type="http://schemas.openxmlformats.org/officeDocument/2006/relationships/hyperlink" Target="https://www.nhl.com/player/Brad-Richardson-8470755" TargetMode="External"/><Relationship Id="rId249" Type="http://schemas.openxmlformats.org/officeDocument/2006/relationships/hyperlink" Target="https://www.nhl.com/player/Sami-Vatanen-8475222" TargetMode="External"/><Relationship Id="rId414" Type="http://schemas.openxmlformats.org/officeDocument/2006/relationships/hyperlink" Target="https://www.nhl.com/player/Nick-Cousins-8476393" TargetMode="External"/><Relationship Id="rId456" Type="http://schemas.openxmlformats.org/officeDocument/2006/relationships/hyperlink" Target="https://www.nhl.com/player/Andreas-Johnsson-8477341" TargetMode="External"/><Relationship Id="rId498" Type="http://schemas.openxmlformats.org/officeDocument/2006/relationships/hyperlink" Target="https://www.nhl.com/player/Miro-Heiskanen-8480036" TargetMode="External"/><Relationship Id="rId621" Type="http://schemas.openxmlformats.org/officeDocument/2006/relationships/hyperlink" Target="https://www.nhl.com/player/Jake-Dotchin-8477009" TargetMode="External"/><Relationship Id="rId663" Type="http://schemas.openxmlformats.org/officeDocument/2006/relationships/hyperlink" Target="https://www.nhl.com/player/Jayce-Hawryluk-8477963" TargetMode="External"/><Relationship Id="rId870" Type="http://schemas.openxmlformats.org/officeDocument/2006/relationships/hyperlink" Target="https://www.nhl.com/player/Carson-Soucy-8477369" TargetMode="External"/><Relationship Id="rId13" Type="http://schemas.openxmlformats.org/officeDocument/2006/relationships/hyperlink" Target="https://www.nhl.com/player/Phil-Kessel-8473548" TargetMode="External"/><Relationship Id="rId109" Type="http://schemas.openxmlformats.org/officeDocument/2006/relationships/hyperlink" Target="https://www.nhl.com/player/Johan-Franzen-8471309" TargetMode="External"/><Relationship Id="rId260" Type="http://schemas.openxmlformats.org/officeDocument/2006/relationships/hyperlink" Target="https://www.nhl.com/player/Mathew-Barzal-8478445" TargetMode="External"/><Relationship Id="rId316" Type="http://schemas.openxmlformats.org/officeDocument/2006/relationships/hyperlink" Target="https://www.nhl.com/player/Karl-Alzner-8473991" TargetMode="External"/><Relationship Id="rId523" Type="http://schemas.openxmlformats.org/officeDocument/2006/relationships/hyperlink" Target="https://www.nhl.com/player/Robert-Thomas-8480023" TargetMode="External"/><Relationship Id="rId719" Type="http://schemas.openxmlformats.org/officeDocument/2006/relationships/hyperlink" Target="https://www.nhl.com/player/Michael-Dal%20Colle-8477936" TargetMode="External"/><Relationship Id="rId926" Type="http://schemas.openxmlformats.org/officeDocument/2006/relationships/hyperlink" Target="https://www.nhl.com/player/Logan-O'Connor-8481186" TargetMode="External"/><Relationship Id="rId968" Type="http://schemas.openxmlformats.org/officeDocument/2006/relationships/hyperlink" Target="https://www.nhl.com/player/Mike-Vecchione-8480087" TargetMode="External"/><Relationship Id="rId55" Type="http://schemas.openxmlformats.org/officeDocument/2006/relationships/hyperlink" Target="https://www.nhl.com/player/Bryan-Little-8473412" TargetMode="External"/><Relationship Id="rId97" Type="http://schemas.openxmlformats.org/officeDocument/2006/relationships/hyperlink" Target="https://www.nhl.com/player/Kyle-Turris-8474068" TargetMode="External"/><Relationship Id="rId120" Type="http://schemas.openxmlformats.org/officeDocument/2006/relationships/hyperlink" Target="https://www.nhl.com/player/Mark-Stone-8475913" TargetMode="External"/><Relationship Id="rId358" Type="http://schemas.openxmlformats.org/officeDocument/2006/relationships/hyperlink" Target="https://www.nhl.com/player/Jared-McCann-8477955" TargetMode="External"/><Relationship Id="rId565" Type="http://schemas.openxmlformats.org/officeDocument/2006/relationships/hyperlink" Target="https://www.nhl.com/player/MacKenzie-Weegar-8477346" TargetMode="External"/><Relationship Id="rId730" Type="http://schemas.openxmlformats.org/officeDocument/2006/relationships/hyperlink" Target="https://www.nhl.com/player/Colby-Cave-8477529" TargetMode="External"/><Relationship Id="rId772" Type="http://schemas.openxmlformats.org/officeDocument/2006/relationships/hyperlink" Target="https://www.nhl.com/player/Lawrence-Pilut-8480935" TargetMode="External"/><Relationship Id="rId828" Type="http://schemas.openxmlformats.org/officeDocument/2006/relationships/hyperlink" Target="https://www.nhl.com/player/Dominic-Toninato-8476952" TargetMode="External"/><Relationship Id="rId1013" Type="http://schemas.openxmlformats.org/officeDocument/2006/relationships/hyperlink" Target="https://www.nhl.com/player/Dennis-Gilbert-8478502" TargetMode="External"/><Relationship Id="rId162" Type="http://schemas.openxmlformats.org/officeDocument/2006/relationships/hyperlink" Target="https://www.nhl.com/player/Dougie-Hamilton-8476462" TargetMode="External"/><Relationship Id="rId218" Type="http://schemas.openxmlformats.org/officeDocument/2006/relationships/hyperlink" Target="https://www.nhl.com/player/Max-Domi-8477503" TargetMode="External"/><Relationship Id="rId425" Type="http://schemas.openxmlformats.org/officeDocument/2006/relationships/hyperlink" Target="https://www.nhl.com/player/J.T.-Compher-8477456" TargetMode="External"/><Relationship Id="rId467" Type="http://schemas.openxmlformats.org/officeDocument/2006/relationships/hyperlink" Target="https://www.nhl.com/player/Brett-Ritchie-8476439" TargetMode="External"/><Relationship Id="rId632" Type="http://schemas.openxmlformats.org/officeDocument/2006/relationships/hyperlink" Target="https://www.nhl.com/player/Tage-Thompson-8479420" TargetMode="External"/><Relationship Id="rId271" Type="http://schemas.openxmlformats.org/officeDocument/2006/relationships/hyperlink" Target="https://www.nhl.com/player/Niklas-Hjalmarsson-8471769" TargetMode="External"/><Relationship Id="rId674" Type="http://schemas.openxmlformats.org/officeDocument/2006/relationships/hyperlink" Target="https://www.nhl.com/player/Par-Lindholm-8480944" TargetMode="External"/><Relationship Id="rId881" Type="http://schemas.openxmlformats.org/officeDocument/2006/relationships/hyperlink" Target="https://www.nhl.com/player/Vladislav-Gavrikov-8478882" TargetMode="External"/><Relationship Id="rId937" Type="http://schemas.openxmlformats.org/officeDocument/2006/relationships/hyperlink" Target="https://www.nhl.com/player/Jonathan-Davidsson-8480247" TargetMode="External"/><Relationship Id="rId979" Type="http://schemas.openxmlformats.org/officeDocument/2006/relationships/hyperlink" Target="https://www.nhl.com/player/Julien-Gauthier-8479328" TargetMode="External"/><Relationship Id="rId24" Type="http://schemas.openxmlformats.org/officeDocument/2006/relationships/hyperlink" Target="https://www.nhl.com/player/Blake-Wheeler-8471218" TargetMode="External"/><Relationship Id="rId66" Type="http://schemas.openxmlformats.org/officeDocument/2006/relationships/hyperlink" Target="https://www.nhl.com/player/Jordan-Eberle-8474586" TargetMode="External"/><Relationship Id="rId131" Type="http://schemas.openxmlformats.org/officeDocument/2006/relationships/hyperlink" Target="https://www.nhl.com/player/Gustav-Nyquist-8474679" TargetMode="External"/><Relationship Id="rId327" Type="http://schemas.openxmlformats.org/officeDocument/2006/relationships/hyperlink" Target="https://www.nhl.com/player/Cody-Ceci-8476879" TargetMode="External"/><Relationship Id="rId369" Type="http://schemas.openxmlformats.org/officeDocument/2006/relationships/hyperlink" Target="https://www.nhl.com/player/Erik-Gustafsson-8476979" TargetMode="External"/><Relationship Id="rId534" Type="http://schemas.openxmlformats.org/officeDocument/2006/relationships/hyperlink" Target="https://www.nhl.com/player/Carter-Rowney-8477240" TargetMode="External"/><Relationship Id="rId576" Type="http://schemas.openxmlformats.org/officeDocument/2006/relationships/hyperlink" Target="https://www.nhl.com/player/Brad-Malone-8474089" TargetMode="External"/><Relationship Id="rId741" Type="http://schemas.openxmlformats.org/officeDocument/2006/relationships/hyperlink" Target="https://www.nhl.com/player/Nick-Lappin-8479250" TargetMode="External"/><Relationship Id="rId783" Type="http://schemas.openxmlformats.org/officeDocument/2006/relationships/hyperlink" Target="https://www.nhl.com/player/Josh-Currie-8477680" TargetMode="External"/><Relationship Id="rId839" Type="http://schemas.openxmlformats.org/officeDocument/2006/relationships/hyperlink" Target="https://www.nhl.com/player/Gavin-Bayreuther-8479945" TargetMode="External"/><Relationship Id="rId990" Type="http://schemas.openxmlformats.org/officeDocument/2006/relationships/hyperlink" Target="https://www.nhl.com/player/Danil-Yurtaykin-8481515" TargetMode="External"/><Relationship Id="rId173" Type="http://schemas.openxmlformats.org/officeDocument/2006/relationships/hyperlink" Target="https://www.nhl.com/player/Tyler-Myers-8474574" TargetMode="External"/><Relationship Id="rId229" Type="http://schemas.openxmlformats.org/officeDocument/2006/relationships/hyperlink" Target="https://www.nhl.com/player/Boone-Jenner-8476432" TargetMode="External"/><Relationship Id="rId380" Type="http://schemas.openxmlformats.org/officeDocument/2006/relationships/hyperlink" Target="https://www.nhl.com/player/Joel-Armia-8476469" TargetMode="External"/><Relationship Id="rId436" Type="http://schemas.openxmlformats.org/officeDocument/2006/relationships/hyperlink" Target="https://www.nhl.com/player/Tony-DeAngelo-8477950" TargetMode="External"/><Relationship Id="rId601" Type="http://schemas.openxmlformats.org/officeDocument/2006/relationships/hyperlink" Target="https://www.nhl.com/player/Austin-Wagner-8478455" TargetMode="External"/><Relationship Id="rId643" Type="http://schemas.openxmlformats.org/officeDocument/2006/relationships/hyperlink" Target="https://www.nhl.com/player/Seth-Griffith-8476495" TargetMode="External"/><Relationship Id="rId1024" Type="http://schemas.openxmlformats.org/officeDocument/2006/relationships/hyperlink" Target="https://www.nhl.com/player/Robbie-Russo-8476418" TargetMode="External"/><Relationship Id="rId240" Type="http://schemas.openxmlformats.org/officeDocument/2006/relationships/hyperlink" Target="https://www.nhl.com/player/Jacob-Trouba-8476885" TargetMode="External"/><Relationship Id="rId478" Type="http://schemas.openxmlformats.org/officeDocument/2006/relationships/hyperlink" Target="https://www.nhl.com/player/Jon-Merrill-8475750" TargetMode="External"/><Relationship Id="rId685" Type="http://schemas.openxmlformats.org/officeDocument/2006/relationships/hyperlink" Target="https://www.nhl.com/player/Kevin-Gravel-8475857" TargetMode="External"/><Relationship Id="rId850" Type="http://schemas.openxmlformats.org/officeDocument/2006/relationships/hyperlink" Target="https://www.nhl.com/player/Tyler-Wotherspoon-8476452" TargetMode="External"/><Relationship Id="rId892" Type="http://schemas.openxmlformats.org/officeDocument/2006/relationships/hyperlink" Target="https://www.nhl.com/player/Matthew-Highmore-8478146" TargetMode="External"/><Relationship Id="rId906" Type="http://schemas.openxmlformats.org/officeDocument/2006/relationships/hyperlink" Target="https://www.nhl.com/player/Rasmus-Asplund-8479335" TargetMode="External"/><Relationship Id="rId948" Type="http://schemas.openxmlformats.org/officeDocument/2006/relationships/hyperlink" Target="https://www.nhl.com/player/Mike-Liambas-8475436" TargetMode="External"/><Relationship Id="rId35" Type="http://schemas.openxmlformats.org/officeDocument/2006/relationships/hyperlink" Target="https://www.nhl.com/player/Tyler-Seguin-8475794" TargetMode="External"/><Relationship Id="rId77" Type="http://schemas.openxmlformats.org/officeDocument/2006/relationships/hyperlink" Target="https://www.nhl.com/player/Sam-Gagner-8474040" TargetMode="External"/><Relationship Id="rId100" Type="http://schemas.openxmlformats.org/officeDocument/2006/relationships/hyperlink" Target="https://www.nhl.com/player/Andrew-Cogliano-8471699" TargetMode="External"/><Relationship Id="rId282" Type="http://schemas.openxmlformats.org/officeDocument/2006/relationships/hyperlink" Target="https://www.nhl.com/player/David-Savard-8475233" TargetMode="External"/><Relationship Id="rId338" Type="http://schemas.openxmlformats.org/officeDocument/2006/relationships/hyperlink" Target="https://www.nhl.com/player/Michael-Stone-8474628" TargetMode="External"/><Relationship Id="rId503" Type="http://schemas.openxmlformats.org/officeDocument/2006/relationships/hyperlink" Target="https://www.nhl.com/player/Marcus-Sorensen-8475834" TargetMode="External"/><Relationship Id="rId545" Type="http://schemas.openxmlformats.org/officeDocument/2006/relationships/hyperlink" Target="https://www.nhl.com/player/Marcus-Pettersson-8477969" TargetMode="External"/><Relationship Id="rId587" Type="http://schemas.openxmlformats.org/officeDocument/2006/relationships/hyperlink" Target="https://www.nhl.com/player/Daniel-Sprong-8478466" TargetMode="External"/><Relationship Id="rId710" Type="http://schemas.openxmlformats.org/officeDocument/2006/relationships/hyperlink" Target="https://www.nhl.com/player/Max-McCormick-8476323" TargetMode="External"/><Relationship Id="rId752" Type="http://schemas.openxmlformats.org/officeDocument/2006/relationships/hyperlink" Target="https://www.nhl.com/player/Kevin-Roy-8476971" TargetMode="External"/><Relationship Id="rId808" Type="http://schemas.openxmlformats.org/officeDocument/2006/relationships/hyperlink" Target="https://www.nhl.com/player/Dante-Fabbro-8479371" TargetMode="External"/><Relationship Id="rId8" Type="http://schemas.openxmlformats.org/officeDocument/2006/relationships/hyperlink" Target="https://www.nhl.com/player/Anze-Kopitar-8471685" TargetMode="External"/><Relationship Id="rId142" Type="http://schemas.openxmlformats.org/officeDocument/2006/relationships/hyperlink" Target="https://www.nhl.com/player/Alexander-Radulov-8471228" TargetMode="External"/><Relationship Id="rId184" Type="http://schemas.openxmlformats.org/officeDocument/2006/relationships/hyperlink" Target="https://www.nhl.com/player/Rickard-Rakell-8476483" TargetMode="External"/><Relationship Id="rId391" Type="http://schemas.openxmlformats.org/officeDocument/2006/relationships/hyperlink" Target="https://www.nhl.com/player/Artturi-Lehkonen-8477476" TargetMode="External"/><Relationship Id="rId405" Type="http://schemas.openxmlformats.org/officeDocument/2006/relationships/hyperlink" Target="https://www.nhl.com/player/Dylan-Strome-8478440" TargetMode="External"/><Relationship Id="rId447" Type="http://schemas.openxmlformats.org/officeDocument/2006/relationships/hyperlink" Target="https://www.nhl.com/player/Drake-Caggiula-8479465" TargetMode="External"/><Relationship Id="rId612" Type="http://schemas.openxmlformats.org/officeDocument/2006/relationships/hyperlink" Target="https://www.nhl.com/player/Joshua-Ho-Sang-8477959" TargetMode="External"/><Relationship Id="rId794" Type="http://schemas.openxmlformats.org/officeDocument/2006/relationships/hyperlink" Target="https://www.nhl.com/player/Danny-O'Regan-8476982" TargetMode="External"/><Relationship Id="rId251" Type="http://schemas.openxmlformats.org/officeDocument/2006/relationships/hyperlink" Target="https://www.nhl.com/player/Paul-Byron-8474038" TargetMode="External"/><Relationship Id="rId489" Type="http://schemas.openxmlformats.org/officeDocument/2006/relationships/hyperlink" Target="https://www.nhl.com/player/Markus-Nutivaara-8478906" TargetMode="External"/><Relationship Id="rId654" Type="http://schemas.openxmlformats.org/officeDocument/2006/relationships/hyperlink" Target="https://www.nhl.com/player/Matthew-Peca-8476285" TargetMode="External"/><Relationship Id="rId696" Type="http://schemas.openxmlformats.org/officeDocument/2006/relationships/hyperlink" Target="https://www.nhl.com/player/Kevin-Rooney-8479291" TargetMode="External"/><Relationship Id="rId861" Type="http://schemas.openxmlformats.org/officeDocument/2006/relationships/hyperlink" Target="https://www.nhl.com/player/Blake-Pietila-8476370" TargetMode="External"/><Relationship Id="rId917" Type="http://schemas.openxmlformats.org/officeDocument/2006/relationships/hyperlink" Target="https://www.nhl.com/player/Rasmus-Sandin-8480873" TargetMode="External"/><Relationship Id="rId959" Type="http://schemas.openxmlformats.org/officeDocument/2006/relationships/hyperlink" Target="https://www.nhl.com/player/Rinat-Valiev-8477642" TargetMode="External"/><Relationship Id="rId46" Type="http://schemas.openxmlformats.org/officeDocument/2006/relationships/hyperlink" Target="https://www.nhl.com/player/Keith-Yandle-8471735" TargetMode="External"/><Relationship Id="rId293" Type="http://schemas.openxmlformats.org/officeDocument/2006/relationships/hyperlink" Target="https://www.nhl.com/player/Zach-Werenski-8478460" TargetMode="External"/><Relationship Id="rId307" Type="http://schemas.openxmlformats.org/officeDocument/2006/relationships/hyperlink" Target="https://www.nhl.com/player/Carl-Gunnarsson-8474125" TargetMode="External"/><Relationship Id="rId349" Type="http://schemas.openxmlformats.org/officeDocument/2006/relationships/hyperlink" Target="https://www.nhl.com/player/Thomas-Hickey-8474066" TargetMode="External"/><Relationship Id="rId514" Type="http://schemas.openxmlformats.org/officeDocument/2006/relationships/hyperlink" Target="https://www.nhl.com/player/Nate-Prosser-8475613" TargetMode="External"/><Relationship Id="rId556" Type="http://schemas.openxmlformats.org/officeDocument/2006/relationships/hyperlink" Target="https://www.nhl.com/player/Rocco-Grimaldi-8476428" TargetMode="External"/><Relationship Id="rId721" Type="http://schemas.openxmlformats.org/officeDocument/2006/relationships/hyperlink" Target="https://www.nhl.com/player/Chris-Mueller-8474535" TargetMode="External"/><Relationship Id="rId763" Type="http://schemas.openxmlformats.org/officeDocument/2006/relationships/hyperlink" Target="https://www.nhl.com/player/Alexandre-Texier-8480074" TargetMode="External"/><Relationship Id="rId88" Type="http://schemas.openxmlformats.org/officeDocument/2006/relationships/hyperlink" Target="https://www.nhl.com/player/Ryan-Johansen-8475793" TargetMode="External"/><Relationship Id="rId111" Type="http://schemas.openxmlformats.org/officeDocument/2006/relationships/hyperlink" Target="https://www.nhl.com/player/Mats-Zuccarello-8475692" TargetMode="External"/><Relationship Id="rId153" Type="http://schemas.openxmlformats.org/officeDocument/2006/relationships/hyperlink" Target="https://www.nhl.com/player/Jack-Eichel-8478403" TargetMode="External"/><Relationship Id="rId195" Type="http://schemas.openxmlformats.org/officeDocument/2006/relationships/hyperlink" Target="https://www.nhl.com/player/Kevin-Hayes-8475763" TargetMode="External"/><Relationship Id="rId209" Type="http://schemas.openxmlformats.org/officeDocument/2006/relationships/hyperlink" Target="https://www.nhl.com/player/Kris-Russell-8471729" TargetMode="External"/><Relationship Id="rId360" Type="http://schemas.openxmlformats.org/officeDocument/2006/relationships/hyperlink" Target="https://www.nhl.com/player/Ryan-Murray-8476850" TargetMode="External"/><Relationship Id="rId416" Type="http://schemas.openxmlformats.org/officeDocument/2006/relationships/hyperlink" Target="https://www.nhl.com/player/Matt-Irwin-8475625" TargetMode="External"/><Relationship Id="rId598" Type="http://schemas.openxmlformats.org/officeDocument/2006/relationships/hyperlink" Target="https://www.nhl.com/player/Nic-Petan-8477464" TargetMode="External"/><Relationship Id="rId819" Type="http://schemas.openxmlformats.org/officeDocument/2006/relationships/hyperlink" Target="https://www.nhl.com/player/Caleb-Jones-8478452" TargetMode="External"/><Relationship Id="rId970" Type="http://schemas.openxmlformats.org/officeDocument/2006/relationships/hyperlink" Target="https://www.nhl.com/player/Justin-Kloos-8480082" TargetMode="External"/><Relationship Id="rId1004" Type="http://schemas.openxmlformats.org/officeDocument/2006/relationships/hyperlink" Target="https://www.nhl.com/player/Dan-Renouf-8479252" TargetMode="External"/><Relationship Id="rId220" Type="http://schemas.openxmlformats.org/officeDocument/2006/relationships/hyperlink" Target="https://www.nhl.com/player/Sebastian-Aho-8478427" TargetMode="External"/><Relationship Id="rId458" Type="http://schemas.openxmlformats.org/officeDocument/2006/relationships/hyperlink" Target="https://www.nhl.com/player/Nolan-Patrick-8479974" TargetMode="External"/><Relationship Id="rId623" Type="http://schemas.openxmlformats.org/officeDocument/2006/relationships/hyperlink" Target="https://www.nhl.com/player/Cody-Goloubef-8474597" TargetMode="External"/><Relationship Id="rId665" Type="http://schemas.openxmlformats.org/officeDocument/2006/relationships/hyperlink" Target="https://www.nhl.com/player/Valentin-Zykov-8477458" TargetMode="External"/><Relationship Id="rId830" Type="http://schemas.openxmlformats.org/officeDocument/2006/relationships/hyperlink" Target="https://www.nhl.com/player/Kurtis-Gabriel-8476545" TargetMode="External"/><Relationship Id="rId872" Type="http://schemas.openxmlformats.org/officeDocument/2006/relationships/hyperlink" Target="https://www.nhl.com/player/Morgan-Frost-8480028" TargetMode="External"/><Relationship Id="rId928" Type="http://schemas.openxmlformats.org/officeDocument/2006/relationships/hyperlink" Target="https://www.nhl.com/player/Jacob-MacDonald-8479439" TargetMode="External"/><Relationship Id="rId15" Type="http://schemas.openxmlformats.org/officeDocument/2006/relationships/hyperlink" Target="https://www.nhl.com/player/Steven-Stamkos-8474564" TargetMode="External"/><Relationship Id="rId57" Type="http://schemas.openxmlformats.org/officeDocument/2006/relationships/hyperlink" Target="https://www.nhl.com/player/Jordan-Staal-8473533" TargetMode="External"/><Relationship Id="rId262" Type="http://schemas.openxmlformats.org/officeDocument/2006/relationships/hyperlink" Target="https://www.nhl.com/player/Calle-Jarnkrok-8475714" TargetMode="External"/><Relationship Id="rId318" Type="http://schemas.openxmlformats.org/officeDocument/2006/relationships/hyperlink" Target="https://www.nhl.com/player/Pierre-Luc-Dubois-8479400" TargetMode="External"/><Relationship Id="rId525" Type="http://schemas.openxmlformats.org/officeDocument/2006/relationships/hyperlink" Target="https://www.nhl.com/player/Christian-Folin-8477850" TargetMode="External"/><Relationship Id="rId567" Type="http://schemas.openxmlformats.org/officeDocument/2006/relationships/hyperlink" Target="https://www.nhl.com/player/Micheal-Haley-8474230" TargetMode="External"/><Relationship Id="rId732" Type="http://schemas.openxmlformats.org/officeDocument/2006/relationships/hyperlink" Target="https://www.nhl.com/player/Vladislav-Kamenev-8477973" TargetMode="External"/><Relationship Id="rId99" Type="http://schemas.openxmlformats.org/officeDocument/2006/relationships/hyperlink" Target="https://www.nhl.com/player/Alex-Goligoski-8471274" TargetMode="External"/><Relationship Id="rId122" Type="http://schemas.openxmlformats.org/officeDocument/2006/relationships/hyperlink" Target="https://www.nhl.com/player/Oliver-Ekman-Larsson-8475171" TargetMode="External"/><Relationship Id="rId164" Type="http://schemas.openxmlformats.org/officeDocument/2006/relationships/hyperlink" Target="https://www.nhl.com/player/Colin-Wilson-8474569" TargetMode="External"/><Relationship Id="rId371" Type="http://schemas.openxmlformats.org/officeDocument/2006/relationships/hyperlink" Target="https://www.nhl.com/player/Calvin-de%20Haan-8475177" TargetMode="External"/><Relationship Id="rId774" Type="http://schemas.openxmlformats.org/officeDocument/2006/relationships/hyperlink" Target="https://www.nhl.com/player/Libor-Hajek-8479333" TargetMode="External"/><Relationship Id="rId981" Type="http://schemas.openxmlformats.org/officeDocument/2006/relationships/hyperlink" Target="https://www.nhl.com/player/Dillon-Simpson-8476416" TargetMode="External"/><Relationship Id="rId1015" Type="http://schemas.openxmlformats.org/officeDocument/2006/relationships/hyperlink" Target="https://www.nhl.com/player/Riley-Barber-8477003" TargetMode="External"/><Relationship Id="rId427" Type="http://schemas.openxmlformats.org/officeDocument/2006/relationships/hyperlink" Target="https://www.nhl.com/player/Brendan-Perlini-8477943" TargetMode="External"/><Relationship Id="rId469" Type="http://schemas.openxmlformats.org/officeDocument/2006/relationships/hyperlink" Target="https://www.nhl.com/player/Jordan-Weal-8475738" TargetMode="External"/><Relationship Id="rId634" Type="http://schemas.openxmlformats.org/officeDocument/2006/relationships/hyperlink" Target="https://www.nhl.com/player/Steven-Santini-8477463" TargetMode="External"/><Relationship Id="rId676" Type="http://schemas.openxmlformats.org/officeDocument/2006/relationships/hyperlink" Target="https://www.nhl.com/player/Matt-Luff-8479644" TargetMode="External"/><Relationship Id="rId841" Type="http://schemas.openxmlformats.org/officeDocument/2006/relationships/hyperlink" Target="https://www.nhl.com/player/Ville-Heinola-8481572" TargetMode="External"/><Relationship Id="rId883" Type="http://schemas.openxmlformats.org/officeDocument/2006/relationships/hyperlink" Target="https://www.nhl.com/player/Michael-Mersch-8476352" TargetMode="External"/><Relationship Id="rId26" Type="http://schemas.openxmlformats.org/officeDocument/2006/relationships/hyperlink" Target="https://www.nhl.com/player/Mikko-Koivu-8469459" TargetMode="External"/><Relationship Id="rId231" Type="http://schemas.openxmlformats.org/officeDocument/2006/relationships/hyperlink" Target="https://www.nhl.com/player/Rasmus-Ristolainen-8477499" TargetMode="External"/><Relationship Id="rId273" Type="http://schemas.openxmlformats.org/officeDocument/2006/relationships/hyperlink" Target="https://www.nhl.com/player/Zack-Kassian-8475178" TargetMode="External"/><Relationship Id="rId329" Type="http://schemas.openxmlformats.org/officeDocument/2006/relationships/hyperlink" Target="https://www.nhl.com/player/Noah-Hanifin-8478396" TargetMode="External"/><Relationship Id="rId480" Type="http://schemas.openxmlformats.org/officeDocument/2006/relationships/hyperlink" Target="https://www.nhl.com/player/Michal-Kempny-8479482" TargetMode="External"/><Relationship Id="rId536" Type="http://schemas.openxmlformats.org/officeDocument/2006/relationships/hyperlink" Target="https://www.nhl.com/player/Tomas-Nosek-8477931" TargetMode="External"/><Relationship Id="rId701" Type="http://schemas.openxmlformats.org/officeDocument/2006/relationships/hyperlink" Target="https://www.nhl.com/player/Philippe-Myers-8479026" TargetMode="External"/><Relationship Id="rId939" Type="http://schemas.openxmlformats.org/officeDocument/2006/relationships/hyperlink" Target="https://www.nhl.com/player/Luke-Johnson-8477366" TargetMode="External"/><Relationship Id="rId68" Type="http://schemas.openxmlformats.org/officeDocument/2006/relationships/hyperlink" Target="https://www.nhl.com/player/Drew-Doughty-8474563" TargetMode="External"/><Relationship Id="rId133" Type="http://schemas.openxmlformats.org/officeDocument/2006/relationships/hyperlink" Target="https://www.nhl.com/player/Dan-Hamhuis-8469465" TargetMode="External"/><Relationship Id="rId175" Type="http://schemas.openxmlformats.org/officeDocument/2006/relationships/hyperlink" Target="https://www.nhl.com/player/John-Klingberg-8475906" TargetMode="External"/><Relationship Id="rId340" Type="http://schemas.openxmlformats.org/officeDocument/2006/relationships/hyperlink" Target="https://www.nhl.com/player/Zach-Hyman-8475786" TargetMode="External"/><Relationship Id="rId578" Type="http://schemas.openxmlformats.org/officeDocument/2006/relationships/hyperlink" Target="https://www.nhl.com/player/Brett-Kulak-8476967" TargetMode="External"/><Relationship Id="rId743" Type="http://schemas.openxmlformats.org/officeDocument/2006/relationships/hyperlink" Target="https://www.nhl.com/player/Kurtis-MacDermid-8477073" TargetMode="External"/><Relationship Id="rId785" Type="http://schemas.openxmlformats.org/officeDocument/2006/relationships/hyperlink" Target="https://www.nhl.com/player/John-Gilmour-8477337" TargetMode="External"/><Relationship Id="rId950" Type="http://schemas.openxmlformats.org/officeDocument/2006/relationships/hyperlink" Target="https://www.nhl.com/player/Matt-Lorito-8478371" TargetMode="External"/><Relationship Id="rId992" Type="http://schemas.openxmlformats.org/officeDocument/2006/relationships/hyperlink" Target="https://www.nhl.com/player/Josh-Teves-8481425" TargetMode="External"/><Relationship Id="rId1026" Type="http://schemas.openxmlformats.org/officeDocument/2006/relationships/hyperlink" Target="https://www.nhl.com/player/Jake-Bischoff-8476987" TargetMode="External"/><Relationship Id="rId200" Type="http://schemas.openxmlformats.org/officeDocument/2006/relationships/hyperlink" Target="https://www.nhl.com/player/Andy-Greene-8472382" TargetMode="External"/><Relationship Id="rId382" Type="http://schemas.openxmlformats.org/officeDocument/2006/relationships/hyperlink" Target="https://www.nhl.com/player/Andrew-Copp-8477429" TargetMode="External"/><Relationship Id="rId438" Type="http://schemas.openxmlformats.org/officeDocument/2006/relationships/hyperlink" Target="https://www.nhl.com/player/Erik-Gudbranson-8475790" TargetMode="External"/><Relationship Id="rId603" Type="http://schemas.openxmlformats.org/officeDocument/2006/relationships/hyperlink" Target="https://www.nhl.com/player/Victor-Olofsson-8478109" TargetMode="External"/><Relationship Id="rId645" Type="http://schemas.openxmlformats.org/officeDocument/2006/relationships/hyperlink" Target="https://www.nhl.com/player/Boo-Nieves-8476922" TargetMode="External"/><Relationship Id="rId687" Type="http://schemas.openxmlformats.org/officeDocument/2006/relationships/hyperlink" Target="https://www.nhl.com/player/Kiefer-Sherwood-8480748" TargetMode="External"/><Relationship Id="rId810" Type="http://schemas.openxmlformats.org/officeDocument/2006/relationships/hyperlink" Target="https://www.nhl.com/player/Aaron-Ness-8474604" TargetMode="External"/><Relationship Id="rId852" Type="http://schemas.openxmlformats.org/officeDocument/2006/relationships/hyperlink" Target="https://www.nhl.com/player/Nathan-Walker-8477573" TargetMode="External"/><Relationship Id="rId908" Type="http://schemas.openxmlformats.org/officeDocument/2006/relationships/hyperlink" Target="https://www.nhl.com/player/Jakob-Lilja-8481650" TargetMode="External"/><Relationship Id="rId242" Type="http://schemas.openxmlformats.org/officeDocument/2006/relationships/hyperlink" Target="https://www.nhl.com/player/Tanner-Pearson-8476871" TargetMode="External"/><Relationship Id="rId284" Type="http://schemas.openxmlformats.org/officeDocument/2006/relationships/hyperlink" Target="https://www.nhl.com/player/Leo-Komarov-8473463" TargetMode="External"/><Relationship Id="rId491" Type="http://schemas.openxmlformats.org/officeDocument/2006/relationships/hyperlink" Target="https://www.nhl.com/player/Travis-Sanheim-8477948" TargetMode="External"/><Relationship Id="rId505" Type="http://schemas.openxmlformats.org/officeDocument/2006/relationships/hyperlink" Target="https://www.nhl.com/player/Scott-Wilson-8476293" TargetMode="External"/><Relationship Id="rId712" Type="http://schemas.openxmlformats.org/officeDocument/2006/relationships/hyperlink" Target="https://www.nhl.com/player/Max-Jones-8479368" TargetMode="External"/><Relationship Id="rId894" Type="http://schemas.openxmlformats.org/officeDocument/2006/relationships/hyperlink" Target="https://www.nhl.com/player/Patrick-Sieloff-8476890" TargetMode="External"/><Relationship Id="rId37" Type="http://schemas.openxmlformats.org/officeDocument/2006/relationships/hyperlink" Target="https://www.nhl.com/player/Duncan-Keith-8470281" TargetMode="External"/><Relationship Id="rId79" Type="http://schemas.openxmlformats.org/officeDocument/2006/relationships/hyperlink" Target="https://www.nhl.com/player/Nick-Foligno-8473422" TargetMode="External"/><Relationship Id="rId102" Type="http://schemas.openxmlformats.org/officeDocument/2006/relationships/hyperlink" Target="https://www.nhl.com/player/Jay-Bouwmeester-8470151" TargetMode="External"/><Relationship Id="rId144" Type="http://schemas.openxmlformats.org/officeDocument/2006/relationships/hyperlink" Target="https://www.nhl.com/player/Kyle-Palmieri-8475151" TargetMode="External"/><Relationship Id="rId547" Type="http://schemas.openxmlformats.org/officeDocument/2006/relationships/hyperlink" Target="https://www.nhl.com/player/Zac-Rinaldo-8474736" TargetMode="External"/><Relationship Id="rId589" Type="http://schemas.openxmlformats.org/officeDocument/2006/relationships/hyperlink" Target="https://www.nhl.com/player/Alan-Quine-8476409" TargetMode="External"/><Relationship Id="rId754" Type="http://schemas.openxmlformats.org/officeDocument/2006/relationships/hyperlink" Target="https://www.nhl.com/player/Jordan-Szwarz-8475224" TargetMode="External"/><Relationship Id="rId796" Type="http://schemas.openxmlformats.org/officeDocument/2006/relationships/hyperlink" Target="https://www.nhl.com/player/Jordan-Schmaltz-8476877" TargetMode="External"/><Relationship Id="rId961" Type="http://schemas.openxmlformats.org/officeDocument/2006/relationships/hyperlink" Target="https://www.nhl.com/player/Nicholas-Merkley-8478447" TargetMode="External"/><Relationship Id="rId90" Type="http://schemas.openxmlformats.org/officeDocument/2006/relationships/hyperlink" Target="https://www.nhl.com/player/Tyler-Bozak-8475098" TargetMode="External"/><Relationship Id="rId186" Type="http://schemas.openxmlformats.org/officeDocument/2006/relationships/hyperlink" Target="https://www.nhl.com/player/Carl-Soderberg-8471262" TargetMode="External"/><Relationship Id="rId351" Type="http://schemas.openxmlformats.org/officeDocument/2006/relationships/hyperlink" Target="https://www.nhl.com/player/Josh-Anderson-8476981" TargetMode="External"/><Relationship Id="rId393" Type="http://schemas.openxmlformats.org/officeDocument/2006/relationships/hyperlink" Target="https://www.nhl.com/player/Josh-Manson-8476312" TargetMode="External"/><Relationship Id="rId407" Type="http://schemas.openxmlformats.org/officeDocument/2006/relationships/hyperlink" Target="https://www.nhl.com/player/Robby-Fabbri-8477952" TargetMode="External"/><Relationship Id="rId449" Type="http://schemas.openxmlformats.org/officeDocument/2006/relationships/hyperlink" Target="https://www.nhl.com/player/Ivan-Barbashev-8477964" TargetMode="External"/><Relationship Id="rId614" Type="http://schemas.openxmlformats.org/officeDocument/2006/relationships/hyperlink" Target="https://www.nhl.com/player/Adam-Clendening-8476431" TargetMode="External"/><Relationship Id="rId656" Type="http://schemas.openxmlformats.org/officeDocument/2006/relationships/hyperlink" Target="https://www.nhl.com/player/Matt-Puempel-8476477" TargetMode="External"/><Relationship Id="rId821" Type="http://schemas.openxmlformats.org/officeDocument/2006/relationships/hyperlink" Target="https://www.nhl.com/player/Andy-Welinski-8476407" TargetMode="External"/><Relationship Id="rId863" Type="http://schemas.openxmlformats.org/officeDocument/2006/relationships/hyperlink" Target="https://www.nhl.com/player/Nicolas-Hague-8479980" TargetMode="External"/><Relationship Id="rId211" Type="http://schemas.openxmlformats.org/officeDocument/2006/relationships/hyperlink" Target="https://www.nhl.com/player/Braydon-Coburn-8470601" TargetMode="External"/><Relationship Id="rId253" Type="http://schemas.openxmlformats.org/officeDocument/2006/relationships/hyperlink" Target="https://www.nhl.com/player/Evgenii-Dadonov-8474149" TargetMode="External"/><Relationship Id="rId295" Type="http://schemas.openxmlformats.org/officeDocument/2006/relationships/hyperlink" Target="https://www.nhl.com/player/Brock-Boeser-8478444" TargetMode="External"/><Relationship Id="rId309" Type="http://schemas.openxmlformats.org/officeDocument/2006/relationships/hyperlink" Target="https://www.nhl.com/player/Colton-Sceviour-8474098" TargetMode="External"/><Relationship Id="rId460" Type="http://schemas.openxmlformats.org/officeDocument/2006/relationships/hyperlink" Target="https://www.nhl.com/player/Josh-Leivo-8476410" TargetMode="External"/><Relationship Id="rId516" Type="http://schemas.openxmlformats.org/officeDocument/2006/relationships/hyperlink" Target="https://www.nhl.com/player/Nikolay-Goldobin-8477958" TargetMode="External"/><Relationship Id="rId698" Type="http://schemas.openxmlformats.org/officeDocument/2006/relationships/hyperlink" Target="https://www.nhl.com/player/Ross-Johnston-8477527" TargetMode="External"/><Relationship Id="rId919" Type="http://schemas.openxmlformats.org/officeDocument/2006/relationships/hyperlink" Target="https://www.nhl.com/player/Louie-Belpedio-8478011" TargetMode="External"/><Relationship Id="rId48" Type="http://schemas.openxmlformats.org/officeDocument/2006/relationships/hyperlink" Target="https://www.nhl.com/player/Andrew-Ladd-8471217" TargetMode="External"/><Relationship Id="rId113" Type="http://schemas.openxmlformats.org/officeDocument/2006/relationships/hyperlink" Target="https://www.nhl.com/player/Sean-Couturier-8476461" TargetMode="External"/><Relationship Id="rId320" Type="http://schemas.openxmlformats.org/officeDocument/2006/relationships/hyperlink" Target="https://www.nhl.com/player/Jonas-Brodin-8476463" TargetMode="External"/><Relationship Id="rId558" Type="http://schemas.openxmlformats.org/officeDocument/2006/relationships/hyperlink" Target="https://www.nhl.com/player/Sonny-Milano-8477947" TargetMode="External"/><Relationship Id="rId723" Type="http://schemas.openxmlformats.org/officeDocument/2006/relationships/hyperlink" Target="https://www.nhl.com/player/Blake-Lizotte-8481481" TargetMode="External"/><Relationship Id="rId765" Type="http://schemas.openxmlformats.org/officeDocument/2006/relationships/hyperlink" Target="https://www.nhl.com/player/Sheldon-Dries-8480326" TargetMode="External"/><Relationship Id="rId930" Type="http://schemas.openxmlformats.org/officeDocument/2006/relationships/hyperlink" Target="https://www.nhl.com/player/Noah-Gregor-8479393" TargetMode="External"/><Relationship Id="rId972" Type="http://schemas.openxmlformats.org/officeDocument/2006/relationships/hyperlink" Target="https://www.nhl.com/player/Cameron-Hughes-8478888" TargetMode="External"/><Relationship Id="rId1006" Type="http://schemas.openxmlformats.org/officeDocument/2006/relationships/hyperlink" Target="https://www.nhl.com/player/Josh-Jacobs-8477972" TargetMode="External"/><Relationship Id="rId155" Type="http://schemas.openxmlformats.org/officeDocument/2006/relationships/hyperlink" Target="https://www.nhl.com/player/Trevor-Daley-8470110" TargetMode="External"/><Relationship Id="rId197" Type="http://schemas.openxmlformats.org/officeDocument/2006/relationships/hyperlink" Target="https://www.nhl.com/player/Patrick-Eaves-8470622" TargetMode="External"/><Relationship Id="rId362" Type="http://schemas.openxmlformats.org/officeDocument/2006/relationships/hyperlink" Target="https://www.nhl.com/player/Jakub-Vrana-8477944" TargetMode="External"/><Relationship Id="rId418" Type="http://schemas.openxmlformats.org/officeDocument/2006/relationships/hyperlink" Target="https://www.nhl.com/player/Blake-Coleman-8476399" TargetMode="External"/><Relationship Id="rId625" Type="http://schemas.openxmlformats.org/officeDocument/2006/relationships/hyperlink" Target="https://www.nhl.com/player/Anders-Bjork-8478075" TargetMode="External"/><Relationship Id="rId832" Type="http://schemas.openxmlformats.org/officeDocument/2006/relationships/hyperlink" Target="https://www.nhl.com/player/Gaetan-Haas-8481813" TargetMode="External"/><Relationship Id="rId222" Type="http://schemas.openxmlformats.org/officeDocument/2006/relationships/hyperlink" Target="https://www.nhl.com/player/Ryan-Strome-8476458" TargetMode="External"/><Relationship Id="rId264" Type="http://schemas.openxmlformats.org/officeDocument/2006/relationships/hyperlink" Target="https://www.nhl.com/player/Chris-Tierney-8476919" TargetMode="External"/><Relationship Id="rId471" Type="http://schemas.openxmlformats.org/officeDocument/2006/relationships/hyperlink" Target="https://www.nhl.com/player/Mark-Jankowski-8476873" TargetMode="External"/><Relationship Id="rId667" Type="http://schemas.openxmlformats.org/officeDocument/2006/relationships/hyperlink" Target="https://www.nhl.com/player/Dryden-Hunt-8478211" TargetMode="External"/><Relationship Id="rId874" Type="http://schemas.openxmlformats.org/officeDocument/2006/relationships/hyperlink" Target="https://www.nhl.com/player/Kalle-Kossila-8479290" TargetMode="External"/><Relationship Id="rId17" Type="http://schemas.openxmlformats.org/officeDocument/2006/relationships/hyperlink" Target="https://www.nhl.com/player/Claude-Giroux-8473512" TargetMode="External"/><Relationship Id="rId59" Type="http://schemas.openxmlformats.org/officeDocument/2006/relationships/hyperlink" Target="https://www.nhl.com/player/Max-Pacioretty-8474157" TargetMode="External"/><Relationship Id="rId124" Type="http://schemas.openxmlformats.org/officeDocument/2006/relationships/hyperlink" Target="https://www.nhl.com/player/Matt-Niskanen-8471702" TargetMode="External"/><Relationship Id="rId527" Type="http://schemas.openxmlformats.org/officeDocument/2006/relationships/hyperlink" Target="https://www.nhl.com/player/Reid-Boucher-8476423" TargetMode="External"/><Relationship Id="rId569" Type="http://schemas.openxmlformats.org/officeDocument/2006/relationships/hyperlink" Target="https://www.nhl.com/player/Robert-Hagg-8477462" TargetMode="External"/><Relationship Id="rId734" Type="http://schemas.openxmlformats.org/officeDocument/2006/relationships/hyperlink" Target="https://www.nhl.com/player/Antti-Suomela-8480965" TargetMode="External"/><Relationship Id="rId776" Type="http://schemas.openxmlformats.org/officeDocument/2006/relationships/hyperlink" Target="https://www.nhl.com/player/Nikolai-Prokhorkin-8476947" TargetMode="External"/><Relationship Id="rId941" Type="http://schemas.openxmlformats.org/officeDocument/2006/relationships/hyperlink" Target="https://www.nhl.com/player/Cameron-Schilling-8476799" TargetMode="External"/><Relationship Id="rId983" Type="http://schemas.openxmlformats.org/officeDocument/2006/relationships/hyperlink" Target="https://www.nhl.com/player/Joona-Luoto-8481649" TargetMode="External"/><Relationship Id="rId70" Type="http://schemas.openxmlformats.org/officeDocument/2006/relationships/hyperlink" Target="https://www.nhl.com/player/Mark-Giordano-8470966" TargetMode="External"/><Relationship Id="rId166" Type="http://schemas.openxmlformats.org/officeDocument/2006/relationships/hyperlink" Target="https://www.nhl.com/player/Alex-Killorn-8473986" TargetMode="External"/><Relationship Id="rId331" Type="http://schemas.openxmlformats.org/officeDocument/2006/relationships/hyperlink" Target="https://www.nhl.com/player/Ian-Cole-8474013" TargetMode="External"/><Relationship Id="rId373" Type="http://schemas.openxmlformats.org/officeDocument/2006/relationships/hyperlink" Target="https://www.nhl.com/player/Elias-Pettersson-8480012" TargetMode="External"/><Relationship Id="rId429" Type="http://schemas.openxmlformats.org/officeDocument/2006/relationships/hyperlink" Target="https://www.nhl.com/player/Mike-Matheson-8476875" TargetMode="External"/><Relationship Id="rId580" Type="http://schemas.openxmlformats.org/officeDocument/2006/relationships/hyperlink" Target="https://www.nhl.com/player/Jan-Rutta-8480172" TargetMode="External"/><Relationship Id="rId636" Type="http://schemas.openxmlformats.org/officeDocument/2006/relationships/hyperlink" Target="https://www.nhl.com/player/Mirco-Mueller-8477509" TargetMode="External"/><Relationship Id="rId801" Type="http://schemas.openxmlformats.org/officeDocument/2006/relationships/hyperlink" Target="https://www.nhl.com/player/Joel-Hanley-8477810" TargetMode="External"/><Relationship Id="rId1017" Type="http://schemas.openxmlformats.org/officeDocument/2006/relationships/hyperlink" Target="https://www.nhl.com/player/German-Rubtsov-8479424" TargetMode="External"/><Relationship Id="rId1" Type="http://schemas.openxmlformats.org/officeDocument/2006/relationships/hyperlink" Target="https://www.nhl.com/player/Alex-Ovechkin-8471214" TargetMode="External"/><Relationship Id="rId233" Type="http://schemas.openxmlformats.org/officeDocument/2006/relationships/hyperlink" Target="https://www.nhl.com/player/Johnny-Boychuk-8470187" TargetMode="External"/><Relationship Id="rId440" Type="http://schemas.openxmlformats.org/officeDocument/2006/relationships/hyperlink" Target="https://www.nhl.com/player/Anthony-Cirelli-8478519" TargetMode="External"/><Relationship Id="rId678" Type="http://schemas.openxmlformats.org/officeDocument/2006/relationships/hyperlink" Target="https://www.nhl.com/player/Ethan-Bear-8478451" TargetMode="External"/><Relationship Id="rId843" Type="http://schemas.openxmlformats.org/officeDocument/2006/relationships/hyperlink" Target="https://www.nhl.com/player/Filip-Zadina-8480821" TargetMode="External"/><Relationship Id="rId885" Type="http://schemas.openxmlformats.org/officeDocument/2006/relationships/hyperlink" Target="https://www.nhl.com/player/Zach-Senyshyn-8478485" TargetMode="External"/><Relationship Id="rId28" Type="http://schemas.openxmlformats.org/officeDocument/2006/relationships/hyperlink" Target="https://www.nhl.com/player/David-Krejci-8471276" TargetMode="External"/><Relationship Id="rId275" Type="http://schemas.openxmlformats.org/officeDocument/2006/relationships/hyperlink" Target="https://www.nhl.com/player/Matt-Dumba-8476856" TargetMode="External"/><Relationship Id="rId300" Type="http://schemas.openxmlformats.org/officeDocument/2006/relationships/hyperlink" Target="https://www.nhl.com/player/Damon-Severson-8476923" TargetMode="External"/><Relationship Id="rId482" Type="http://schemas.openxmlformats.org/officeDocument/2006/relationships/hyperlink" Target="https://www.nhl.com/player/Nic-Dowd-8475343" TargetMode="External"/><Relationship Id="rId538" Type="http://schemas.openxmlformats.org/officeDocument/2006/relationships/hyperlink" Target="https://www.nhl.com/player/Jesperi-Kotkaniemi-8480829" TargetMode="External"/><Relationship Id="rId703" Type="http://schemas.openxmlformats.org/officeDocument/2006/relationships/hyperlink" Target="https://www.nhl.com/player/Andreas-Borgman-8480158" TargetMode="External"/><Relationship Id="rId745" Type="http://schemas.openxmlformats.org/officeDocument/2006/relationships/hyperlink" Target="https://www.nhl.com/player/Tanner-Fritz-8479206" TargetMode="External"/><Relationship Id="rId910" Type="http://schemas.openxmlformats.org/officeDocument/2006/relationships/hyperlink" Target="https://www.nhl.com/player/Isac-Lundestrom-8480806" TargetMode="External"/><Relationship Id="rId952" Type="http://schemas.openxmlformats.org/officeDocument/2006/relationships/hyperlink" Target="https://www.nhl.com/player/Eetu-Luostarinen-8480185" TargetMode="External"/><Relationship Id="rId81" Type="http://schemas.openxmlformats.org/officeDocument/2006/relationships/hyperlink" Target="https://www.nhl.com/player/John-Carlson-8474590" TargetMode="External"/><Relationship Id="rId135" Type="http://schemas.openxmlformats.org/officeDocument/2006/relationships/hyperlink" Target="https://www.nhl.com/player/Chris-Stewart-8473485" TargetMode="External"/><Relationship Id="rId177" Type="http://schemas.openxmlformats.org/officeDocument/2006/relationships/hyperlink" Target="https://www.nhl.com/player/J.T.-Miller-8476468" TargetMode="External"/><Relationship Id="rId342" Type="http://schemas.openxmlformats.org/officeDocument/2006/relationships/hyperlink" Target="https://www.nhl.com/player/Kevin-Fiala-8477942" TargetMode="External"/><Relationship Id="rId384" Type="http://schemas.openxmlformats.org/officeDocument/2006/relationships/hyperlink" Target="https://www.nhl.com/player/Shea-Theodore-8477447" TargetMode="External"/><Relationship Id="rId591" Type="http://schemas.openxmlformats.org/officeDocument/2006/relationships/hyperlink" Target="https://www.nhl.com/player/Victor-Mete-8479376" TargetMode="External"/><Relationship Id="rId605" Type="http://schemas.openxmlformats.org/officeDocument/2006/relationships/hyperlink" Target="https://www.nhl.com/player/Xavier-Ouellet-8476443" TargetMode="External"/><Relationship Id="rId787" Type="http://schemas.openxmlformats.org/officeDocument/2006/relationships/hyperlink" Target="https://www.nhl.com/player/John-Quenneville-8477961" TargetMode="External"/><Relationship Id="rId812" Type="http://schemas.openxmlformats.org/officeDocument/2006/relationships/hyperlink" Target="https://www.nhl.com/player/Logan-Brown-8479366" TargetMode="External"/><Relationship Id="rId994" Type="http://schemas.openxmlformats.org/officeDocument/2006/relationships/hyperlink" Target="https://www.nhl.com/player/Riley-Stillman-8479388" TargetMode="External"/><Relationship Id="rId1028" Type="http://schemas.openxmlformats.org/officeDocument/2006/relationships/hyperlink" Target="https://www.nhl.com/player/Alexandre-Carrier-8478851" TargetMode="External"/><Relationship Id="rId202" Type="http://schemas.openxmlformats.org/officeDocument/2006/relationships/hyperlink" Target="https://www.nhl.com/player/Auston-Matthews-8479318" TargetMode="External"/><Relationship Id="rId244" Type="http://schemas.openxmlformats.org/officeDocument/2006/relationships/hyperlink" Target="https://www.nhl.com/player/Alexander-Wennberg-8477505" TargetMode="External"/><Relationship Id="rId647" Type="http://schemas.openxmlformats.org/officeDocument/2006/relationships/hyperlink" Target="https://www.nhl.com/player/Martin-Necas-8480039" TargetMode="External"/><Relationship Id="rId689" Type="http://schemas.openxmlformats.org/officeDocument/2006/relationships/hyperlink" Target="https://www.nhl.com/player/Nikita-Gusev-8477038" TargetMode="External"/><Relationship Id="rId854" Type="http://schemas.openxmlformats.org/officeDocument/2006/relationships/hyperlink" Target="https://www.nhl.com/player/Max-Veronneau-8480314" TargetMode="External"/><Relationship Id="rId896" Type="http://schemas.openxmlformats.org/officeDocument/2006/relationships/hyperlink" Target="https://www.nhl.com/player/Tyler-Lewington-8477343" TargetMode="External"/><Relationship Id="rId39" Type="http://schemas.openxmlformats.org/officeDocument/2006/relationships/hyperlink" Target="https://www.nhl.com/player/Loui-Eriksson-8470626" TargetMode="External"/><Relationship Id="rId286" Type="http://schemas.openxmlformats.org/officeDocument/2006/relationships/hyperlink" Target="https://www.nhl.com/player/Riley-Sheahan-8475772" TargetMode="External"/><Relationship Id="rId451" Type="http://schemas.openxmlformats.org/officeDocument/2006/relationships/hyperlink" Target="https://www.nhl.com/player/Beau-Bennett-8475761" TargetMode="External"/><Relationship Id="rId493" Type="http://schemas.openxmlformats.org/officeDocument/2006/relationships/hyperlink" Target="https://www.nhl.com/player/Jordan-Nolan-8475325" TargetMode="External"/><Relationship Id="rId507" Type="http://schemas.openxmlformats.org/officeDocument/2006/relationships/hyperlink" Target="https://www.nhl.com/player/Tom-Kuhnhackl-8475832" TargetMode="External"/><Relationship Id="rId549" Type="http://schemas.openxmlformats.org/officeDocument/2006/relationships/hyperlink" Target="https://www.nhl.com/player/Filip-Chytil-8480078" TargetMode="External"/><Relationship Id="rId714" Type="http://schemas.openxmlformats.org/officeDocument/2006/relationships/hyperlink" Target="https://www.nhl.com/player/Carl-Grundstrom-8479336" TargetMode="External"/><Relationship Id="rId756" Type="http://schemas.openxmlformats.org/officeDocument/2006/relationships/hyperlink" Target="https://www.nhl.com/player/Ian-McCoshen-8477452" TargetMode="External"/><Relationship Id="rId921" Type="http://schemas.openxmlformats.org/officeDocument/2006/relationships/hyperlink" Target="https://www.nhl.com/player/Jeremy-Lauzon-8478468" TargetMode="External"/><Relationship Id="rId50" Type="http://schemas.openxmlformats.org/officeDocument/2006/relationships/hyperlink" Target="https://www.nhl.com/player/James-Neal-8471707" TargetMode="External"/><Relationship Id="rId104" Type="http://schemas.openxmlformats.org/officeDocument/2006/relationships/hyperlink" Target="https://www.nhl.com/player/Alexander-Edler-8471303" TargetMode="External"/><Relationship Id="rId146" Type="http://schemas.openxmlformats.org/officeDocument/2006/relationships/hyperlink" Target="https://www.nhl.com/player/Blake-Comeau-8471260" TargetMode="External"/><Relationship Id="rId188" Type="http://schemas.openxmlformats.org/officeDocument/2006/relationships/hyperlink" Target="https://www.nhl.com/player/Justin-Abdelkader-8471716" TargetMode="External"/><Relationship Id="rId311" Type="http://schemas.openxmlformats.org/officeDocument/2006/relationships/hyperlink" Target="https://www.nhl.com/player/Bryan-Rust-8475810" TargetMode="External"/><Relationship Id="rId353" Type="http://schemas.openxmlformats.org/officeDocument/2006/relationships/hyperlink" Target="https://www.nhl.com/player/John-Moore-8475186" TargetMode="External"/><Relationship Id="rId395" Type="http://schemas.openxmlformats.org/officeDocument/2006/relationships/hyperlink" Target="https://www.nhl.com/player/Colton-Sissons-8476925" TargetMode="External"/><Relationship Id="rId409" Type="http://schemas.openxmlformats.org/officeDocument/2006/relationships/hyperlink" Target="https://www.nhl.com/player/Brock-McGinn-8476934" TargetMode="External"/><Relationship Id="rId560" Type="http://schemas.openxmlformats.org/officeDocument/2006/relationships/hyperlink" Target="https://www.nhl.com/player/Chandler-Stephenson-8476905" TargetMode="External"/><Relationship Id="rId798" Type="http://schemas.openxmlformats.org/officeDocument/2006/relationships/hyperlink" Target="https://www.nhl.com/player/Mario-Ferraro-8479983" TargetMode="External"/><Relationship Id="rId963" Type="http://schemas.openxmlformats.org/officeDocument/2006/relationships/hyperlink" Target="https://www.nhl.com/player/Mitch-Reinke-8480761" TargetMode="External"/><Relationship Id="rId92" Type="http://schemas.openxmlformats.org/officeDocument/2006/relationships/hyperlink" Target="https://www.nhl.com/player/Johnny-Gaudreau-8476346" TargetMode="External"/><Relationship Id="rId213" Type="http://schemas.openxmlformats.org/officeDocument/2006/relationships/hyperlink" Target="https://www.nhl.com/player/Mikko-Rantanen-8478420" TargetMode="External"/><Relationship Id="rId420" Type="http://schemas.openxmlformats.org/officeDocument/2006/relationships/hyperlink" Target="https://www.nhl.com/player/Kevin-Connauton-8475246" TargetMode="External"/><Relationship Id="rId616" Type="http://schemas.openxmlformats.org/officeDocument/2006/relationships/hyperlink" Target="https://www.nhl.com/player/Curtis-McKenzie-8475310" TargetMode="External"/><Relationship Id="rId658" Type="http://schemas.openxmlformats.org/officeDocument/2006/relationships/hyperlink" Target="https://www.nhl.com/player/Alex-Nylander-8479423" TargetMode="External"/><Relationship Id="rId823" Type="http://schemas.openxmlformats.org/officeDocument/2006/relationships/hyperlink" Target="https://www.nhl.com/player/Ryan-Lindgren-8479324" TargetMode="External"/><Relationship Id="rId865" Type="http://schemas.openxmlformats.org/officeDocument/2006/relationships/hyperlink" Target="https://www.nhl.com/player/Anton-Lindholm-8478073" TargetMode="External"/><Relationship Id="rId255" Type="http://schemas.openxmlformats.org/officeDocument/2006/relationships/hyperlink" Target="https://www.nhl.com/player/Brett-Connolly-8475792" TargetMode="External"/><Relationship Id="rId297" Type="http://schemas.openxmlformats.org/officeDocument/2006/relationships/hyperlink" Target="https://www.nhl.com/player/Michael-Raffl-8477290" TargetMode="External"/><Relationship Id="rId462" Type="http://schemas.openxmlformats.org/officeDocument/2006/relationships/hyperlink" Target="https://www.nhl.com/player/Joel-Edmundson-8476441" TargetMode="External"/><Relationship Id="rId518" Type="http://schemas.openxmlformats.org/officeDocument/2006/relationships/hyperlink" Target="https://www.nhl.com/player/Marko-Dano-8477448" TargetMode="External"/><Relationship Id="rId725" Type="http://schemas.openxmlformats.org/officeDocument/2006/relationships/hyperlink" Target="https://www.nhl.com/player/Michael-Sgarbossa-8475958" TargetMode="External"/><Relationship Id="rId932" Type="http://schemas.openxmlformats.org/officeDocument/2006/relationships/hyperlink" Target="https://www.nhl.com/player/Kyle-Capobianco-8478476" TargetMode="External"/><Relationship Id="rId115" Type="http://schemas.openxmlformats.org/officeDocument/2006/relationships/hyperlink" Target="https://www.nhl.com/player/Troy-Brouwer-8471426" TargetMode="External"/><Relationship Id="rId157" Type="http://schemas.openxmlformats.org/officeDocument/2006/relationships/hyperlink" Target="https://www.nhl.com/player/Jack-Johnson-8471677" TargetMode="External"/><Relationship Id="rId322" Type="http://schemas.openxmlformats.org/officeDocument/2006/relationships/hyperlink" Target="https://www.nhl.com/player/Matt-Martin-8474709" TargetMode="External"/><Relationship Id="rId364" Type="http://schemas.openxmlformats.org/officeDocument/2006/relationships/hyperlink" Target="https://www.nhl.com/player/Colin-Miller-8476525" TargetMode="External"/><Relationship Id="rId767" Type="http://schemas.openxmlformats.org/officeDocument/2006/relationships/hyperlink" Target="https://www.nhl.com/player/Dmytro-Timashov-8478857" TargetMode="External"/><Relationship Id="rId974" Type="http://schemas.openxmlformats.org/officeDocument/2006/relationships/hyperlink" Target="https://www.nhl.com/player/Tobias-Bjornfot-8481600" TargetMode="External"/><Relationship Id="rId1008" Type="http://schemas.openxmlformats.org/officeDocument/2006/relationships/hyperlink" Target="https://www.nhl.com/player/Jakub-Zboril-8478415" TargetMode="External"/><Relationship Id="rId61" Type="http://schemas.openxmlformats.org/officeDocument/2006/relationships/hyperlink" Target="https://www.nhl.com/player/Valtteri-Filppula-8470047" TargetMode="External"/><Relationship Id="rId199" Type="http://schemas.openxmlformats.org/officeDocument/2006/relationships/hyperlink" Target="https://www.nhl.com/player/Jake-Muzzin-8474162" TargetMode="External"/><Relationship Id="rId571" Type="http://schemas.openxmlformats.org/officeDocument/2006/relationships/hyperlink" Target="https://www.nhl.com/player/Luke-Kunin-8479316" TargetMode="External"/><Relationship Id="rId627" Type="http://schemas.openxmlformats.org/officeDocument/2006/relationships/hyperlink" Target="https://www.nhl.com/player/Sean-Walker-8480336" TargetMode="External"/><Relationship Id="rId669" Type="http://schemas.openxmlformats.org/officeDocument/2006/relationships/hyperlink" Target="https://www.nhl.com/player/Nick-Suzuki-8480018" TargetMode="External"/><Relationship Id="rId834" Type="http://schemas.openxmlformats.org/officeDocument/2006/relationships/hyperlink" Target="https://www.nhl.com/player/Josh-Brown-8477384" TargetMode="External"/><Relationship Id="rId876" Type="http://schemas.openxmlformats.org/officeDocument/2006/relationships/hyperlink" Target="https://www.nhl.com/player/Juuso-Valimaki-8479976" TargetMode="External"/><Relationship Id="rId19" Type="http://schemas.openxmlformats.org/officeDocument/2006/relationships/hyperlink" Target="https://www.nhl.com/player/Jonathan-Toews-8473604" TargetMode="External"/><Relationship Id="rId224" Type="http://schemas.openxmlformats.org/officeDocument/2006/relationships/hyperlink" Target="https://www.nhl.com/player/Patrik-Laine-8479339" TargetMode="External"/><Relationship Id="rId266" Type="http://schemas.openxmlformats.org/officeDocument/2006/relationships/hyperlink" Target="https://www.nhl.com/player/Casey-Cizikas-8475231" TargetMode="External"/><Relationship Id="rId431" Type="http://schemas.openxmlformats.org/officeDocument/2006/relationships/hyperlink" Target="https://www.nhl.com/player/Austin-Watson-8475766" TargetMode="External"/><Relationship Id="rId473" Type="http://schemas.openxmlformats.org/officeDocument/2006/relationships/hyperlink" Target="https://www.nhl.com/player/Denis-Malgin-8478843" TargetMode="External"/><Relationship Id="rId529" Type="http://schemas.openxmlformats.org/officeDocument/2006/relationships/hyperlink" Target="https://www.nhl.com/player/Brandon-Carlo-8478443" TargetMode="External"/><Relationship Id="rId680" Type="http://schemas.openxmlformats.org/officeDocument/2006/relationships/hyperlink" Target="https://www.nhl.com/player/Trevor-Moore-8479675" TargetMode="External"/><Relationship Id="rId736" Type="http://schemas.openxmlformats.org/officeDocument/2006/relationships/hyperlink" Target="https://www.nhl.com/player/Lias-Andersson-8480072" TargetMode="External"/><Relationship Id="rId901" Type="http://schemas.openxmlformats.org/officeDocument/2006/relationships/hyperlink" Target="https://www.nhl.com/player/Cole-Bardreau-8478367" TargetMode="External"/><Relationship Id="rId30" Type="http://schemas.openxmlformats.org/officeDocument/2006/relationships/hyperlink" Target="https://www.nhl.com/player/Jakub-Voracek-8474161" TargetMode="External"/><Relationship Id="rId126" Type="http://schemas.openxmlformats.org/officeDocument/2006/relationships/hyperlink" Target="https://www.nhl.com/player/Brandon-Saad-8476438" TargetMode="External"/><Relationship Id="rId168" Type="http://schemas.openxmlformats.org/officeDocument/2006/relationships/hyperlink" Target="https://www.nhl.com/player/Anders-Lee-8475314" TargetMode="External"/><Relationship Id="rId333" Type="http://schemas.openxmlformats.org/officeDocument/2006/relationships/hyperlink" Target="https://www.nhl.com/player/Adam-Larsson-8476457" TargetMode="External"/><Relationship Id="rId540" Type="http://schemas.openxmlformats.org/officeDocument/2006/relationships/hyperlink" Target="https://www.nhl.com/player/Noel-Acciari-8478569" TargetMode="External"/><Relationship Id="rId778" Type="http://schemas.openxmlformats.org/officeDocument/2006/relationships/hyperlink" Target="https://www.nhl.com/player/Dominic-Toninato-8476952" TargetMode="External"/><Relationship Id="rId943" Type="http://schemas.openxmlformats.org/officeDocument/2006/relationships/hyperlink" Target="https://www.nhl.com/player/Ryan-Lomberg-8479066" TargetMode="External"/><Relationship Id="rId985" Type="http://schemas.openxmlformats.org/officeDocument/2006/relationships/hyperlink" Target="https://www.nhl.com/player/Trent-Frederic-8479365" TargetMode="External"/><Relationship Id="rId1019" Type="http://schemas.openxmlformats.org/officeDocument/2006/relationships/hyperlink" Target="https://www.nhl.com/player/Andrew-Poturalski-8479249" TargetMode="External"/><Relationship Id="rId72" Type="http://schemas.openxmlformats.org/officeDocument/2006/relationships/hyperlink" Target="https://www.nhl.com/player/Derek-Stepan-8474613" TargetMode="External"/><Relationship Id="rId375" Type="http://schemas.openxmlformats.org/officeDocument/2006/relationships/hyperlink" Target="https://www.nhl.com/player/Jake-DeBrusk-8478498" TargetMode="External"/><Relationship Id="rId582" Type="http://schemas.openxmlformats.org/officeDocument/2006/relationships/hyperlink" Target="https://www.nhl.com/player/Madison-Bowey-8477474" TargetMode="External"/><Relationship Id="rId638" Type="http://schemas.openxmlformats.org/officeDocument/2006/relationships/hyperlink" Target="https://www.nhl.com/player/Jayson-Megna-8477126" TargetMode="External"/><Relationship Id="rId803" Type="http://schemas.openxmlformats.org/officeDocument/2006/relationships/hyperlink" Target="https://www.nhl.com/player/Jean-Sebastien-Dea-8477520" TargetMode="External"/><Relationship Id="rId845" Type="http://schemas.openxmlformats.org/officeDocument/2006/relationships/hyperlink" Target="https://www.nhl.com/player/Kailer-Yamamoto-8479977" TargetMode="External"/><Relationship Id="rId1030" Type="http://schemas.openxmlformats.org/officeDocument/2006/relationships/hyperlink" Target="https://www.nhl.com/player/Alexander-Volkov-8480186" TargetMode="External"/><Relationship Id="rId3" Type="http://schemas.openxmlformats.org/officeDocument/2006/relationships/hyperlink" Target="https://www.nhl.com/player/Joe-Thornton-8466138" TargetMode="External"/><Relationship Id="rId235" Type="http://schemas.openxmlformats.org/officeDocument/2006/relationships/hyperlink" Target="https://www.nhl.com/player/David-Clarkson-8470920" TargetMode="External"/><Relationship Id="rId277" Type="http://schemas.openxmlformats.org/officeDocument/2006/relationships/hyperlink" Target="https://www.nhl.com/player/Anthony-Mantha-8477511" TargetMode="External"/><Relationship Id="rId400" Type="http://schemas.openxmlformats.org/officeDocument/2006/relationships/hyperlink" Target="https://www.nhl.com/player/Johan-Larsson-8475728" TargetMode="External"/><Relationship Id="rId442" Type="http://schemas.openxmlformats.org/officeDocument/2006/relationships/hyperlink" Target="https://www.nhl.com/player/Vince-Dunn-8478407" TargetMode="External"/><Relationship Id="rId484" Type="http://schemas.openxmlformats.org/officeDocument/2006/relationships/hyperlink" Target="https://www.nhl.com/player/Mark-Barberio-8474717" TargetMode="External"/><Relationship Id="rId705" Type="http://schemas.openxmlformats.org/officeDocument/2006/relationships/hyperlink" Target="https://www.nhl.com/player/Nick-Seeler-8476372" TargetMode="External"/><Relationship Id="rId887" Type="http://schemas.openxmlformats.org/officeDocument/2006/relationships/hyperlink" Target="https://www.nhl.com/player/Joseph-Gambardella-8479970" TargetMode="External"/><Relationship Id="rId137" Type="http://schemas.openxmlformats.org/officeDocument/2006/relationships/hyperlink" Target="https://www.nhl.com/player/Tyler-Johnson-8474870" TargetMode="External"/><Relationship Id="rId302" Type="http://schemas.openxmlformats.org/officeDocument/2006/relationships/hyperlink" Target="https://www.nhl.com/player/Nathan-Gerbe-8471804" TargetMode="External"/><Relationship Id="rId344" Type="http://schemas.openxmlformats.org/officeDocument/2006/relationships/hyperlink" Target="https://www.nhl.com/player/Adam-Lowry-8476392" TargetMode="External"/><Relationship Id="rId691" Type="http://schemas.openxmlformats.org/officeDocument/2006/relationships/hyperlink" Target="https://www.nhl.com/player/Max-Comtois-8480031" TargetMode="External"/><Relationship Id="rId747" Type="http://schemas.openxmlformats.org/officeDocument/2006/relationships/hyperlink" Target="https://www.nhl.com/player/Garrett-Wilson-8475253" TargetMode="External"/><Relationship Id="rId789" Type="http://schemas.openxmlformats.org/officeDocument/2006/relationships/hyperlink" Target="https://www.nhl.com/player/Gavin-Bayreuther-8479945" TargetMode="External"/><Relationship Id="rId912" Type="http://schemas.openxmlformats.org/officeDocument/2006/relationships/hyperlink" Target="https://www.nhl.com/player/Kevin-Czuczman-8477814" TargetMode="External"/><Relationship Id="rId954" Type="http://schemas.openxmlformats.org/officeDocument/2006/relationships/hyperlink" Target="https://www.nhl.com/player/Jaret-Anderson-Dolan-8479994" TargetMode="External"/><Relationship Id="rId996" Type="http://schemas.openxmlformats.org/officeDocument/2006/relationships/hyperlink" Target="https://www.nhl.com/player/Janne-Kuokkanen-8479511" TargetMode="External"/><Relationship Id="rId41" Type="http://schemas.openxmlformats.org/officeDocument/2006/relationships/hyperlink" Target="https://www.nhl.com/player/Matt-Duchene-8475168" TargetMode="External"/><Relationship Id="rId83" Type="http://schemas.openxmlformats.org/officeDocument/2006/relationships/hyperlink" Target="https://www.nhl.com/player/Brandon-Dubinsky-8471273" TargetMode="External"/><Relationship Id="rId179" Type="http://schemas.openxmlformats.org/officeDocument/2006/relationships/hyperlink" Target="https://www.nhl.com/player/Charlie-Coyle-8475745" TargetMode="External"/><Relationship Id="rId386" Type="http://schemas.openxmlformats.org/officeDocument/2006/relationships/hyperlink" Target="https://www.nhl.com/player/Alexander-Kerfoot-8477021" TargetMode="External"/><Relationship Id="rId551" Type="http://schemas.openxmlformats.org/officeDocument/2006/relationships/hyperlink" Target="https://www.nhl.com/player/Greg-Pateryn-8474688" TargetMode="External"/><Relationship Id="rId593" Type="http://schemas.openxmlformats.org/officeDocument/2006/relationships/hyperlink" Target="https://www.nhl.com/player/Warren-Foegele-8477998" TargetMode="External"/><Relationship Id="rId607" Type="http://schemas.openxmlformats.org/officeDocument/2006/relationships/hyperlink" Target="https://www.nhl.com/player/Andy-Andreoff-8476404" TargetMode="External"/><Relationship Id="rId649" Type="http://schemas.openxmlformats.org/officeDocument/2006/relationships/hyperlink" Target="https://www.nhl.com/player/Casey-Nelson-8479268" TargetMode="External"/><Relationship Id="rId814" Type="http://schemas.openxmlformats.org/officeDocument/2006/relationships/hyperlink" Target="https://www.nhl.com/player/Alexandre-Fortin-8479657" TargetMode="External"/><Relationship Id="rId856" Type="http://schemas.openxmlformats.org/officeDocument/2006/relationships/hyperlink" Target="https://www.nhl.com/player/Barrett-Hayton-8480849" TargetMode="External"/><Relationship Id="rId190" Type="http://schemas.openxmlformats.org/officeDocument/2006/relationships/hyperlink" Target="https://www.nhl.com/player/Anton-Stralman-8471873" TargetMode="External"/><Relationship Id="rId204" Type="http://schemas.openxmlformats.org/officeDocument/2006/relationships/hyperlink" Target="https://www.nhl.com/player/Ryan-Ellis-8475176" TargetMode="External"/><Relationship Id="rId246" Type="http://schemas.openxmlformats.org/officeDocument/2006/relationships/hyperlink" Target="https://www.nhl.com/player/Jake-Guentzel-8477404" TargetMode="External"/><Relationship Id="rId288" Type="http://schemas.openxmlformats.org/officeDocument/2006/relationships/hyperlink" Target="https://www.nhl.com/player/Phillip-Danault-8476479" TargetMode="External"/><Relationship Id="rId411" Type="http://schemas.openxmlformats.org/officeDocument/2006/relationships/hyperlink" Target="https://www.nhl.com/player/Brian-Dumoulin-8475208" TargetMode="External"/><Relationship Id="rId453" Type="http://schemas.openxmlformats.org/officeDocument/2006/relationships/hyperlink" Target="https://www.nhl.com/player/Evan-Rodrigues-8478542" TargetMode="External"/><Relationship Id="rId509" Type="http://schemas.openxmlformats.org/officeDocument/2006/relationships/hyperlink" Target="https://www.nhl.com/player/Scott-Mayfield-8476429" TargetMode="External"/><Relationship Id="rId660" Type="http://schemas.openxmlformats.org/officeDocument/2006/relationships/hyperlink" Target="https://www.nhl.com/player/Byron-Froese-8475278" TargetMode="External"/><Relationship Id="rId898" Type="http://schemas.openxmlformats.org/officeDocument/2006/relationships/hyperlink" Target="https://www.nhl.com/player/Patrick-Brown-8477887" TargetMode="External"/><Relationship Id="rId106" Type="http://schemas.openxmlformats.org/officeDocument/2006/relationships/hyperlink" Target="https://www.nhl.com/player/Aleksander-Barkov-8477493" TargetMode="External"/><Relationship Id="rId313" Type="http://schemas.openxmlformats.org/officeDocument/2006/relationships/hyperlink" Target="https://www.nhl.com/player/Clayton-Keller-8479343" TargetMode="External"/><Relationship Id="rId495" Type="http://schemas.openxmlformats.org/officeDocument/2006/relationships/hyperlink" Target="https://www.nhl.com/player/Curtis-Lazar-8477508" TargetMode="External"/><Relationship Id="rId716" Type="http://schemas.openxmlformats.org/officeDocument/2006/relationships/hyperlink" Target="https://www.nhl.com/player/Cody-Glass-8479996" TargetMode="External"/><Relationship Id="rId758" Type="http://schemas.openxmlformats.org/officeDocument/2006/relationships/hyperlink" Target="https://www.nhl.com/player/Dante-Fabbro-8479371" TargetMode="External"/><Relationship Id="rId923" Type="http://schemas.openxmlformats.org/officeDocument/2006/relationships/hyperlink" Target="https://www.nhl.com/player/Carsen-Twarynski-8479358" TargetMode="External"/><Relationship Id="rId965" Type="http://schemas.openxmlformats.org/officeDocument/2006/relationships/hyperlink" Target="https://www.nhl.com/player/Zach-Whitecloud-8480727" TargetMode="External"/><Relationship Id="rId10" Type="http://schemas.openxmlformats.org/officeDocument/2006/relationships/hyperlink" Target="https://www.nhl.com/player/Henrik-Zetterberg-8468083" TargetMode="External"/><Relationship Id="rId52" Type="http://schemas.openxmlformats.org/officeDocument/2006/relationships/hyperlink" Target="https://www.nhl.com/player/Ryan-O'Reilly-8475158" TargetMode="External"/><Relationship Id="rId94" Type="http://schemas.openxmlformats.org/officeDocument/2006/relationships/hyperlink" Target="https://www.nhl.com/player/Ryan-Nugent-Hopkins-8476454" TargetMode="External"/><Relationship Id="rId148" Type="http://schemas.openxmlformats.org/officeDocument/2006/relationships/hyperlink" Target="https://www.nhl.com/player/Alex-Galchenyuk-8476851" TargetMode="External"/><Relationship Id="rId355" Type="http://schemas.openxmlformats.org/officeDocument/2006/relationships/hyperlink" Target="https://www.nhl.com/player/Luke-Glendening-8476822" TargetMode="External"/><Relationship Id="rId397" Type="http://schemas.openxmlformats.org/officeDocument/2006/relationships/hyperlink" Target="https://www.nhl.com/player/Pavel-Zacha-8478401" TargetMode="External"/><Relationship Id="rId520" Type="http://schemas.openxmlformats.org/officeDocument/2006/relationships/hyperlink" Target="https://www.nhl.com/player/Sean-Kuraly-8476374" TargetMode="External"/><Relationship Id="rId562" Type="http://schemas.openxmlformats.org/officeDocument/2006/relationships/hyperlink" Target="https://www.nhl.com/player/Conor-Garland-8478856" TargetMode="External"/><Relationship Id="rId618" Type="http://schemas.openxmlformats.org/officeDocument/2006/relationships/hyperlink" Target="https://www.nhl.com/player/Andreas-Martinsen-8478561" TargetMode="External"/><Relationship Id="rId825" Type="http://schemas.openxmlformats.org/officeDocument/2006/relationships/hyperlink" Target="https://www.nhl.com/player/Jarred-Tinordi-8475797" TargetMode="External"/><Relationship Id="rId215" Type="http://schemas.openxmlformats.org/officeDocument/2006/relationships/hyperlink" Target="https://www.nhl.com/player/Jonathan-Marchessault-8476539" TargetMode="External"/><Relationship Id="rId257" Type="http://schemas.openxmlformats.org/officeDocument/2006/relationships/hyperlink" Target="https://www.nhl.com/player/Vladislav-Namestnikov-8476480" TargetMode="External"/><Relationship Id="rId422" Type="http://schemas.openxmlformats.org/officeDocument/2006/relationships/hyperlink" Target="https://www.nhl.com/player/Cedric-Paquette-8476975" TargetMode="External"/><Relationship Id="rId464" Type="http://schemas.openxmlformats.org/officeDocument/2006/relationships/hyperlink" Target="https://www.nhl.com/player/Samuel-Girard-8479398" TargetMode="External"/><Relationship Id="rId867" Type="http://schemas.openxmlformats.org/officeDocument/2006/relationships/hyperlink" Target="https://www.nhl.com/player/Nathan-Bastian-8479414" TargetMode="External"/><Relationship Id="rId1010" Type="http://schemas.openxmlformats.org/officeDocument/2006/relationships/hyperlink" Target="https://www.nhl.com/player/Anthony-Greco-8479447" TargetMode="External"/><Relationship Id="rId299" Type="http://schemas.openxmlformats.org/officeDocument/2006/relationships/hyperlink" Target="https://www.nhl.com/player/Anthony-Duclair-8477407" TargetMode="External"/><Relationship Id="rId727" Type="http://schemas.openxmlformats.org/officeDocument/2006/relationships/hyperlink" Target="https://www.nhl.com/player/Brendan-Guhle-8478425" TargetMode="External"/><Relationship Id="rId934" Type="http://schemas.openxmlformats.org/officeDocument/2006/relationships/hyperlink" Target="https://www.nhl.com/player/Adam-Boqvist-8480871" TargetMode="External"/><Relationship Id="rId63" Type="http://schemas.openxmlformats.org/officeDocument/2006/relationships/hyperlink" Target="https://www.nhl.com/player/Mike-Green-8471242" TargetMode="External"/><Relationship Id="rId159" Type="http://schemas.openxmlformats.org/officeDocument/2006/relationships/hyperlink" Target="https://www.nhl.com/player/Erik-Johnson-8473446" TargetMode="External"/><Relationship Id="rId366" Type="http://schemas.openxmlformats.org/officeDocument/2006/relationships/hyperlink" Target="https://www.nhl.com/player/Darnell-Nurse-8477498" TargetMode="External"/><Relationship Id="rId573" Type="http://schemas.openxmlformats.org/officeDocument/2006/relationships/hyperlink" Target="https://www.nhl.com/player/Logan-Shaw-8476400" TargetMode="External"/><Relationship Id="rId780" Type="http://schemas.openxmlformats.org/officeDocument/2006/relationships/hyperlink" Target="https://www.nhl.com/player/Kurtis-Gabriel-8476545" TargetMode="External"/><Relationship Id="rId226" Type="http://schemas.openxmlformats.org/officeDocument/2006/relationships/hyperlink" Target="https://www.nhl.com/player/Justin-Schultz-8474602" TargetMode="External"/><Relationship Id="rId433" Type="http://schemas.openxmlformats.org/officeDocument/2006/relationships/hyperlink" Target="https://www.nhl.com/player/J.T.-Brown-8476806" TargetMode="External"/><Relationship Id="rId878" Type="http://schemas.openxmlformats.org/officeDocument/2006/relationships/hyperlink" Target="https://www.nhl.com/player/Hudson-Fasching-8477392" TargetMode="External"/><Relationship Id="rId640" Type="http://schemas.openxmlformats.org/officeDocument/2006/relationships/hyperlink" Target="https://www.nhl.com/player/Henri-Jokiharju-8480035" TargetMode="External"/><Relationship Id="rId738" Type="http://schemas.openxmlformats.org/officeDocument/2006/relationships/hyperlink" Target="https://www.nhl.com/player/Josh-Mahura-8479372" TargetMode="External"/><Relationship Id="rId945" Type="http://schemas.openxmlformats.org/officeDocument/2006/relationships/hyperlink" Target="https://www.nhl.com/player/Jacob-Middleton-8478136" TargetMode="External"/><Relationship Id="rId74" Type="http://schemas.openxmlformats.org/officeDocument/2006/relationships/hyperlink" Target="https://www.nhl.com/player/Patric-Hornqvist-8471887" TargetMode="External"/><Relationship Id="rId377" Type="http://schemas.openxmlformats.org/officeDocument/2006/relationships/hyperlink" Target="https://www.nhl.com/player/Devin-Shore-8476913" TargetMode="External"/><Relationship Id="rId500" Type="http://schemas.openxmlformats.org/officeDocument/2006/relationships/hyperlink" Target="https://www.nhl.com/player/Jack-Roslovic-8478458" TargetMode="External"/><Relationship Id="rId584" Type="http://schemas.openxmlformats.org/officeDocument/2006/relationships/hyperlink" Target="https://www.nhl.com/player/Joseph-Blandisi-8477010" TargetMode="External"/><Relationship Id="rId805" Type="http://schemas.openxmlformats.org/officeDocument/2006/relationships/hyperlink" Target="https://www.nhl.com/player/Joey-Anderson-8479315" TargetMode="External"/><Relationship Id="rId5" Type="http://schemas.openxmlformats.org/officeDocument/2006/relationships/hyperlink" Target="https://www.nhl.com/player/Patrick-Kane-8474141" TargetMode="External"/><Relationship Id="rId237" Type="http://schemas.openxmlformats.org/officeDocument/2006/relationships/hyperlink" Target="https://www.nhl.com/player/Matthew-Tkachuk-8479314" TargetMode="External"/><Relationship Id="rId791" Type="http://schemas.openxmlformats.org/officeDocument/2006/relationships/hyperlink" Target="https://www.nhl.com/player/Ville-Heinola-8481572" TargetMode="External"/><Relationship Id="rId889" Type="http://schemas.openxmlformats.org/officeDocument/2006/relationships/hyperlink" Target="https://www.nhl.com/player/Roland-McKeown-8477981" TargetMode="External"/><Relationship Id="rId444" Type="http://schemas.openxmlformats.org/officeDocument/2006/relationships/hyperlink" Target="https://www.nhl.com/player/Kevan-Miller-8476191" TargetMode="External"/><Relationship Id="rId651" Type="http://schemas.openxmlformats.org/officeDocument/2006/relationships/hyperlink" Target="https://www.nhl.com/player/Phil-Varone-8475321" TargetMode="External"/><Relationship Id="rId749" Type="http://schemas.openxmlformats.org/officeDocument/2006/relationships/hyperlink" Target="https://www.nhl.com/player/Vinni-Lettieri-8479968" TargetMode="External"/><Relationship Id="rId290" Type="http://schemas.openxmlformats.org/officeDocument/2006/relationships/hyperlink" Target="https://www.nhl.com/player/Luke-Schenn-8474568" TargetMode="External"/><Relationship Id="rId304" Type="http://schemas.openxmlformats.org/officeDocument/2006/relationships/hyperlink" Target="https://www.nhl.com/player/Conor-Sheary-8477839" TargetMode="External"/><Relationship Id="rId388" Type="http://schemas.openxmlformats.org/officeDocument/2006/relationships/hyperlink" Target="https://www.nhl.com/player/Josh-Morrissey-8477504" TargetMode="External"/><Relationship Id="rId511" Type="http://schemas.openxmlformats.org/officeDocument/2006/relationships/hyperlink" Target="https://www.nhl.com/player/Matt-Bartkowski-8474749" TargetMode="External"/><Relationship Id="rId609" Type="http://schemas.openxmlformats.org/officeDocument/2006/relationships/hyperlink" Target="https://www.nhl.com/player/Adam-Gaudette-8478874" TargetMode="External"/><Relationship Id="rId956" Type="http://schemas.openxmlformats.org/officeDocument/2006/relationships/hyperlink" Target="https://www.nhl.com/player/JC-Lipon-8477076" TargetMode="External"/><Relationship Id="rId85" Type="http://schemas.openxmlformats.org/officeDocument/2006/relationships/hyperlink" Target="https://www.nhl.com/player/Vladimir-Tarasenko-8475765" TargetMode="External"/><Relationship Id="rId150" Type="http://schemas.openxmlformats.org/officeDocument/2006/relationships/hyperlink" Target="https://www.nhl.com/player/Clarke-MacArthur-8470667" TargetMode="External"/><Relationship Id="rId595" Type="http://schemas.openxmlformats.org/officeDocument/2006/relationships/hyperlink" Target="https://www.nhl.com/player/Miikka-Salomaki-8476447" TargetMode="External"/><Relationship Id="rId816" Type="http://schemas.openxmlformats.org/officeDocument/2006/relationships/hyperlink" Target="https://www.nhl.com/player/Juuso-Riikola-8480945" TargetMode="External"/><Relationship Id="rId1001" Type="http://schemas.openxmlformats.org/officeDocument/2006/relationships/hyperlink" Target="https://www.nhl.com/player/Mark-Friedman-8478017" TargetMode="External"/><Relationship Id="rId248" Type="http://schemas.openxmlformats.org/officeDocument/2006/relationships/hyperlink" Target="https://www.nhl.com/player/Hampus-Lindholm-8476854" TargetMode="External"/><Relationship Id="rId455" Type="http://schemas.openxmlformats.org/officeDocument/2006/relationships/hyperlink" Target="https://www.nhl.com/player/Troy-Stecher-8479442" TargetMode="External"/><Relationship Id="rId662" Type="http://schemas.openxmlformats.org/officeDocument/2006/relationships/hyperlink" Target="https://www.nhl.com/player/Markus-Hannikainen-8478541" TargetMode="External"/><Relationship Id="rId12" Type="http://schemas.openxmlformats.org/officeDocument/2006/relationships/hyperlink" Target="https://www.nhl.com/player/Jason-Spezza-8469455" TargetMode="External"/><Relationship Id="rId108" Type="http://schemas.openxmlformats.org/officeDocument/2006/relationships/hyperlink" Target="https://www.nhl.com/player/Roman-Josi-8474600" TargetMode="External"/><Relationship Id="rId315" Type="http://schemas.openxmlformats.org/officeDocument/2006/relationships/hyperlink" Target="https://www.nhl.com/player/Marco-Scandella-8474618" TargetMode="External"/><Relationship Id="rId522" Type="http://schemas.openxmlformats.org/officeDocument/2006/relationships/hyperlink" Target="https://www.nhl.com/player/Pontus-Aberg-8476857" TargetMode="External"/><Relationship Id="rId967" Type="http://schemas.openxmlformats.org/officeDocument/2006/relationships/hyperlink" Target="https://www.nhl.com/player/Connor-Bunnaman-8479382" TargetMode="External"/><Relationship Id="rId96" Type="http://schemas.openxmlformats.org/officeDocument/2006/relationships/hyperlink" Target="https://www.nhl.com/player/Mark-Scheifele-8476460" TargetMode="External"/><Relationship Id="rId161" Type="http://schemas.openxmlformats.org/officeDocument/2006/relationships/hyperlink" Target="https://www.nhl.com/player/Elias-Lindholm-8477496" TargetMode="External"/><Relationship Id="rId399" Type="http://schemas.openxmlformats.org/officeDocument/2006/relationships/hyperlink" Target="https://www.nhl.com/player/Mikhail-Sergachev-8479410" TargetMode="External"/><Relationship Id="rId827" Type="http://schemas.openxmlformats.org/officeDocument/2006/relationships/hyperlink" Target="https://www.nhl.com/player/Dylan-McIlrath-8475795" TargetMode="External"/><Relationship Id="rId1012" Type="http://schemas.openxmlformats.org/officeDocument/2006/relationships/hyperlink" Target="https://www.nhl.com/player/Martin-Fehervary-8480796" TargetMode="External"/><Relationship Id="rId259" Type="http://schemas.openxmlformats.org/officeDocument/2006/relationships/hyperlink" Target="https://www.nhl.com/player/Vladimir-Sobotka-8471743" TargetMode="External"/><Relationship Id="rId466" Type="http://schemas.openxmlformats.org/officeDocument/2006/relationships/hyperlink" Target="https://www.nhl.com/player/Tyler-Pitlick-8475752" TargetMode="External"/><Relationship Id="rId673" Type="http://schemas.openxmlformats.org/officeDocument/2006/relationships/hyperlink" Target="https://www.nhl.com/player/Taro-Hirose-8481433" TargetMode="External"/><Relationship Id="rId880" Type="http://schemas.openxmlformats.org/officeDocument/2006/relationships/hyperlink" Target="https://www.nhl.com/player/Nicolas-Roy-8478462" TargetMode="External"/><Relationship Id="rId23" Type="http://schemas.openxmlformats.org/officeDocument/2006/relationships/hyperlink" Target="https://www.nhl.com/player/Jeff-Carter-8470604" TargetMode="External"/><Relationship Id="rId119" Type="http://schemas.openxmlformats.org/officeDocument/2006/relationships/hyperlink" Target="https://www.nhl.com/player/Adam-Henrique-8474641" TargetMode="External"/><Relationship Id="rId326" Type="http://schemas.openxmlformats.org/officeDocument/2006/relationships/hyperlink" Target="https://www.nhl.com/player/Deryk-Engelland-8468674" TargetMode="External"/><Relationship Id="rId533" Type="http://schemas.openxmlformats.org/officeDocument/2006/relationships/hyperlink" Target="https://www.nhl.com/player/Ryan-Donato-8477987" TargetMode="External"/><Relationship Id="rId978" Type="http://schemas.openxmlformats.org/officeDocument/2006/relationships/hyperlink" Target="https://www.nhl.com/player/Dominic-Turgeon-8477994" TargetMode="External"/><Relationship Id="rId740" Type="http://schemas.openxmlformats.org/officeDocument/2006/relationships/hyperlink" Target="https://www.nhl.com/player/Carl-Dahlstrom-8477472" TargetMode="External"/><Relationship Id="rId838" Type="http://schemas.openxmlformats.org/officeDocument/2006/relationships/hyperlink" Target="https://www.nhl.com/player/Sami-Niku-8478915" TargetMode="External"/><Relationship Id="rId1023" Type="http://schemas.openxmlformats.org/officeDocument/2006/relationships/hyperlink" Target="https://www.nhl.com/player/Samuel-Morin-8477502" TargetMode="External"/><Relationship Id="rId172" Type="http://schemas.openxmlformats.org/officeDocument/2006/relationships/hyperlink" Target="https://www.nhl.com/player/Tyler-Toffoli-8475726" TargetMode="External"/><Relationship Id="rId477" Type="http://schemas.openxmlformats.org/officeDocument/2006/relationships/hyperlink" Target="https://www.nhl.com/player/Brendan-Leipsic-8476894" TargetMode="External"/><Relationship Id="rId600" Type="http://schemas.openxmlformats.org/officeDocument/2006/relationships/hyperlink" Target="https://www.nhl.com/player/Rasmus-Andersson-8478397" TargetMode="External"/><Relationship Id="rId684" Type="http://schemas.openxmlformats.org/officeDocument/2006/relationships/hyperlink" Target="https://www.nhl.com/player/Radim-Simek-8480160" TargetMode="External"/><Relationship Id="rId337" Type="http://schemas.openxmlformats.org/officeDocument/2006/relationships/hyperlink" Target="https://www.nhl.com/player/Pavel-Buchnevich-8477402" TargetMode="External"/><Relationship Id="rId891" Type="http://schemas.openxmlformats.org/officeDocument/2006/relationships/hyperlink" Target="https://www.nhl.com/player/Michael-McLeod-8479415" TargetMode="External"/><Relationship Id="rId905" Type="http://schemas.openxmlformats.org/officeDocument/2006/relationships/hyperlink" Target="https://www.nhl.com/player/Eeli-Tolvanen-8480009" TargetMode="External"/><Relationship Id="rId989" Type="http://schemas.openxmlformats.org/officeDocument/2006/relationships/hyperlink" Target="https://www.nhl.com/player/Otto-Koivula-8479526" TargetMode="External"/><Relationship Id="rId34" Type="http://schemas.openxmlformats.org/officeDocument/2006/relationships/hyperlink" Target="https://www.nhl.com/player/Marian-Gaborik-8468483" TargetMode="External"/><Relationship Id="rId544" Type="http://schemas.openxmlformats.org/officeDocument/2006/relationships/hyperlink" Target="https://www.nhl.com/player/Dalton-Prout-8474774" TargetMode="External"/><Relationship Id="rId751" Type="http://schemas.openxmlformats.org/officeDocument/2006/relationships/hyperlink" Target="https://www.nhl.com/player/Joel-Hanley-8477810" TargetMode="External"/><Relationship Id="rId849" Type="http://schemas.openxmlformats.org/officeDocument/2006/relationships/hyperlink" Target="https://www.nhl.com/player/Ilya-Lyubushkin-8480950" TargetMode="External"/><Relationship Id="rId183" Type="http://schemas.openxmlformats.org/officeDocument/2006/relationships/hyperlink" Target="https://www.nhl.com/player/Brock-Nelson-8475754" TargetMode="External"/><Relationship Id="rId390" Type="http://schemas.openxmlformats.org/officeDocument/2006/relationships/hyperlink" Target="https://www.nhl.com/player/Brett-Pesce-8477488" TargetMode="External"/><Relationship Id="rId404" Type="http://schemas.openxmlformats.org/officeDocument/2006/relationships/hyperlink" Target="https://www.nhl.com/player/Esa-Lindell-8476902" TargetMode="External"/><Relationship Id="rId611" Type="http://schemas.openxmlformats.org/officeDocument/2006/relationships/hyperlink" Target="https://www.nhl.com/player/Frederik-Gauthier-8477512" TargetMode="External"/><Relationship Id="rId1034" Type="http://schemas.openxmlformats.org/officeDocument/2006/relationships/hyperlink" Target="https://www.nhl.com/player/Sheldon-Rempal-8480776" TargetMode="External"/><Relationship Id="rId250" Type="http://schemas.openxmlformats.org/officeDocument/2006/relationships/hyperlink" Target="https://www.nhl.com/player/Travis-Hamonic-8474612" TargetMode="External"/><Relationship Id="rId488" Type="http://schemas.openxmlformats.org/officeDocument/2006/relationships/hyperlink" Target="https://www.nhl.com/player/Dominik-Kahun-8480946" TargetMode="External"/><Relationship Id="rId695" Type="http://schemas.openxmlformats.org/officeDocument/2006/relationships/hyperlink" Target="https://www.nhl.com/player/Lukas-Radil-8480780" TargetMode="External"/><Relationship Id="rId709" Type="http://schemas.openxmlformats.org/officeDocument/2006/relationships/hyperlink" Target="https://www.nhl.com/player/Gustav-Olofsson-8477467" TargetMode="External"/><Relationship Id="rId916" Type="http://schemas.openxmlformats.org/officeDocument/2006/relationships/hyperlink" Target="https://www.nhl.com/player/Daniel-Brickley-8480771" TargetMode="External"/><Relationship Id="rId45" Type="http://schemas.openxmlformats.org/officeDocument/2006/relationships/hyperlink" Target="https://www.nhl.com/player/Bobby-Ryan-8471676" TargetMode="External"/><Relationship Id="rId110" Type="http://schemas.openxmlformats.org/officeDocument/2006/relationships/hyperlink" Target="https://www.nhl.com/player/Kevin-Shattenkirk-8474031" TargetMode="External"/><Relationship Id="rId348" Type="http://schemas.openxmlformats.org/officeDocument/2006/relationships/hyperlink" Target="https://www.nhl.com/player/Olli-Maatta-8476874" TargetMode="External"/><Relationship Id="rId555" Type="http://schemas.openxmlformats.org/officeDocument/2006/relationships/hyperlink" Target="https://www.nhl.com/player/Jason-Dickinson-8477450" TargetMode="External"/><Relationship Id="rId762" Type="http://schemas.openxmlformats.org/officeDocument/2006/relationships/hyperlink" Target="https://www.nhl.com/player/Logan-Brown-8479366" TargetMode="External"/><Relationship Id="rId194" Type="http://schemas.openxmlformats.org/officeDocument/2006/relationships/hyperlink" Target="https://www.nhl.com/player/Andrew-Shaw-8476381" TargetMode="External"/><Relationship Id="rId208" Type="http://schemas.openxmlformats.org/officeDocument/2006/relationships/hyperlink" Target="https://www.nhl.com/player/Dylan-Larkin-8477946" TargetMode="External"/><Relationship Id="rId415" Type="http://schemas.openxmlformats.org/officeDocument/2006/relationships/hyperlink" Target="https://www.nhl.com/player/Valeri-Nichushkin-8477501" TargetMode="External"/><Relationship Id="rId622" Type="http://schemas.openxmlformats.org/officeDocument/2006/relationships/hyperlink" Target="https://www.nhl.com/player/Matt-Tennyson-8476807" TargetMode="External"/><Relationship Id="rId261" Type="http://schemas.openxmlformats.org/officeDocument/2006/relationships/hyperlink" Target="https://www.nhl.com/player/Alex-Chiasson-8475163" TargetMode="External"/><Relationship Id="rId499" Type="http://schemas.openxmlformats.org/officeDocument/2006/relationships/hyperlink" Target="https://www.nhl.com/player/Brad-Hunt-8476779" TargetMode="External"/><Relationship Id="rId927" Type="http://schemas.openxmlformats.org/officeDocument/2006/relationships/hyperlink" Target="https://www.nhl.com/player/Cale-Fleury-8479985" TargetMode="External"/><Relationship Id="rId56" Type="http://schemas.openxmlformats.org/officeDocument/2006/relationships/hyperlink" Target="https://www.nhl.com/player/David-Perron-8474102" TargetMode="External"/><Relationship Id="rId359" Type="http://schemas.openxmlformats.org/officeDocument/2006/relationships/hyperlink" Target="https://www.nhl.com/player/Brenden-Dillon-8475455" TargetMode="External"/><Relationship Id="rId566" Type="http://schemas.openxmlformats.org/officeDocument/2006/relationships/hyperlink" Target="https://www.nhl.com/player/Steven-Kampfer-8474000" TargetMode="External"/><Relationship Id="rId773" Type="http://schemas.openxmlformats.org/officeDocument/2006/relationships/hyperlink" Target="https://www.nhl.com/player/Ryan-Lindgren-8479324" TargetMode="External"/><Relationship Id="rId121" Type="http://schemas.openxmlformats.org/officeDocument/2006/relationships/hyperlink" Target="https://www.nhl.com/player/Marcus-Johansson-8475149" TargetMode="External"/><Relationship Id="rId219" Type="http://schemas.openxmlformats.org/officeDocument/2006/relationships/hyperlink" Target="https://www.nhl.com/player/Nikolaj-Ehlers-8477940" TargetMode="External"/><Relationship Id="rId426" Type="http://schemas.openxmlformats.org/officeDocument/2006/relationships/hyperlink" Target="https://www.nhl.com/player/Ben-Chiarot-8475279" TargetMode="External"/><Relationship Id="rId633" Type="http://schemas.openxmlformats.org/officeDocument/2006/relationships/hyperlink" Target="https://www.nhl.com/player/Sam-Steel-8479351" TargetMode="External"/><Relationship Id="rId980" Type="http://schemas.openxmlformats.org/officeDocument/2006/relationships/hyperlink" Target="https://www.nhl.com/player/Anton-Wedin-8481637" TargetMode="External"/><Relationship Id="rId840" Type="http://schemas.openxmlformats.org/officeDocument/2006/relationships/hyperlink" Target="https://www.nhl.com/player/Andrew-Agozzino-8475461" TargetMode="External"/><Relationship Id="rId938" Type="http://schemas.openxmlformats.org/officeDocument/2006/relationships/hyperlink" Target="https://www.nhl.com/player/Kristian-Vesalainen-8480005" TargetMode="External"/><Relationship Id="rId67" Type="http://schemas.openxmlformats.org/officeDocument/2006/relationships/hyperlink" Target="https://www.nhl.com/player/Wayne-Simmonds-8474190" TargetMode="External"/><Relationship Id="rId272" Type="http://schemas.openxmlformats.org/officeDocument/2006/relationships/hyperlink" Target="https://www.nhl.com/player/Erik-Haula-8475287" TargetMode="External"/><Relationship Id="rId577" Type="http://schemas.openxmlformats.org/officeDocument/2006/relationships/hyperlink" Target="https://www.nhl.com/player/Brett-Howden-8479353" TargetMode="External"/><Relationship Id="rId700" Type="http://schemas.openxmlformats.org/officeDocument/2006/relationships/hyperlink" Target="https://www.nhl.com/player/Jack-Hughes-8481559" TargetMode="External"/><Relationship Id="rId132" Type="http://schemas.openxmlformats.org/officeDocument/2006/relationships/hyperlink" Target="https://www.nhl.com/player/Mikkel-Boedker-8474571" TargetMode="External"/><Relationship Id="rId784" Type="http://schemas.openxmlformats.org/officeDocument/2006/relationships/hyperlink" Target="https://www.nhl.com/player/Josh-Brown-8477384" TargetMode="External"/><Relationship Id="rId991" Type="http://schemas.openxmlformats.org/officeDocument/2006/relationships/hyperlink" Target="https://www.nhl.com/player/Philip-Holm-8480163" TargetMode="External"/><Relationship Id="rId437" Type="http://schemas.openxmlformats.org/officeDocument/2006/relationships/hyperlink" Target="https://www.nhl.com/player/Nikita-Zaitsev-8479458" TargetMode="External"/><Relationship Id="rId644" Type="http://schemas.openxmlformats.org/officeDocument/2006/relationships/hyperlink" Target="https://www.nhl.com/player/Troy-Terry-8478873" TargetMode="External"/><Relationship Id="rId851" Type="http://schemas.openxmlformats.org/officeDocument/2006/relationships/hyperlink" Target="https://www.nhl.com/player/Laurent-Dauphin-8477460" TargetMode="External"/><Relationship Id="rId283" Type="http://schemas.openxmlformats.org/officeDocument/2006/relationships/hyperlink" Target="https://www.nhl.com/player/Kyle-Connor-8478398" TargetMode="External"/><Relationship Id="rId490" Type="http://schemas.openxmlformats.org/officeDocument/2006/relationships/hyperlink" Target="https://www.nhl.com/player/Robert-Bortuzzo-8474145" TargetMode="External"/><Relationship Id="rId504" Type="http://schemas.openxmlformats.org/officeDocument/2006/relationships/hyperlink" Target="https://www.nhl.com/player/Garnet-Hathaway-8477903" TargetMode="External"/><Relationship Id="rId711" Type="http://schemas.openxmlformats.org/officeDocument/2006/relationships/hyperlink" Target="https://www.nhl.com/player/Dominik-Kubalik-8477330" TargetMode="External"/><Relationship Id="rId949" Type="http://schemas.openxmlformats.org/officeDocument/2006/relationships/hyperlink" Target="https://www.nhl.com/player/Turner-Elson-8476505" TargetMode="External"/><Relationship Id="rId78" Type="http://schemas.openxmlformats.org/officeDocument/2006/relationships/hyperlink" Target="https://www.nhl.com/player/Josh-Bailey-8474573" TargetMode="External"/><Relationship Id="rId143" Type="http://schemas.openxmlformats.org/officeDocument/2006/relationships/hyperlink" Target="https://www.nhl.com/player/Brendan-Gallagher-8475848" TargetMode="External"/><Relationship Id="rId350" Type="http://schemas.openxmlformats.org/officeDocument/2006/relationships/hyperlink" Target="https://www.nhl.com/player/Jordie-Benn-8474818" TargetMode="External"/><Relationship Id="rId588" Type="http://schemas.openxmlformats.org/officeDocument/2006/relationships/hyperlink" Target="https://www.nhl.com/player/Stephen-Johns-8475730" TargetMode="External"/><Relationship Id="rId795" Type="http://schemas.openxmlformats.org/officeDocument/2006/relationships/hyperlink" Target="https://www.nhl.com/player/Kailer-Yamamoto-8479977" TargetMode="External"/><Relationship Id="rId809" Type="http://schemas.openxmlformats.org/officeDocument/2006/relationships/hyperlink" Target="https://www.nhl.com/player/Justin-Dowling-8475413" TargetMode="External"/><Relationship Id="rId9" Type="http://schemas.openxmlformats.org/officeDocument/2006/relationships/hyperlink" Target="https://www.nhl.com/player/Nicklas-Backstrom-8473563" TargetMode="External"/><Relationship Id="rId210" Type="http://schemas.openxmlformats.org/officeDocument/2006/relationships/hyperlink" Target="https://www.nhl.com/player/Cody-Eakin-8475236" TargetMode="External"/><Relationship Id="rId448" Type="http://schemas.openxmlformats.org/officeDocument/2006/relationships/hyperlink" Target="https://www.nhl.com/player/Brandon-Tanev-8479293" TargetMode="External"/><Relationship Id="rId655" Type="http://schemas.openxmlformats.org/officeDocument/2006/relationships/hyperlink" Target="https://www.nhl.com/player/Ilya-Mikheyev-8481624" TargetMode="External"/><Relationship Id="rId862" Type="http://schemas.openxmlformats.org/officeDocument/2006/relationships/hyperlink" Target="https://www.nhl.com/player/Chris-Bigras-8477453" TargetMode="External"/><Relationship Id="rId294" Type="http://schemas.openxmlformats.org/officeDocument/2006/relationships/hyperlink" Target="https://www.nhl.com/player/Colton-Parayko-8476892" TargetMode="External"/><Relationship Id="rId308" Type="http://schemas.openxmlformats.org/officeDocument/2006/relationships/hyperlink" Target="https://www.nhl.com/player/Jay-Beagle-8474291" TargetMode="External"/><Relationship Id="rId515" Type="http://schemas.openxmlformats.org/officeDocument/2006/relationships/hyperlink" Target="https://www.nhl.com/player/Stefan-Noesen-8476474" TargetMode="External"/><Relationship Id="rId722" Type="http://schemas.openxmlformats.org/officeDocument/2006/relationships/hyperlink" Target="https://www.nhl.com/player/Mason-Appleton-8478891" TargetMode="External"/><Relationship Id="rId89" Type="http://schemas.openxmlformats.org/officeDocument/2006/relationships/hyperlink" Target="https://www.nhl.com/player/Alex-Pietrangelo-8474565" TargetMode="External"/><Relationship Id="rId154" Type="http://schemas.openxmlformats.org/officeDocument/2006/relationships/hyperlink" Target="https://www.nhl.com/player/Kyle-Brodziak-8470803" TargetMode="External"/><Relationship Id="rId361" Type="http://schemas.openxmlformats.org/officeDocument/2006/relationships/hyperlink" Target="https://www.nhl.com/player/Anthony-Beauvillier-8478463" TargetMode="External"/><Relationship Id="rId599" Type="http://schemas.openxmlformats.org/officeDocument/2006/relationships/hyperlink" Target="https://www.nhl.com/player/Scott-Harrington-8476449" TargetMode="External"/><Relationship Id="rId1005" Type="http://schemas.openxmlformats.org/officeDocument/2006/relationships/hyperlink" Target="https://www.nhl.com/player/Nico-Sturm-8481477" TargetMode="External"/><Relationship Id="rId459" Type="http://schemas.openxmlformats.org/officeDocument/2006/relationships/hyperlink" Target="https://www.nhl.com/player/Christian-Fischer-8478432" TargetMode="External"/><Relationship Id="rId666" Type="http://schemas.openxmlformats.org/officeDocument/2006/relationships/hyperlink" Target="https://www.nhl.com/player/Christian-Wolanin-8478846" TargetMode="External"/><Relationship Id="rId873" Type="http://schemas.openxmlformats.org/officeDocument/2006/relationships/hyperlink" Target="https://www.nhl.com/player/Connor-Clifton-8477365" TargetMode="External"/><Relationship Id="rId16" Type="http://schemas.openxmlformats.org/officeDocument/2006/relationships/hyperlink" Target="https://www.nhl.com/player/Corey-Perry-8470621" TargetMode="External"/><Relationship Id="rId221" Type="http://schemas.openxmlformats.org/officeDocument/2006/relationships/hyperlink" Target="https://www.nhl.com/player/Brayden-Point-8478010" TargetMode="External"/><Relationship Id="rId319" Type="http://schemas.openxmlformats.org/officeDocument/2006/relationships/hyperlink" Target="https://www.nhl.com/player/Jesper-Fast-8475855" TargetMode="External"/><Relationship Id="rId526" Type="http://schemas.openxmlformats.org/officeDocument/2006/relationships/hyperlink" Target="https://www.nhl.com/player/Patrik-Nemeth-8475747" TargetMode="External"/><Relationship Id="rId733" Type="http://schemas.openxmlformats.org/officeDocument/2006/relationships/hyperlink" Target="https://www.nhl.com/player/Drake-Batherson-8480208" TargetMode="External"/><Relationship Id="rId940" Type="http://schemas.openxmlformats.org/officeDocument/2006/relationships/hyperlink" Target="https://www.nhl.com/player/Brett-Lernout-8478004" TargetMode="External"/><Relationship Id="rId1016" Type="http://schemas.openxmlformats.org/officeDocument/2006/relationships/hyperlink" Target="https://www.nhl.com/player/Kole-Sherwood-8478949" TargetMode="External"/><Relationship Id="rId165" Type="http://schemas.openxmlformats.org/officeDocument/2006/relationships/hyperlink" Target="https://www.nhl.com/player/Chris-Kreider-8475184" TargetMode="External"/><Relationship Id="rId372" Type="http://schemas.openxmlformats.org/officeDocument/2006/relationships/hyperlink" Target="https://www.nhl.com/player/Mattias-Janmark-8477406" TargetMode="External"/><Relationship Id="rId677" Type="http://schemas.openxmlformats.org/officeDocument/2006/relationships/hyperlink" Target="https://www.nhl.com/player/TJ-Brennan-8474113" TargetMode="External"/><Relationship Id="rId800" Type="http://schemas.openxmlformats.org/officeDocument/2006/relationships/hyperlink" Target="https://www.nhl.com/player/Tyler-Wotherspoon-8476452" TargetMode="External"/><Relationship Id="rId232" Type="http://schemas.openxmlformats.org/officeDocument/2006/relationships/hyperlink" Target="https://www.nhl.com/player/Jason-Demers-8474218" TargetMode="External"/><Relationship Id="rId884" Type="http://schemas.openxmlformats.org/officeDocument/2006/relationships/hyperlink" Target="https://www.nhl.com/player/Jordan-Kyrou-8479385" TargetMode="External"/><Relationship Id="rId27" Type="http://schemas.openxmlformats.org/officeDocument/2006/relationships/hyperlink" Target="https://www.nhl.com/player/Brent-Burns-8470613" TargetMode="External"/><Relationship Id="rId537" Type="http://schemas.openxmlformats.org/officeDocument/2006/relationships/hyperlink" Target="https://www.nhl.com/player/Casey-Mittelstadt-8479999" TargetMode="External"/><Relationship Id="rId744" Type="http://schemas.openxmlformats.org/officeDocument/2006/relationships/hyperlink" Target="https://www.nhl.com/player/Ben-Street-8476043" TargetMode="External"/><Relationship Id="rId951" Type="http://schemas.openxmlformats.org/officeDocument/2006/relationships/hyperlink" Target="https://www.nhl.com/player/Tommy-Cross-8474019" TargetMode="External"/><Relationship Id="rId80" Type="http://schemas.openxmlformats.org/officeDocument/2006/relationships/hyperlink" Target="https://www.nhl.com/player/Nathan-MacKinnon-8477492" TargetMode="External"/><Relationship Id="rId176" Type="http://schemas.openxmlformats.org/officeDocument/2006/relationships/hyperlink" Target="https://www.nhl.com/player/Tomas-Hertl-8476881" TargetMode="External"/><Relationship Id="rId383" Type="http://schemas.openxmlformats.org/officeDocument/2006/relationships/hyperlink" Target="https://www.nhl.com/player/Tyler-Bertuzzi-8477479" TargetMode="External"/><Relationship Id="rId590" Type="http://schemas.openxmlformats.org/officeDocument/2006/relationships/hyperlink" Target="https://www.nhl.com/player/Travis-Boyd-8476329" TargetMode="External"/><Relationship Id="rId604" Type="http://schemas.openxmlformats.org/officeDocument/2006/relationships/hyperlink" Target="https://www.nhl.com/player/Fredrik-Claesson-8476368" TargetMode="External"/><Relationship Id="rId811" Type="http://schemas.openxmlformats.org/officeDocument/2006/relationships/hyperlink" Target="https://www.nhl.com/player/Ben-Harpur-8477433" TargetMode="External"/><Relationship Id="rId1027" Type="http://schemas.openxmlformats.org/officeDocument/2006/relationships/hyperlink" Target="https://www.nhl.com/player/Rhett-Gardner-8479587" TargetMode="External"/><Relationship Id="rId243" Type="http://schemas.openxmlformats.org/officeDocument/2006/relationships/hyperlink" Target="https://www.nhl.com/player/Matt-Calvert-8474685" TargetMode="External"/><Relationship Id="rId450" Type="http://schemas.openxmlformats.org/officeDocument/2006/relationships/hyperlink" Target="https://www.nhl.com/player/Joakim-Nordstrom-8475807" TargetMode="External"/><Relationship Id="rId688" Type="http://schemas.openxmlformats.org/officeDocument/2006/relationships/hyperlink" Target="https://www.nhl.com/player/Denis-Gurianov-8478495" TargetMode="External"/><Relationship Id="rId895" Type="http://schemas.openxmlformats.org/officeDocument/2006/relationships/hyperlink" Target="https://www.nhl.com/player/Jesper-Boqvist-8480003" TargetMode="External"/><Relationship Id="rId909" Type="http://schemas.openxmlformats.org/officeDocument/2006/relationships/hyperlink" Target="https://www.nhl.com/player/Dillon-Heatherington-8477471" TargetMode="External"/><Relationship Id="rId38" Type="http://schemas.openxmlformats.org/officeDocument/2006/relationships/hyperlink" Target="https://www.nhl.com/player/Erik-Karlsson-8474578" TargetMode="External"/><Relationship Id="rId103" Type="http://schemas.openxmlformats.org/officeDocument/2006/relationships/hyperlink" Target="https://www.nhl.com/player/Sean-Monahan-8477497" TargetMode="External"/><Relationship Id="rId310" Type="http://schemas.openxmlformats.org/officeDocument/2006/relationships/hyperlink" Target="https://www.nhl.com/player/Nick-Holden-8474207" TargetMode="External"/><Relationship Id="rId548" Type="http://schemas.openxmlformats.org/officeDocument/2006/relationships/hyperlink" Target="https://www.nhl.com/player/David-Kampf-8480144" TargetMode="External"/><Relationship Id="rId755" Type="http://schemas.openxmlformats.org/officeDocument/2006/relationships/hyperlink" Target="https://www.nhl.com/player/Joey-Anderson-8479315" TargetMode="External"/><Relationship Id="rId962" Type="http://schemas.openxmlformats.org/officeDocument/2006/relationships/hyperlink" Target="https://www.nhl.com/player/Andreas-Englund-8477971" TargetMode="External"/><Relationship Id="rId91" Type="http://schemas.openxmlformats.org/officeDocument/2006/relationships/hyperlink" Target="https://www.nhl.com/player/P.K.-Subban-8474056" TargetMode="External"/><Relationship Id="rId187" Type="http://schemas.openxmlformats.org/officeDocument/2006/relationships/hyperlink" Target="https://www.nhl.com/player/TJ-Brodie-8474673" TargetMode="External"/><Relationship Id="rId394" Type="http://schemas.openxmlformats.org/officeDocument/2006/relationships/hyperlink" Target="https://www.nhl.com/player/Frank-Vatrano-8478366" TargetMode="External"/><Relationship Id="rId408" Type="http://schemas.openxmlformats.org/officeDocument/2006/relationships/hyperlink" Target="https://www.nhl.com/player/Will-Butcher-8477355" TargetMode="External"/><Relationship Id="rId615" Type="http://schemas.openxmlformats.org/officeDocument/2006/relationships/hyperlink" Target="https://www.nhl.com/player/Christian-Djoos-8477043" TargetMode="External"/><Relationship Id="rId822" Type="http://schemas.openxmlformats.org/officeDocument/2006/relationships/hyperlink" Target="https://www.nhl.com/player/Lawrence-Pilut-8480935" TargetMode="External"/><Relationship Id="rId254" Type="http://schemas.openxmlformats.org/officeDocument/2006/relationships/hyperlink" Target="https://www.nhl.com/player/Mattias-Ekholm-8475218" TargetMode="External"/><Relationship Id="rId699" Type="http://schemas.openxmlformats.org/officeDocument/2006/relationships/hyperlink" Target="https://www.nhl.com/player/Peter-Cehlarik-84774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23A6-FBB2-451E-BC53-7BD5BCE900DA}">
  <dimension ref="A1:AC472"/>
  <sheetViews>
    <sheetView tabSelected="1" zoomScale="80" zoomScaleNormal="80" workbookViewId="0">
      <pane xSplit="2" topLeftCell="C1" activePane="topRight" state="frozen"/>
      <selection pane="topRight" activeCell="N52" sqref="N52"/>
    </sheetView>
  </sheetViews>
  <sheetFormatPr defaultRowHeight="15"/>
  <cols>
    <col min="1" max="1" width="8.140625" bestFit="1" customWidth="1"/>
    <col min="2" max="2" width="21.85546875" bestFit="1" customWidth="1"/>
    <col min="3" max="3" width="9.7109375" bestFit="1" customWidth="1"/>
    <col min="4" max="4" width="15.42578125" bestFit="1" customWidth="1"/>
    <col min="6" max="6" width="9.7109375" bestFit="1" customWidth="1"/>
    <col min="7" max="7" width="11.140625" bestFit="1" customWidth="1"/>
    <col min="8" max="8" width="10.5703125" bestFit="1" customWidth="1"/>
    <col min="9" max="9" width="14.140625" bestFit="1" customWidth="1"/>
    <col min="10" max="10" width="7.7109375" bestFit="1" customWidth="1"/>
    <col min="11" max="12" width="11.85546875" bestFit="1" customWidth="1"/>
    <col min="13" max="13" width="14" bestFit="1" customWidth="1"/>
    <col min="14" max="14" width="11.7109375" style="3" bestFit="1" customWidth="1"/>
    <col min="15" max="15" width="13.7109375" style="2" bestFit="1" customWidth="1"/>
    <col min="16" max="16" width="13.7109375" style="3" customWidth="1"/>
    <col min="17" max="18" width="12.140625" bestFit="1" customWidth="1"/>
    <col min="19" max="19" width="12" bestFit="1" customWidth="1"/>
    <col min="20" max="20" width="14.28515625" bestFit="1" customWidth="1"/>
    <col min="21" max="21" width="14.28515625" customWidth="1"/>
    <col min="24" max="24" width="9.140625" bestFit="1" customWidth="1"/>
  </cols>
  <sheetData>
    <row r="1" spans="1:29">
      <c r="A1" t="s">
        <v>1</v>
      </c>
      <c r="B1" t="s">
        <v>0</v>
      </c>
      <c r="C1" t="s">
        <v>47</v>
      </c>
      <c r="D1" t="s">
        <v>48</v>
      </c>
      <c r="E1" s="1" t="s">
        <v>12</v>
      </c>
      <c r="F1" t="s">
        <v>13</v>
      </c>
      <c r="G1" s="1" t="s">
        <v>14</v>
      </c>
      <c r="H1" t="s">
        <v>15</v>
      </c>
      <c r="I1" t="s">
        <v>16</v>
      </c>
      <c r="J1" s="2" t="s">
        <v>5</v>
      </c>
      <c r="K1" s="5" t="s">
        <v>643</v>
      </c>
      <c r="L1" s="5" t="s">
        <v>644</v>
      </c>
      <c r="M1" s="5" t="s">
        <v>645</v>
      </c>
      <c r="N1" s="3" t="s">
        <v>598</v>
      </c>
      <c r="O1" s="21" t="s">
        <v>355</v>
      </c>
      <c r="P1" s="5" t="s">
        <v>1180</v>
      </c>
      <c r="Q1" t="s">
        <v>594</v>
      </c>
      <c r="R1" t="s">
        <v>595</v>
      </c>
      <c r="S1" t="s">
        <v>596</v>
      </c>
      <c r="T1" t="s">
        <v>597</v>
      </c>
      <c r="U1" t="s">
        <v>1181</v>
      </c>
      <c r="V1" t="s">
        <v>642</v>
      </c>
      <c r="W1" t="s">
        <v>646</v>
      </c>
      <c r="X1" t="s">
        <v>647</v>
      </c>
      <c r="Y1" t="s">
        <v>648</v>
      </c>
      <c r="Z1" t="s">
        <v>649</v>
      </c>
      <c r="AA1" t="s">
        <v>1176</v>
      </c>
      <c r="AB1" t="s">
        <v>1177</v>
      </c>
      <c r="AC1" t="s">
        <v>1179</v>
      </c>
    </row>
    <row r="2" spans="1:29">
      <c r="A2" t="s">
        <v>169</v>
      </c>
      <c r="B2" t="s">
        <v>182</v>
      </c>
      <c r="C2">
        <v>1</v>
      </c>
      <c r="D2" t="s">
        <v>66</v>
      </c>
      <c r="E2" s="1">
        <v>75</v>
      </c>
      <c r="F2">
        <v>235</v>
      </c>
      <c r="G2" s="1">
        <v>19</v>
      </c>
      <c r="H2" t="s">
        <v>41</v>
      </c>
      <c r="I2" t="s">
        <v>43</v>
      </c>
      <c r="J2" s="2">
        <v>65</v>
      </c>
      <c r="K2" s="23">
        <v>33.148936170212764</v>
      </c>
      <c r="L2" s="23">
        <v>24.425531914893615</v>
      </c>
      <c r="M2" s="23">
        <v>69.787234042553195</v>
      </c>
      <c r="N2" s="5" t="s">
        <v>66</v>
      </c>
      <c r="O2" s="2" t="s">
        <v>650</v>
      </c>
      <c r="P2" s="23">
        <v>215.30520646319567</v>
      </c>
      <c r="Q2" s="14">
        <v>49.806859205776171</v>
      </c>
      <c r="R2" s="14">
        <v>41.666064981949454</v>
      </c>
      <c r="S2" s="14">
        <v>91.472924187725624</v>
      </c>
      <c r="T2" s="14">
        <v>51.879061371841154</v>
      </c>
      <c r="U2" s="14">
        <v>395.71992818671453</v>
      </c>
      <c r="V2" s="24"/>
      <c r="W2" s="14">
        <f>S2+T2/2+U2+P2</f>
        <v>728.43758952355643</v>
      </c>
      <c r="Y2">
        <v>1</v>
      </c>
      <c r="Z2" t="s">
        <v>650</v>
      </c>
      <c r="AA2">
        <v>2925</v>
      </c>
      <c r="AB2">
        <v>1114</v>
      </c>
      <c r="AC2">
        <v>5376</v>
      </c>
    </row>
    <row r="3" spans="1:29">
      <c r="A3" s="6" t="s">
        <v>135</v>
      </c>
      <c r="B3" t="s">
        <v>146</v>
      </c>
      <c r="C3">
        <v>4</v>
      </c>
      <c r="D3" t="s">
        <v>34</v>
      </c>
      <c r="E3" s="1">
        <v>75</v>
      </c>
      <c r="F3">
        <v>196</v>
      </c>
      <c r="G3" s="1">
        <v>19</v>
      </c>
      <c r="H3" t="s">
        <v>41</v>
      </c>
      <c r="I3" t="s">
        <v>44</v>
      </c>
      <c r="J3" s="2">
        <v>47</v>
      </c>
      <c r="K3" s="23">
        <v>19.191489361702128</v>
      </c>
      <c r="L3" s="23">
        <v>50.595744680851062</v>
      </c>
      <c r="M3" s="23">
        <v>109.91489361702128</v>
      </c>
      <c r="N3" s="5" t="s">
        <v>611</v>
      </c>
      <c r="O3" s="2" t="s">
        <v>651</v>
      </c>
      <c r="P3" s="23">
        <v>229.6</v>
      </c>
      <c r="Q3" s="14">
        <v>26.451612903225808</v>
      </c>
      <c r="R3" s="14">
        <v>24.688172043010752</v>
      </c>
      <c r="S3" s="14">
        <v>51.13978494623656</v>
      </c>
      <c r="T3" s="14">
        <v>81.118279569892479</v>
      </c>
      <c r="U3" s="14">
        <v>263.21999999999997</v>
      </c>
      <c r="V3" s="24"/>
      <c r="W3" s="14">
        <f>S3+T3/2+U3+P3</f>
        <v>584.51892473118278</v>
      </c>
      <c r="Y3">
        <v>1</v>
      </c>
      <c r="Z3" t="s">
        <v>650</v>
      </c>
      <c r="AA3">
        <v>280</v>
      </c>
      <c r="AB3">
        <v>100</v>
      </c>
      <c r="AC3">
        <v>321</v>
      </c>
    </row>
    <row r="4" spans="1:29">
      <c r="A4" t="s">
        <v>539</v>
      </c>
      <c r="B4" t="s">
        <v>547</v>
      </c>
      <c r="C4">
        <v>4</v>
      </c>
      <c r="D4" t="s">
        <v>35</v>
      </c>
      <c r="E4" s="1">
        <v>74</v>
      </c>
      <c r="F4">
        <v>210</v>
      </c>
      <c r="G4" s="1">
        <v>18</v>
      </c>
      <c r="H4" t="s">
        <v>41</v>
      </c>
      <c r="I4" t="s">
        <v>44</v>
      </c>
      <c r="J4" s="2">
        <v>67</v>
      </c>
      <c r="K4" s="23">
        <v>87.234042553191486</v>
      </c>
      <c r="L4" s="23">
        <v>90.723404255319153</v>
      </c>
      <c r="M4" s="23">
        <v>158.7659574468085</v>
      </c>
      <c r="N4" s="3" t="s">
        <v>599</v>
      </c>
      <c r="O4" s="2" t="s">
        <v>651</v>
      </c>
      <c r="P4" s="23">
        <v>186.23111111111112</v>
      </c>
      <c r="Q4" s="14">
        <v>27.904477611940298</v>
      </c>
      <c r="R4" s="14">
        <v>24.722388059701494</v>
      </c>
      <c r="S4" s="14">
        <v>52.626865671641788</v>
      </c>
      <c r="T4" s="14">
        <v>103.78507462686568</v>
      </c>
      <c r="U4" s="14">
        <v>293.13481481481483</v>
      </c>
      <c r="V4" s="24"/>
      <c r="W4" s="14">
        <f>S4+T4/2+U4+P4</f>
        <v>583.88532891100056</v>
      </c>
      <c r="Y4">
        <v>1</v>
      </c>
      <c r="Z4" t="s">
        <v>650</v>
      </c>
      <c r="AA4">
        <v>1533</v>
      </c>
      <c r="AB4">
        <v>675</v>
      </c>
      <c r="AC4">
        <v>2413</v>
      </c>
    </row>
    <row r="5" spans="1:29">
      <c r="A5" t="s">
        <v>576</v>
      </c>
      <c r="B5" t="s">
        <v>578</v>
      </c>
      <c r="C5">
        <v>13</v>
      </c>
      <c r="D5" t="s">
        <v>34</v>
      </c>
      <c r="E5" s="1">
        <v>72</v>
      </c>
      <c r="F5">
        <v>210</v>
      </c>
      <c r="G5" s="1">
        <v>19</v>
      </c>
      <c r="H5" t="s">
        <v>41</v>
      </c>
      <c r="I5" t="s">
        <v>43</v>
      </c>
      <c r="J5" s="2">
        <v>65</v>
      </c>
      <c r="K5" s="23">
        <v>62.808510638297875</v>
      </c>
      <c r="L5" s="23">
        <v>76.765957446808514</v>
      </c>
      <c r="M5" s="23">
        <v>172.72340425531914</v>
      </c>
      <c r="N5" s="3" t="s">
        <v>600</v>
      </c>
      <c r="O5" s="2" t="s">
        <v>651</v>
      </c>
      <c r="P5" s="23">
        <v>248.79461883408072</v>
      </c>
      <c r="Q5" s="14">
        <v>20.571929824561405</v>
      </c>
      <c r="R5" s="14">
        <v>24.671929824561403</v>
      </c>
      <c r="S5" s="14">
        <v>45.243859649122811</v>
      </c>
      <c r="T5" s="14">
        <v>49.343859649122805</v>
      </c>
      <c r="U5" s="14">
        <v>216.73004484304934</v>
      </c>
      <c r="V5" s="24"/>
      <c r="W5" s="14">
        <f>S5+T5/2+U5+P5</f>
        <v>535.44045315081428</v>
      </c>
      <c r="Y5">
        <v>1</v>
      </c>
      <c r="Z5" t="s">
        <v>650</v>
      </c>
      <c r="AA5">
        <v>3383</v>
      </c>
      <c r="AB5">
        <v>1115</v>
      </c>
      <c r="AC5">
        <v>2947</v>
      </c>
    </row>
    <row r="6" spans="1:29">
      <c r="A6" t="s">
        <v>556</v>
      </c>
      <c r="B6" t="s">
        <v>562</v>
      </c>
      <c r="C6">
        <v>51</v>
      </c>
      <c r="D6" t="s">
        <v>35</v>
      </c>
      <c r="E6" s="1">
        <v>74</v>
      </c>
      <c r="F6">
        <v>197</v>
      </c>
      <c r="G6" s="1">
        <v>18</v>
      </c>
      <c r="H6" t="s">
        <v>42</v>
      </c>
      <c r="I6" t="s">
        <v>44</v>
      </c>
      <c r="J6" s="2">
        <v>72</v>
      </c>
      <c r="K6" s="23">
        <v>8.7234042553191493</v>
      </c>
      <c r="L6" s="23">
        <v>47.10638297872341</v>
      </c>
      <c r="M6" s="23">
        <v>62.808510638297875</v>
      </c>
      <c r="N6" s="3" t="s">
        <v>599</v>
      </c>
      <c r="O6" s="2" t="s">
        <v>651</v>
      </c>
      <c r="P6" s="23">
        <v>229.6</v>
      </c>
      <c r="Q6" s="14">
        <v>0</v>
      </c>
      <c r="R6" s="14">
        <v>17.571428571428569</v>
      </c>
      <c r="S6" s="14">
        <v>17.571428571428569</v>
      </c>
      <c r="T6" s="14">
        <v>42.952380952380949</v>
      </c>
      <c r="U6" s="14">
        <v>263.21999999999997</v>
      </c>
      <c r="V6" s="24">
        <v>-0.17391304347826086</v>
      </c>
      <c r="W6" s="14">
        <f>S6+T6/2+U6+P6</f>
        <v>531.86761904761897</v>
      </c>
      <c r="X6" s="22">
        <v>-11</v>
      </c>
      <c r="Y6">
        <v>0</v>
      </c>
      <c r="Z6" t="s">
        <v>651</v>
      </c>
      <c r="AA6">
        <v>280</v>
      </c>
      <c r="AB6">
        <v>100</v>
      </c>
      <c r="AC6">
        <v>321</v>
      </c>
    </row>
    <row r="7" spans="1:29">
      <c r="A7" s="6" t="s">
        <v>17</v>
      </c>
      <c r="B7" t="s">
        <v>18</v>
      </c>
      <c r="C7">
        <v>62</v>
      </c>
      <c r="D7" t="s">
        <v>34</v>
      </c>
      <c r="E7" s="1">
        <v>75</v>
      </c>
      <c r="F7">
        <v>215</v>
      </c>
      <c r="G7" s="1">
        <v>19</v>
      </c>
      <c r="H7" t="s">
        <v>41</v>
      </c>
      <c r="I7" t="s">
        <v>43</v>
      </c>
      <c r="J7" s="2">
        <v>57</v>
      </c>
      <c r="K7" s="23">
        <v>48.851063829787229</v>
      </c>
      <c r="L7" s="23">
        <v>71.531914893617028</v>
      </c>
      <c r="M7" s="23">
        <v>219.82978723404256</v>
      </c>
      <c r="N7" s="5" t="s">
        <v>613</v>
      </c>
      <c r="O7" s="2" t="s">
        <v>651</v>
      </c>
      <c r="P7" s="23">
        <v>232.36247334754799</v>
      </c>
      <c r="Q7" s="14">
        <v>21.376068376068375</v>
      </c>
      <c r="R7" s="14">
        <v>26.982905982905979</v>
      </c>
      <c r="S7" s="14">
        <v>48.358974358974358</v>
      </c>
      <c r="T7" s="14">
        <v>99.696581196581192</v>
      </c>
      <c r="U7" s="14">
        <v>186.46695095948826</v>
      </c>
      <c r="V7" s="24"/>
      <c r="W7" s="14">
        <f>S7+T7/2+U7+P7</f>
        <v>517.03668926430123</v>
      </c>
      <c r="Y7">
        <v>1</v>
      </c>
      <c r="Z7" t="s">
        <v>650</v>
      </c>
      <c r="AA7">
        <v>2658</v>
      </c>
      <c r="AB7">
        <v>938</v>
      </c>
      <c r="AC7">
        <v>2133</v>
      </c>
    </row>
    <row r="8" spans="1:29">
      <c r="A8" t="s">
        <v>188</v>
      </c>
      <c r="B8" t="s">
        <v>193</v>
      </c>
      <c r="C8">
        <v>72</v>
      </c>
      <c r="D8" t="s">
        <v>35</v>
      </c>
      <c r="E8" s="1">
        <v>71</v>
      </c>
      <c r="F8">
        <v>216</v>
      </c>
      <c r="G8" s="1">
        <v>19</v>
      </c>
      <c r="H8" t="s">
        <v>41</v>
      </c>
      <c r="I8" t="s">
        <v>43</v>
      </c>
      <c r="J8" s="2">
        <v>66</v>
      </c>
      <c r="K8" s="23">
        <v>61.063829787234042</v>
      </c>
      <c r="L8" s="23">
        <v>57.574468085106382</v>
      </c>
      <c r="M8" s="23">
        <v>242.51063829787236</v>
      </c>
      <c r="N8" s="5" t="s">
        <v>600</v>
      </c>
      <c r="O8" s="2" t="s">
        <v>651</v>
      </c>
      <c r="P8" s="23">
        <v>313.17343173431732</v>
      </c>
      <c r="Q8" s="14">
        <v>12.106699751861042</v>
      </c>
      <c r="R8" s="14">
        <v>11.801488833746898</v>
      </c>
      <c r="S8" s="14">
        <v>23.908188585607942</v>
      </c>
      <c r="T8" s="14">
        <v>62.059553349875934</v>
      </c>
      <c r="U8" s="14">
        <v>143.82779827798279</v>
      </c>
      <c r="V8" s="24"/>
      <c r="W8" s="14">
        <f>S8+T8/2+U8+P8</f>
        <v>511.93919527284601</v>
      </c>
      <c r="Y8">
        <v>0</v>
      </c>
      <c r="Z8" t="s">
        <v>650</v>
      </c>
      <c r="AA8">
        <v>3105</v>
      </c>
      <c r="AB8">
        <v>813</v>
      </c>
      <c r="AC8">
        <v>1426</v>
      </c>
    </row>
    <row r="9" spans="1:29">
      <c r="A9" t="s">
        <v>169</v>
      </c>
      <c r="B9" t="s">
        <v>175</v>
      </c>
      <c r="C9">
        <v>66</v>
      </c>
      <c r="D9" t="s">
        <v>36</v>
      </c>
      <c r="E9" s="1">
        <v>72</v>
      </c>
      <c r="F9">
        <v>204</v>
      </c>
      <c r="G9" s="1">
        <v>20</v>
      </c>
      <c r="H9" t="s">
        <v>42</v>
      </c>
      <c r="I9" t="s">
        <v>43</v>
      </c>
      <c r="J9" s="2">
        <v>65</v>
      </c>
      <c r="K9" s="23">
        <v>12.212765957446807</v>
      </c>
      <c r="L9" s="23">
        <v>52.340425531914896</v>
      </c>
      <c r="M9" s="23">
        <v>263.44680851063828</v>
      </c>
      <c r="N9" s="5" t="s">
        <v>599</v>
      </c>
      <c r="O9" s="2" t="s">
        <v>651</v>
      </c>
      <c r="P9" s="23">
        <v>289.75784753363229</v>
      </c>
      <c r="Q9" s="14">
        <v>4.4727272727272727</v>
      </c>
      <c r="R9" s="14">
        <v>16.027272727272727</v>
      </c>
      <c r="S9" s="14">
        <v>20.5</v>
      </c>
      <c r="T9" s="14">
        <v>112.19090909090909</v>
      </c>
      <c r="U9" s="14">
        <v>144.14349775784754</v>
      </c>
      <c r="V9" s="24">
        <v>4.9438202247191011E-2</v>
      </c>
      <c r="W9" s="14">
        <f>S9+T9/2+U9+P9</f>
        <v>510.49679983693437</v>
      </c>
      <c r="Y9">
        <v>0</v>
      </c>
      <c r="Z9" t="s">
        <v>650</v>
      </c>
      <c r="AA9">
        <v>1576</v>
      </c>
      <c r="AB9">
        <v>446</v>
      </c>
      <c r="AC9">
        <v>784</v>
      </c>
    </row>
    <row r="10" spans="1:29">
      <c r="A10" s="6" t="s">
        <v>135</v>
      </c>
      <c r="B10" t="s">
        <v>137</v>
      </c>
      <c r="C10">
        <v>139</v>
      </c>
      <c r="D10" t="s">
        <v>35</v>
      </c>
      <c r="E10" s="1">
        <v>73</v>
      </c>
      <c r="F10">
        <v>207</v>
      </c>
      <c r="G10" s="1">
        <v>19</v>
      </c>
      <c r="H10" t="s">
        <v>42</v>
      </c>
      <c r="I10" t="s">
        <v>44</v>
      </c>
      <c r="J10" s="2">
        <v>46</v>
      </c>
      <c r="K10" s="23">
        <v>3.4893617021276593</v>
      </c>
      <c r="L10" s="23">
        <v>41.87234042553191</v>
      </c>
      <c r="M10" s="23">
        <v>139.57446808510639</v>
      </c>
      <c r="N10" s="5" t="s">
        <v>635</v>
      </c>
      <c r="O10" s="2" t="s">
        <v>651</v>
      </c>
      <c r="P10" s="23">
        <v>348.55840455840456</v>
      </c>
      <c r="Q10" s="14">
        <v>2.3837209302325584</v>
      </c>
      <c r="R10" s="14">
        <v>7.6279069767441863</v>
      </c>
      <c r="S10" s="14">
        <v>10.011627906976745</v>
      </c>
      <c r="T10" s="14">
        <v>147.31395348837211</v>
      </c>
      <c r="U10" s="14">
        <v>64.245014245014247</v>
      </c>
      <c r="V10" s="24">
        <v>-0.02</v>
      </c>
      <c r="W10" s="14">
        <f>S10+T10/2+U10+P10</f>
        <v>496.47202345458163</v>
      </c>
      <c r="X10" s="22">
        <v>-58</v>
      </c>
      <c r="Y10">
        <v>0</v>
      </c>
      <c r="Z10" t="s">
        <v>651</v>
      </c>
      <c r="AA10">
        <v>1492</v>
      </c>
      <c r="AB10">
        <v>351</v>
      </c>
      <c r="AC10">
        <v>275</v>
      </c>
    </row>
    <row r="11" spans="1:29">
      <c r="A11" s="6" t="s">
        <v>121</v>
      </c>
      <c r="B11" t="s">
        <v>122</v>
      </c>
      <c r="C11">
        <v>43</v>
      </c>
      <c r="D11" t="s">
        <v>85</v>
      </c>
      <c r="E11" s="1">
        <v>76</v>
      </c>
      <c r="F11">
        <v>225</v>
      </c>
      <c r="G11" s="1">
        <v>18</v>
      </c>
      <c r="H11" t="s">
        <v>42</v>
      </c>
      <c r="I11" t="s">
        <v>43</v>
      </c>
      <c r="J11" s="2">
        <v>43</v>
      </c>
      <c r="K11" s="23">
        <v>8.7234042553191493</v>
      </c>
      <c r="L11" s="23">
        <v>13.957446808510637</v>
      </c>
      <c r="M11" s="23">
        <v>27.914893617021274</v>
      </c>
      <c r="N11" s="3" t="s">
        <v>36</v>
      </c>
      <c r="O11" s="2" t="s">
        <v>651</v>
      </c>
      <c r="P11" s="23">
        <v>262.40000000000003</v>
      </c>
      <c r="Q11" s="14">
        <v>6.4736842105263159</v>
      </c>
      <c r="R11" s="14">
        <v>11.868421052631579</v>
      </c>
      <c r="S11" s="14">
        <v>18.342105263157894</v>
      </c>
      <c r="T11" s="14">
        <v>83.078947368421055</v>
      </c>
      <c r="U11" s="14">
        <v>153.75</v>
      </c>
      <c r="V11" s="24">
        <v>0.28749999999999998</v>
      </c>
      <c r="W11" s="14">
        <f>S11+T11/2+U11+P11</f>
        <v>476.03157894736847</v>
      </c>
      <c r="X11" s="22">
        <v>-9</v>
      </c>
      <c r="Y11">
        <v>0</v>
      </c>
      <c r="Z11" t="s">
        <v>650</v>
      </c>
      <c r="AA11">
        <v>256</v>
      </c>
      <c r="AB11">
        <v>80</v>
      </c>
      <c r="AC11">
        <v>150</v>
      </c>
    </row>
    <row r="12" spans="1:29">
      <c r="A12" s="6" t="s">
        <v>87</v>
      </c>
      <c r="B12" t="s">
        <v>100</v>
      </c>
      <c r="C12">
        <v>49</v>
      </c>
      <c r="D12" t="s">
        <v>35</v>
      </c>
      <c r="E12" s="1">
        <v>76</v>
      </c>
      <c r="F12">
        <v>229</v>
      </c>
      <c r="G12" s="1">
        <v>18</v>
      </c>
      <c r="H12" t="s">
        <v>42</v>
      </c>
      <c r="I12" t="s">
        <v>43</v>
      </c>
      <c r="J12" s="2">
        <v>70</v>
      </c>
      <c r="K12" s="23">
        <v>3.4893617021276593</v>
      </c>
      <c r="L12" s="23">
        <v>27.914893617021274</v>
      </c>
      <c r="M12" s="23">
        <v>291.36170212765961</v>
      </c>
      <c r="N12" s="5" t="s">
        <v>599</v>
      </c>
      <c r="O12" s="2" t="s">
        <v>651</v>
      </c>
      <c r="P12" s="23">
        <v>178.62749213011543</v>
      </c>
      <c r="Q12" s="14">
        <v>18.097148891235481</v>
      </c>
      <c r="R12" s="14">
        <v>29.61351636747624</v>
      </c>
      <c r="S12" s="14">
        <v>47.710665258711721</v>
      </c>
      <c r="T12" s="14">
        <v>57.148891235480463</v>
      </c>
      <c r="U12" s="14">
        <v>220.3588667366212</v>
      </c>
      <c r="V12" s="24">
        <v>8.4994753410283314E-2</v>
      </c>
      <c r="W12" s="14">
        <f>S12+T12/2+U12+P12</f>
        <v>475.27146974318862</v>
      </c>
      <c r="X12" s="22">
        <v>76</v>
      </c>
      <c r="Y12">
        <v>1</v>
      </c>
      <c r="Z12" t="s">
        <v>650</v>
      </c>
      <c r="AA12">
        <v>2076</v>
      </c>
      <c r="AB12">
        <v>953</v>
      </c>
      <c r="AC12">
        <v>2561</v>
      </c>
    </row>
    <row r="13" spans="1:29">
      <c r="A13" t="s">
        <v>397</v>
      </c>
      <c r="B13" t="s">
        <v>593</v>
      </c>
      <c r="C13">
        <v>128</v>
      </c>
      <c r="D13" t="s">
        <v>35</v>
      </c>
      <c r="E13" s="1">
        <v>74</v>
      </c>
      <c r="F13">
        <v>205</v>
      </c>
      <c r="G13" s="1">
        <v>18</v>
      </c>
      <c r="H13" t="s">
        <v>41</v>
      </c>
      <c r="I13" t="s">
        <v>44</v>
      </c>
      <c r="J13" s="2">
        <v>53</v>
      </c>
      <c r="K13" s="23">
        <v>73.276595744680847</v>
      </c>
      <c r="L13" s="23">
        <v>40.127659574468083</v>
      </c>
      <c r="M13" s="23">
        <v>136.08510638297872</v>
      </c>
      <c r="N13" s="3" t="s">
        <v>602</v>
      </c>
      <c r="O13" s="2" t="s">
        <v>651</v>
      </c>
      <c r="P13" s="23">
        <v>142.91731266149873</v>
      </c>
      <c r="Q13" s="14">
        <v>30.536458333333332</v>
      </c>
      <c r="R13" s="14">
        <v>40.145833333333329</v>
      </c>
      <c r="S13" s="14">
        <v>70.682291666666657</v>
      </c>
      <c r="T13" s="14">
        <v>60.645833333333329</v>
      </c>
      <c r="U13" s="14">
        <v>227.77777777777777</v>
      </c>
      <c r="V13" s="24"/>
      <c r="W13" s="14">
        <f>S13+T13/2+U13+P13</f>
        <v>471.70029877260981</v>
      </c>
      <c r="Y13">
        <v>1</v>
      </c>
      <c r="Z13" t="s">
        <v>650</v>
      </c>
      <c r="AA13">
        <v>1349</v>
      </c>
      <c r="AB13">
        <v>774</v>
      </c>
      <c r="AC13">
        <v>2150</v>
      </c>
    </row>
    <row r="14" spans="1:29">
      <c r="A14" t="s">
        <v>251</v>
      </c>
      <c r="B14" t="s">
        <v>258</v>
      </c>
      <c r="C14">
        <v>37</v>
      </c>
      <c r="D14" t="s">
        <v>35</v>
      </c>
      <c r="E14" s="1">
        <v>74</v>
      </c>
      <c r="F14">
        <v>208</v>
      </c>
      <c r="G14" s="1">
        <v>18</v>
      </c>
      <c r="H14" t="s">
        <v>41</v>
      </c>
      <c r="I14" t="s">
        <v>44</v>
      </c>
      <c r="J14" s="2">
        <v>68</v>
      </c>
      <c r="K14" s="23">
        <v>47.10638297872341</v>
      </c>
      <c r="L14" s="23">
        <v>73.276595744680847</v>
      </c>
      <c r="M14" s="23">
        <v>99.446808510638306</v>
      </c>
      <c r="N14" s="3" t="s">
        <v>600</v>
      </c>
      <c r="O14" s="2" t="s">
        <v>651</v>
      </c>
      <c r="P14" s="23">
        <v>211.61883408071748</v>
      </c>
      <c r="Q14" s="14">
        <v>19.986332574031891</v>
      </c>
      <c r="R14" s="14">
        <v>18.305239179954441</v>
      </c>
      <c r="S14" s="14">
        <v>38.291571753986332</v>
      </c>
      <c r="T14" s="14">
        <v>51.366742596810937</v>
      </c>
      <c r="U14" s="14">
        <v>195.43946188340809</v>
      </c>
      <c r="V14" s="24"/>
      <c r="W14" s="14">
        <f>S14+T14/2+U14+P14</f>
        <v>471.03323901651737</v>
      </c>
      <c r="Y14">
        <v>0</v>
      </c>
      <c r="Z14" t="s">
        <v>650</v>
      </c>
      <c r="AA14">
        <v>1151</v>
      </c>
      <c r="AB14">
        <v>446</v>
      </c>
      <c r="AC14">
        <v>1063</v>
      </c>
    </row>
    <row r="15" spans="1:29">
      <c r="A15" t="s">
        <v>204</v>
      </c>
      <c r="B15" t="s">
        <v>207</v>
      </c>
      <c r="C15">
        <v>1</v>
      </c>
      <c r="D15" t="s">
        <v>35</v>
      </c>
      <c r="E15" s="1">
        <v>71</v>
      </c>
      <c r="F15">
        <v>200</v>
      </c>
      <c r="G15" s="1">
        <v>18</v>
      </c>
      <c r="H15" t="s">
        <v>41</v>
      </c>
      <c r="I15" t="s">
        <v>44</v>
      </c>
      <c r="J15" s="2">
        <v>68</v>
      </c>
      <c r="K15" s="23">
        <v>125.61702127659575</v>
      </c>
      <c r="L15" s="23">
        <v>183.19148936170211</v>
      </c>
      <c r="M15" s="23">
        <v>153.53191489361703</v>
      </c>
      <c r="N15" s="3" t="s">
        <v>614</v>
      </c>
      <c r="O15" s="2" t="s">
        <v>650</v>
      </c>
      <c r="P15" s="23">
        <v>71.493749999999991</v>
      </c>
      <c r="Q15" s="14">
        <v>38.522916666666667</v>
      </c>
      <c r="R15" s="14">
        <v>66.795833333333334</v>
      </c>
      <c r="S15" s="14">
        <v>105.31875000000001</v>
      </c>
      <c r="T15" s="14">
        <v>56.802083333333336</v>
      </c>
      <c r="U15" s="14">
        <v>265.5604166666667</v>
      </c>
      <c r="W15" s="14">
        <f>S15+T15/2+U15+P15</f>
        <v>470.77395833333333</v>
      </c>
      <c r="Y15">
        <v>1</v>
      </c>
      <c r="Z15" t="s">
        <v>650</v>
      </c>
      <c r="AA15">
        <v>837</v>
      </c>
      <c r="AB15">
        <v>960</v>
      </c>
      <c r="AC15">
        <v>3109</v>
      </c>
    </row>
    <row r="16" spans="1:29">
      <c r="A16" t="s">
        <v>169</v>
      </c>
      <c r="B16" t="s">
        <v>186</v>
      </c>
      <c r="C16">
        <v>16</v>
      </c>
      <c r="D16" t="s">
        <v>35</v>
      </c>
      <c r="E16" s="1">
        <v>76</v>
      </c>
      <c r="F16">
        <v>218</v>
      </c>
      <c r="G16" s="1">
        <v>18</v>
      </c>
      <c r="H16" t="s">
        <v>41</v>
      </c>
      <c r="I16" t="s">
        <v>43</v>
      </c>
      <c r="J16" s="2">
        <v>49</v>
      </c>
      <c r="K16" s="23">
        <v>15.702127659574469</v>
      </c>
      <c r="L16" s="23">
        <v>31.404255319148938</v>
      </c>
      <c r="M16" s="23">
        <v>246</v>
      </c>
      <c r="N16" s="5" t="s">
        <v>600</v>
      </c>
      <c r="O16" s="2" t="s">
        <v>651</v>
      </c>
      <c r="P16" s="23">
        <v>246.1694214876033</v>
      </c>
      <c r="Q16" s="14">
        <v>11.322175732217573</v>
      </c>
      <c r="R16" s="14">
        <v>16.468619246861927</v>
      </c>
      <c r="S16" s="14">
        <v>27.7907949790795</v>
      </c>
      <c r="T16" s="14">
        <v>164.85774058577405</v>
      </c>
      <c r="U16" s="14">
        <v>111.30991735537191</v>
      </c>
      <c r="V16" s="24"/>
      <c r="W16" s="14">
        <f>S16+T16/2+U16+P16</f>
        <v>467.69900411494177</v>
      </c>
      <c r="Y16">
        <v>0</v>
      </c>
      <c r="Z16" t="s">
        <v>650</v>
      </c>
      <c r="AA16">
        <v>1453</v>
      </c>
      <c r="AB16">
        <v>484</v>
      </c>
      <c r="AC16">
        <v>657</v>
      </c>
    </row>
    <row r="17" spans="1:29">
      <c r="A17" t="s">
        <v>204</v>
      </c>
      <c r="B17" t="s">
        <v>213</v>
      </c>
      <c r="C17">
        <v>2</v>
      </c>
      <c r="D17" t="s">
        <v>66</v>
      </c>
      <c r="E17" s="1">
        <v>75</v>
      </c>
      <c r="F17">
        <v>195</v>
      </c>
      <c r="G17" s="1">
        <v>18</v>
      </c>
      <c r="H17" t="s">
        <v>41</v>
      </c>
      <c r="I17" t="s">
        <v>44</v>
      </c>
      <c r="J17" s="2">
        <v>48</v>
      </c>
      <c r="K17" s="23">
        <v>15.702127659574469</v>
      </c>
      <c r="L17" s="23">
        <v>29.659574468085108</v>
      </c>
      <c r="M17" s="23">
        <v>88.978723404255305</v>
      </c>
      <c r="N17" s="5" t="s">
        <v>66</v>
      </c>
      <c r="O17" s="2" t="s">
        <v>650</v>
      </c>
      <c r="P17" s="23">
        <v>49.728423475258914</v>
      </c>
      <c r="Q17" s="14">
        <v>37.480278422273777</v>
      </c>
      <c r="R17" s="14">
        <v>58.88399071925754</v>
      </c>
      <c r="S17" s="14">
        <v>96.364269141531324</v>
      </c>
      <c r="T17" s="14">
        <v>85.995359628770302</v>
      </c>
      <c r="U17" s="14">
        <v>276.85615650172616</v>
      </c>
      <c r="W17" s="14">
        <f>S17+T17/2+U17+P17</f>
        <v>465.94652893290157</v>
      </c>
      <c r="Y17">
        <v>1</v>
      </c>
      <c r="Z17" t="s">
        <v>650</v>
      </c>
      <c r="AA17">
        <v>527</v>
      </c>
      <c r="AB17">
        <v>869</v>
      </c>
      <c r="AC17">
        <v>2934</v>
      </c>
    </row>
    <row r="18" spans="1:29">
      <c r="A18" t="s">
        <v>525</v>
      </c>
      <c r="B18" t="s">
        <v>534</v>
      </c>
      <c r="C18">
        <v>50</v>
      </c>
      <c r="D18" t="s">
        <v>35</v>
      </c>
      <c r="E18" s="1">
        <v>75</v>
      </c>
      <c r="F18">
        <v>231</v>
      </c>
      <c r="G18" s="1">
        <v>18</v>
      </c>
      <c r="H18" t="s">
        <v>41</v>
      </c>
      <c r="I18" t="s">
        <v>44</v>
      </c>
      <c r="J18" s="2">
        <v>62</v>
      </c>
      <c r="K18" s="23">
        <v>15.702127659574469</v>
      </c>
      <c r="L18" s="23">
        <v>17.446808510638299</v>
      </c>
      <c r="M18" s="23">
        <v>259.95744680851061</v>
      </c>
      <c r="N18" s="3" t="s">
        <v>599</v>
      </c>
      <c r="O18" s="2" t="s">
        <v>651</v>
      </c>
      <c r="P18" s="23">
        <v>234.37513631406762</v>
      </c>
      <c r="Q18" s="14">
        <v>17.763676148796499</v>
      </c>
      <c r="R18" s="14">
        <v>27.542669584245079</v>
      </c>
      <c r="S18" s="14">
        <v>45.306345733041582</v>
      </c>
      <c r="T18" s="14">
        <v>99.225382932166312</v>
      </c>
      <c r="U18" s="14">
        <v>135.1166848418757</v>
      </c>
      <c r="V18" s="24"/>
      <c r="W18" s="14">
        <f>S18+T18/2+U18+P18</f>
        <v>464.41085835506806</v>
      </c>
      <c r="Y18">
        <v>1</v>
      </c>
      <c r="Z18" t="s">
        <v>650</v>
      </c>
      <c r="AA18">
        <v>2621</v>
      </c>
      <c r="AB18">
        <v>917</v>
      </c>
      <c r="AC18">
        <v>1511</v>
      </c>
    </row>
    <row r="19" spans="1:29">
      <c r="A19" t="s">
        <v>283</v>
      </c>
      <c r="B19" t="s">
        <v>287</v>
      </c>
      <c r="C19">
        <v>75</v>
      </c>
      <c r="D19" t="s">
        <v>34</v>
      </c>
      <c r="E19" s="1">
        <v>71</v>
      </c>
      <c r="F19">
        <v>200</v>
      </c>
      <c r="G19" s="1">
        <v>20</v>
      </c>
      <c r="H19" t="s">
        <v>41</v>
      </c>
      <c r="I19" t="s">
        <v>44</v>
      </c>
      <c r="J19" s="2">
        <v>59</v>
      </c>
      <c r="K19" s="23">
        <v>59.319148936170215</v>
      </c>
      <c r="L19" s="23">
        <v>101.19148936170212</v>
      </c>
      <c r="M19" s="23">
        <v>125.61702127659575</v>
      </c>
      <c r="N19" s="5" t="s">
        <v>608</v>
      </c>
      <c r="O19" s="2" t="s">
        <v>651</v>
      </c>
      <c r="P19" s="23">
        <v>226.5893719806763</v>
      </c>
      <c r="Q19" s="14">
        <v>16.809999999999999</v>
      </c>
      <c r="R19" s="14">
        <v>12.299999999999999</v>
      </c>
      <c r="S19" s="14">
        <v>29.11</v>
      </c>
      <c r="T19" s="14">
        <v>66.42</v>
      </c>
      <c r="U19" s="14">
        <v>175.48792270531402</v>
      </c>
      <c r="V19" s="24"/>
      <c r="W19" s="14">
        <f>S19+T19/2+U19+P19</f>
        <v>464.39729468599035</v>
      </c>
      <c r="Y19">
        <v>0</v>
      </c>
      <c r="Z19" t="s">
        <v>650</v>
      </c>
      <c r="AA19">
        <v>572</v>
      </c>
      <c r="AB19">
        <v>207</v>
      </c>
      <c r="AC19">
        <v>443</v>
      </c>
    </row>
    <row r="20" spans="1:29">
      <c r="A20" s="6" t="s">
        <v>17</v>
      </c>
      <c r="B20" t="s">
        <v>23</v>
      </c>
      <c r="C20">
        <v>56</v>
      </c>
      <c r="D20" t="s">
        <v>36</v>
      </c>
      <c r="E20" s="1">
        <v>81</v>
      </c>
      <c r="F20">
        <v>250</v>
      </c>
      <c r="G20" s="1">
        <v>19</v>
      </c>
      <c r="H20" t="s">
        <v>42</v>
      </c>
      <c r="I20" t="s">
        <v>44</v>
      </c>
      <c r="J20" s="2">
        <f>22+10+15+1</f>
        <v>48</v>
      </c>
      <c r="K20" s="23">
        <v>5.2340425531914887</v>
      </c>
      <c r="L20" s="23">
        <v>31.404255319148938</v>
      </c>
      <c r="M20" s="23">
        <v>230.29787234042553</v>
      </c>
      <c r="N20" s="5" t="s">
        <v>599</v>
      </c>
      <c r="O20" s="2" t="s">
        <v>651</v>
      </c>
      <c r="P20" s="23">
        <v>171.15749525616698</v>
      </c>
      <c r="Q20" s="14">
        <v>11.10019907100199</v>
      </c>
      <c r="R20" s="14">
        <v>24.322495023224949</v>
      </c>
      <c r="S20" s="14">
        <v>35.422694094226941</v>
      </c>
      <c r="T20" s="14">
        <v>104.03715992037159</v>
      </c>
      <c r="U20" s="14">
        <v>200.25426944971537</v>
      </c>
      <c r="V20" s="24">
        <v>0.26375711574952559</v>
      </c>
      <c r="W20" s="14">
        <f>S20+T20/2+U20+P20</f>
        <v>458.85303876029502</v>
      </c>
      <c r="X20" s="22">
        <v>26</v>
      </c>
      <c r="Y20">
        <v>0</v>
      </c>
      <c r="Z20" t="s">
        <v>650</v>
      </c>
      <c r="AA20">
        <v>2200</v>
      </c>
      <c r="AB20">
        <v>1054</v>
      </c>
      <c r="AC20">
        <v>2574</v>
      </c>
    </row>
    <row r="21" spans="1:29">
      <c r="A21" t="s">
        <v>510</v>
      </c>
      <c r="B21" t="s">
        <v>518</v>
      </c>
      <c r="C21">
        <v>22</v>
      </c>
      <c r="D21" t="s">
        <v>34</v>
      </c>
      <c r="E21" s="1">
        <v>74</v>
      </c>
      <c r="F21">
        <v>206</v>
      </c>
      <c r="G21" s="1">
        <v>19</v>
      </c>
      <c r="H21" t="s">
        <v>41</v>
      </c>
      <c r="I21" t="s">
        <v>44</v>
      </c>
      <c r="J21" s="2">
        <v>60</v>
      </c>
      <c r="K21" s="23">
        <v>36.638297872340424</v>
      </c>
      <c r="L21" s="23">
        <v>73.276595744680847</v>
      </c>
      <c r="M21" s="23">
        <v>207.61702127659575</v>
      </c>
      <c r="N21" s="5" t="s">
        <v>608</v>
      </c>
      <c r="O21" s="2" t="s">
        <v>651</v>
      </c>
      <c r="P21" s="23">
        <v>109.14404432132964</v>
      </c>
      <c r="Q21" s="14">
        <v>29.277545327754531</v>
      </c>
      <c r="R21" s="14">
        <v>29.048814504881449</v>
      </c>
      <c r="S21" s="14">
        <v>58.32635983263598</v>
      </c>
      <c r="T21" s="14">
        <v>44.602510460251047</v>
      </c>
      <c r="U21" s="14">
        <v>267.69252077562328</v>
      </c>
      <c r="V21" s="24"/>
      <c r="W21" s="14">
        <f>S21+T21/2+U21+P21</f>
        <v>457.46418015971443</v>
      </c>
      <c r="Y21">
        <v>1</v>
      </c>
      <c r="Z21" t="s">
        <v>650</v>
      </c>
      <c r="AA21">
        <v>961</v>
      </c>
      <c r="AB21">
        <v>722</v>
      </c>
      <c r="AC21">
        <v>2357</v>
      </c>
    </row>
    <row r="22" spans="1:29">
      <c r="A22" s="6" t="s">
        <v>121</v>
      </c>
      <c r="B22" t="s">
        <v>133</v>
      </c>
      <c r="C22">
        <v>1</v>
      </c>
      <c r="D22" t="s">
        <v>35</v>
      </c>
      <c r="E22" s="1">
        <v>73</v>
      </c>
      <c r="F22">
        <v>194</v>
      </c>
      <c r="G22" s="1">
        <v>18</v>
      </c>
      <c r="H22" t="s">
        <v>41</v>
      </c>
      <c r="I22" t="s">
        <v>43</v>
      </c>
      <c r="J22" s="2">
        <v>68</v>
      </c>
      <c r="K22" s="23">
        <v>102.93617021276594</v>
      </c>
      <c r="L22" s="23">
        <v>90.723404255319153</v>
      </c>
      <c r="M22" s="23">
        <v>160.51063829787233</v>
      </c>
      <c r="N22" s="5" t="s">
        <v>600</v>
      </c>
      <c r="O22" s="2" t="s">
        <v>650</v>
      </c>
      <c r="P22" s="23">
        <v>88.0859375</v>
      </c>
      <c r="Q22" s="14">
        <v>42.931937172774873</v>
      </c>
      <c r="R22" s="14">
        <v>41.42931937172775</v>
      </c>
      <c r="S22" s="14">
        <v>84.361256544502623</v>
      </c>
      <c r="T22" s="14">
        <v>51.410994764397905</v>
      </c>
      <c r="U22" s="14">
        <v>255.07552083333334</v>
      </c>
      <c r="V22" s="24"/>
      <c r="W22" s="14">
        <f>S22+T22/2+U22+P22</f>
        <v>453.22821226003492</v>
      </c>
      <c r="Y22">
        <v>1</v>
      </c>
      <c r="Z22" t="s">
        <v>650</v>
      </c>
      <c r="AA22">
        <v>825</v>
      </c>
      <c r="AB22">
        <v>768</v>
      </c>
      <c r="AC22">
        <v>2389</v>
      </c>
    </row>
    <row r="23" spans="1:29">
      <c r="A23" t="s">
        <v>510</v>
      </c>
      <c r="B23" t="s">
        <v>511</v>
      </c>
      <c r="C23">
        <v>57</v>
      </c>
      <c r="D23" t="s">
        <v>35</v>
      </c>
      <c r="E23" s="1">
        <v>74</v>
      </c>
      <c r="F23">
        <v>212</v>
      </c>
      <c r="G23" s="1">
        <v>19</v>
      </c>
      <c r="H23" t="s">
        <v>41</v>
      </c>
      <c r="I23" t="s">
        <v>44</v>
      </c>
      <c r="J23" s="2">
        <v>36</v>
      </c>
      <c r="K23" s="23">
        <v>27.914893617021274</v>
      </c>
      <c r="L23" s="23">
        <v>45.361702127659576</v>
      </c>
      <c r="M23" s="23">
        <v>71.531914893617028</v>
      </c>
      <c r="N23" s="5" t="s">
        <v>614</v>
      </c>
      <c r="O23" s="2" t="s">
        <v>651</v>
      </c>
      <c r="P23" s="23">
        <v>297.12345679012344</v>
      </c>
      <c r="Q23" s="14">
        <v>8.8789808917197455</v>
      </c>
      <c r="R23" s="14">
        <v>4.7006369426751595</v>
      </c>
      <c r="S23" s="14">
        <v>13.579617834394904</v>
      </c>
      <c r="T23" s="14">
        <v>43.35031847133758</v>
      </c>
      <c r="U23" s="14">
        <v>116.92592592592592</v>
      </c>
      <c r="V23" s="24"/>
      <c r="W23" s="14">
        <f>S23+T23/2+U23+P23</f>
        <v>449.30415978611308</v>
      </c>
      <c r="Y23">
        <v>0</v>
      </c>
      <c r="Z23" t="s">
        <v>650</v>
      </c>
      <c r="AA23">
        <v>587</v>
      </c>
      <c r="AB23">
        <v>162</v>
      </c>
      <c r="AC23">
        <v>231</v>
      </c>
    </row>
    <row r="24" spans="1:29">
      <c r="A24" t="s">
        <v>461</v>
      </c>
      <c r="B24" t="s">
        <v>473</v>
      </c>
      <c r="C24">
        <v>33</v>
      </c>
      <c r="D24" t="s">
        <v>35</v>
      </c>
      <c r="E24" s="1">
        <v>75</v>
      </c>
      <c r="F24">
        <v>212</v>
      </c>
      <c r="G24" s="1">
        <v>18</v>
      </c>
      <c r="H24" t="s">
        <v>41</v>
      </c>
      <c r="I24" t="s">
        <v>44</v>
      </c>
      <c r="J24" s="2">
        <v>73</v>
      </c>
      <c r="K24" s="23">
        <v>33.148936170212764</v>
      </c>
      <c r="L24" s="23">
        <v>47.10638297872341</v>
      </c>
      <c r="M24" s="23">
        <v>66.297872340425528</v>
      </c>
      <c r="N24" s="3" t="s">
        <v>600</v>
      </c>
      <c r="O24" s="2" t="s">
        <v>651</v>
      </c>
      <c r="P24" s="23">
        <v>117.95226130653266</v>
      </c>
      <c r="Q24" s="14">
        <v>29.374683544303796</v>
      </c>
      <c r="R24" s="14">
        <v>25.637974683544304</v>
      </c>
      <c r="S24" s="14">
        <v>55.0126582278481</v>
      </c>
      <c r="T24" s="14">
        <v>58.749367088607592</v>
      </c>
      <c r="U24" s="14">
        <v>246.30904522613065</v>
      </c>
      <c r="V24" s="24"/>
      <c r="W24" s="14">
        <f>S24+T24/2+U24+P24</f>
        <v>448.6486483048152</v>
      </c>
      <c r="Y24">
        <v>1</v>
      </c>
      <c r="Z24" t="s">
        <v>650</v>
      </c>
      <c r="AA24">
        <v>1145</v>
      </c>
      <c r="AB24">
        <v>796</v>
      </c>
      <c r="AC24">
        <v>2391</v>
      </c>
    </row>
    <row r="25" spans="1:29">
      <c r="A25" s="6" t="s">
        <v>69</v>
      </c>
      <c r="B25" t="s">
        <v>71</v>
      </c>
      <c r="C25">
        <v>2</v>
      </c>
      <c r="D25" t="s">
        <v>34</v>
      </c>
      <c r="E25" s="1">
        <v>74</v>
      </c>
      <c r="F25">
        <v>206</v>
      </c>
      <c r="G25" s="1">
        <v>19</v>
      </c>
      <c r="H25" t="s">
        <v>41</v>
      </c>
      <c r="I25" t="s">
        <v>43</v>
      </c>
      <c r="J25" s="2">
        <f>40+10+5</f>
        <v>55</v>
      </c>
      <c r="K25" s="23">
        <v>50.595744680851062</v>
      </c>
      <c r="L25" s="23">
        <v>92.468085106382972</v>
      </c>
      <c r="M25" s="23">
        <v>73.276595744680847</v>
      </c>
      <c r="N25" s="3" t="s">
        <v>611</v>
      </c>
      <c r="O25" s="2" t="s">
        <v>650</v>
      </c>
      <c r="P25" s="23">
        <v>55.36305732484076</v>
      </c>
      <c r="Q25" s="14">
        <v>30.449511400651467</v>
      </c>
      <c r="R25" s="14">
        <v>45.407166123778502</v>
      </c>
      <c r="S25" s="14">
        <v>75.856677524429969</v>
      </c>
      <c r="T25" s="14">
        <v>29.381107491856678</v>
      </c>
      <c r="U25" s="14">
        <v>297.70700636942678</v>
      </c>
      <c r="V25" s="24"/>
      <c r="W25" s="14">
        <f>S25+T25/2+U25+P25</f>
        <v>443.61729496462584</v>
      </c>
      <c r="Y25">
        <v>1</v>
      </c>
      <c r="Z25" t="s">
        <v>650</v>
      </c>
      <c r="AA25">
        <v>212</v>
      </c>
      <c r="AB25">
        <v>314</v>
      </c>
      <c r="AC25">
        <v>1140</v>
      </c>
    </row>
    <row r="26" spans="1:29">
      <c r="A26" t="s">
        <v>283</v>
      </c>
      <c r="B26" t="s">
        <v>289</v>
      </c>
      <c r="C26">
        <v>1</v>
      </c>
      <c r="D26" t="s">
        <v>35</v>
      </c>
      <c r="E26" s="1">
        <v>73</v>
      </c>
      <c r="F26">
        <v>205</v>
      </c>
      <c r="G26" s="1">
        <v>19</v>
      </c>
      <c r="H26" t="s">
        <v>41</v>
      </c>
      <c r="I26" t="s">
        <v>44</v>
      </c>
      <c r="J26" s="2">
        <v>63</v>
      </c>
      <c r="K26" s="23">
        <v>80.255319148936167</v>
      </c>
      <c r="L26" s="23">
        <v>125.61702127659575</v>
      </c>
      <c r="M26" s="23">
        <v>97.702127659574458</v>
      </c>
      <c r="N26" s="5" t="s">
        <v>600</v>
      </c>
      <c r="O26" s="2" t="s">
        <v>650</v>
      </c>
      <c r="P26" s="23">
        <v>68.634974533106956</v>
      </c>
      <c r="Q26" s="14">
        <v>28.742268041237114</v>
      </c>
      <c r="R26" s="14">
        <v>45.649484536082475</v>
      </c>
      <c r="S26" s="14">
        <v>74.391752577319593</v>
      </c>
      <c r="T26" s="14">
        <v>46.776632302405496</v>
      </c>
      <c r="U26" s="14">
        <v>273.98302207130729</v>
      </c>
      <c r="V26" s="24"/>
      <c r="W26" s="14">
        <f>S26+T26/2+U26+P26</f>
        <v>440.3980653329366</v>
      </c>
      <c r="Y26">
        <v>1</v>
      </c>
      <c r="Z26" t="s">
        <v>650</v>
      </c>
      <c r="AA26">
        <v>493</v>
      </c>
      <c r="AB26">
        <v>589</v>
      </c>
      <c r="AC26">
        <v>1968</v>
      </c>
    </row>
    <row r="27" spans="1:29">
      <c r="A27" t="s">
        <v>556</v>
      </c>
      <c r="B27" t="s">
        <v>559</v>
      </c>
      <c r="C27">
        <v>19</v>
      </c>
      <c r="D27" t="s">
        <v>35</v>
      </c>
      <c r="E27" s="1">
        <v>76</v>
      </c>
      <c r="F27">
        <v>225</v>
      </c>
      <c r="G27" s="1">
        <v>18</v>
      </c>
      <c r="H27" t="s">
        <v>41</v>
      </c>
      <c r="I27" t="s">
        <v>43</v>
      </c>
      <c r="J27" s="2">
        <v>77</v>
      </c>
      <c r="K27" s="23">
        <v>54.085106382978722</v>
      </c>
      <c r="L27" s="23">
        <v>71.531914893617028</v>
      </c>
      <c r="M27" s="23">
        <v>228.55319148936169</v>
      </c>
      <c r="N27" s="3" t="s">
        <v>599</v>
      </c>
      <c r="O27" s="2" t="s">
        <v>651</v>
      </c>
      <c r="P27" s="23">
        <v>141.79841897233203</v>
      </c>
      <c r="Q27" s="14">
        <v>21.88293650793651</v>
      </c>
      <c r="R27" s="14">
        <v>54.585317460317462</v>
      </c>
      <c r="S27" s="14">
        <v>76.468253968253975</v>
      </c>
      <c r="T27" s="14">
        <v>69.146825396825392</v>
      </c>
      <c r="U27" s="14">
        <v>187.09288537549406</v>
      </c>
      <c r="V27" s="24"/>
      <c r="W27" s="14">
        <f>S27+T27/2+U27+P27</f>
        <v>439.93297101449275</v>
      </c>
      <c r="Y27">
        <v>1</v>
      </c>
      <c r="Z27" t="s">
        <v>650</v>
      </c>
      <c r="AA27">
        <v>1750</v>
      </c>
      <c r="AB27">
        <v>1012</v>
      </c>
      <c r="AC27">
        <v>2309</v>
      </c>
    </row>
    <row r="28" spans="1:29">
      <c r="A28" t="s">
        <v>556</v>
      </c>
      <c r="B28" t="s">
        <v>570</v>
      </c>
      <c r="C28">
        <v>10</v>
      </c>
      <c r="D28" t="s">
        <v>35</v>
      </c>
      <c r="E28" s="1">
        <v>74</v>
      </c>
      <c r="F28">
        <v>234</v>
      </c>
      <c r="G28" s="1">
        <v>19</v>
      </c>
      <c r="H28" t="s">
        <v>41</v>
      </c>
      <c r="I28" t="s">
        <v>44</v>
      </c>
      <c r="J28" s="2">
        <v>61</v>
      </c>
      <c r="K28" s="23">
        <v>68.042553191489361</v>
      </c>
      <c r="L28" s="23">
        <v>61.063829787234042</v>
      </c>
      <c r="M28" s="23">
        <v>237.27659574468086</v>
      </c>
      <c r="N28" s="3" t="s">
        <v>600</v>
      </c>
      <c r="O28" s="2" t="s">
        <v>651</v>
      </c>
      <c r="P28" s="23">
        <v>220.0735294117647</v>
      </c>
      <c r="Q28" s="14">
        <v>11.626865671641792</v>
      </c>
      <c r="R28" s="14">
        <v>18.664179104477611</v>
      </c>
      <c r="S28" s="14">
        <v>30.291044776119403</v>
      </c>
      <c r="T28" s="14">
        <v>92.708955223880594</v>
      </c>
      <c r="U28" s="14">
        <v>141.99264705882354</v>
      </c>
      <c r="V28" s="24"/>
      <c r="W28" s="14">
        <f>S28+T28/2+U28+P28</f>
        <v>438.71169885864794</v>
      </c>
      <c r="Y28">
        <v>0</v>
      </c>
      <c r="Z28" t="s">
        <v>650</v>
      </c>
      <c r="AA28">
        <v>730</v>
      </c>
      <c r="AB28">
        <v>272</v>
      </c>
      <c r="AC28">
        <v>471</v>
      </c>
    </row>
    <row r="29" spans="1:29">
      <c r="A29" t="s">
        <v>576</v>
      </c>
      <c r="B29" t="s">
        <v>585</v>
      </c>
      <c r="C29">
        <v>1</v>
      </c>
      <c r="D29" t="s">
        <v>66</v>
      </c>
      <c r="E29" s="1">
        <v>75</v>
      </c>
      <c r="F29">
        <v>222</v>
      </c>
      <c r="G29" s="1">
        <v>18</v>
      </c>
      <c r="H29" t="s">
        <v>41</v>
      </c>
      <c r="I29" t="s">
        <v>43</v>
      </c>
      <c r="J29" s="2">
        <v>53</v>
      </c>
      <c r="K29" s="23">
        <v>75.021276595744681</v>
      </c>
      <c r="L29" s="23">
        <v>41.87234042553191</v>
      </c>
      <c r="M29" s="23">
        <v>246</v>
      </c>
      <c r="N29" s="5" t="s">
        <v>66</v>
      </c>
      <c r="O29" s="2" t="s">
        <v>651</v>
      </c>
      <c r="P29" s="23">
        <v>43.937313432835822</v>
      </c>
      <c r="Q29" s="14">
        <v>39.857302118171681</v>
      </c>
      <c r="R29" s="14">
        <v>38.668896321070235</v>
      </c>
      <c r="S29" s="14">
        <v>78.526198439241924</v>
      </c>
      <c r="T29" s="14">
        <v>49.181716833890746</v>
      </c>
      <c r="U29" s="14">
        <v>288.95820895522388</v>
      </c>
      <c r="V29" s="24"/>
      <c r="W29" s="14">
        <f>S29+T29/2+U29+P29</f>
        <v>436.01257924424704</v>
      </c>
      <c r="Y29">
        <v>1</v>
      </c>
      <c r="Z29" t="s">
        <v>650</v>
      </c>
      <c r="AA29">
        <v>359</v>
      </c>
      <c r="AB29">
        <v>670</v>
      </c>
      <c r="AC29">
        <v>2361</v>
      </c>
    </row>
    <row r="30" spans="1:29">
      <c r="A30" t="s">
        <v>204</v>
      </c>
      <c r="B30" t="s">
        <v>212</v>
      </c>
      <c r="C30">
        <v>62</v>
      </c>
      <c r="D30" t="s">
        <v>35</v>
      </c>
      <c r="E30" s="1">
        <v>72</v>
      </c>
      <c r="F30">
        <v>201</v>
      </c>
      <c r="G30" s="1">
        <v>18</v>
      </c>
      <c r="H30" t="s">
        <v>42</v>
      </c>
      <c r="I30" t="s">
        <v>43</v>
      </c>
      <c r="J30" s="2">
        <v>76</v>
      </c>
      <c r="K30" s="23">
        <v>26.170212765957448</v>
      </c>
      <c r="L30" s="23">
        <v>36.638297872340424</v>
      </c>
      <c r="M30" s="23">
        <v>172.72340425531914</v>
      </c>
      <c r="N30" s="5" t="s">
        <v>614</v>
      </c>
      <c r="O30" s="2" t="s">
        <v>650</v>
      </c>
      <c r="P30" s="23">
        <v>133.20990873533245</v>
      </c>
      <c r="Q30" s="14">
        <v>12.482939632545932</v>
      </c>
      <c r="R30" s="14">
        <v>41.86089238845144</v>
      </c>
      <c r="S30" s="14">
        <v>54.343832020997375</v>
      </c>
      <c r="T30" s="14">
        <v>58.755905511811022</v>
      </c>
      <c r="U30" s="14">
        <v>214.88917861799217</v>
      </c>
      <c r="V30" s="24">
        <v>8.7467362924281991E-2</v>
      </c>
      <c r="W30" s="14">
        <f>S30+T30/2+U30+P30</f>
        <v>431.82087213022749</v>
      </c>
      <c r="X30" s="22">
        <v>136</v>
      </c>
      <c r="Y30">
        <v>1</v>
      </c>
      <c r="Z30" t="s">
        <v>650</v>
      </c>
      <c r="AA30">
        <v>1246</v>
      </c>
      <c r="AB30">
        <v>767</v>
      </c>
      <c r="AC30">
        <v>2010</v>
      </c>
    </row>
    <row r="31" spans="1:29">
      <c r="A31" t="s">
        <v>354</v>
      </c>
      <c r="B31" t="s">
        <v>343</v>
      </c>
      <c r="C31">
        <v>11</v>
      </c>
      <c r="D31" t="s">
        <v>65</v>
      </c>
      <c r="E31" s="1">
        <v>73</v>
      </c>
      <c r="F31">
        <v>205</v>
      </c>
      <c r="G31" s="1">
        <v>18</v>
      </c>
      <c r="H31" t="s">
        <v>41</v>
      </c>
      <c r="I31" t="s">
        <v>43</v>
      </c>
      <c r="J31" s="2">
        <f>43+1+6+53+6+6</f>
        <v>115</v>
      </c>
      <c r="K31" s="23">
        <v>40.127659574468083</v>
      </c>
      <c r="L31" s="23">
        <v>43.617021276595743</v>
      </c>
      <c r="M31" s="23">
        <v>132.59574468085106</v>
      </c>
      <c r="N31" s="5" t="s">
        <v>606</v>
      </c>
      <c r="O31" s="2" t="s">
        <v>651</v>
      </c>
      <c r="P31" s="23">
        <v>107.23076923076923</v>
      </c>
      <c r="Q31" s="14">
        <v>30.8</v>
      </c>
      <c r="R31" s="14">
        <v>33.200000000000003</v>
      </c>
      <c r="S31" s="14">
        <v>64</v>
      </c>
      <c r="T31" s="14">
        <v>35.4</v>
      </c>
      <c r="U31" s="14">
        <v>242.25480769230768</v>
      </c>
      <c r="V31" s="24"/>
      <c r="W31" s="14">
        <f>S31+T31/2+U31+P31</f>
        <v>431.18557692307689</v>
      </c>
      <c r="Y31">
        <v>1</v>
      </c>
      <c r="Z31" t="s">
        <v>650</v>
      </c>
      <c r="AA31">
        <v>544</v>
      </c>
      <c r="AB31">
        <v>416</v>
      </c>
      <c r="AC31">
        <v>1229</v>
      </c>
    </row>
    <row r="32" spans="1:29">
      <c r="A32" t="s">
        <v>397</v>
      </c>
      <c r="B32" t="s">
        <v>410</v>
      </c>
      <c r="C32">
        <v>2</v>
      </c>
      <c r="D32" t="s">
        <v>35</v>
      </c>
      <c r="E32" s="1">
        <v>73</v>
      </c>
      <c r="F32">
        <v>200</v>
      </c>
      <c r="G32" s="1">
        <v>18</v>
      </c>
      <c r="H32" t="s">
        <v>41</v>
      </c>
      <c r="I32" t="s">
        <v>43</v>
      </c>
      <c r="J32" s="2">
        <v>63</v>
      </c>
      <c r="K32" s="23">
        <v>83.744680851063819</v>
      </c>
      <c r="L32" s="23">
        <v>101.19148936170212</v>
      </c>
      <c r="M32" s="23">
        <v>94.21276595744682</v>
      </c>
      <c r="N32" s="3" t="s">
        <v>600</v>
      </c>
      <c r="O32" s="2" t="s">
        <v>650</v>
      </c>
      <c r="P32" s="23">
        <v>59.540656205420831</v>
      </c>
      <c r="Q32" s="14">
        <v>31.620143884892087</v>
      </c>
      <c r="R32" s="14">
        <v>39.643165467625899</v>
      </c>
      <c r="S32" s="14">
        <v>71.263309352517993</v>
      </c>
      <c r="T32" s="14">
        <v>24.658992805755396</v>
      </c>
      <c r="U32" s="14">
        <v>287.52639087018548</v>
      </c>
      <c r="V32" s="24"/>
      <c r="W32" s="14">
        <f>S32+T32/2+U32+P32</f>
        <v>430.65985283100196</v>
      </c>
      <c r="Y32">
        <v>1</v>
      </c>
      <c r="Z32" t="s">
        <v>650</v>
      </c>
      <c r="AA32">
        <v>509</v>
      </c>
      <c r="AB32">
        <v>701</v>
      </c>
      <c r="AC32">
        <v>2458</v>
      </c>
    </row>
    <row r="33" spans="1:29">
      <c r="A33" t="s">
        <v>306</v>
      </c>
      <c r="B33" t="s">
        <v>317</v>
      </c>
      <c r="C33">
        <v>5</v>
      </c>
      <c r="D33" t="s">
        <v>35</v>
      </c>
      <c r="E33" s="1">
        <v>73</v>
      </c>
      <c r="F33">
        <v>200</v>
      </c>
      <c r="G33" s="1">
        <v>18</v>
      </c>
      <c r="H33" t="s">
        <v>41</v>
      </c>
      <c r="I33" t="s">
        <v>44</v>
      </c>
      <c r="J33" s="2">
        <v>70</v>
      </c>
      <c r="K33" s="23">
        <v>55.829787234042549</v>
      </c>
      <c r="L33" s="23">
        <v>97.702127659574458</v>
      </c>
      <c r="M33" s="23">
        <v>143.06382978723406</v>
      </c>
      <c r="N33" s="5" t="s">
        <v>599</v>
      </c>
      <c r="O33" s="2" t="s">
        <v>651</v>
      </c>
      <c r="P33" s="23">
        <v>179.54943273905997</v>
      </c>
      <c r="Q33" s="14">
        <v>22.180327868852459</v>
      </c>
      <c r="R33" s="14">
        <v>30.514754098360655</v>
      </c>
      <c r="S33" s="14">
        <v>52.695081967213113</v>
      </c>
      <c r="T33" s="14">
        <v>44.629508196721311</v>
      </c>
      <c r="U33" s="14">
        <v>174.23338735818476</v>
      </c>
      <c r="V33" s="24"/>
      <c r="W33" s="14">
        <f>S33+T33/2+U33+P33</f>
        <v>428.7926561628185</v>
      </c>
      <c r="Y33">
        <v>1</v>
      </c>
      <c r="Z33" t="s">
        <v>650</v>
      </c>
      <c r="AA33">
        <v>1351</v>
      </c>
      <c r="AB33">
        <v>617</v>
      </c>
      <c r="AC33">
        <v>1311</v>
      </c>
    </row>
    <row r="34" spans="1:29">
      <c r="A34" t="s">
        <v>283</v>
      </c>
      <c r="B34" t="s">
        <v>293</v>
      </c>
      <c r="C34">
        <v>61</v>
      </c>
      <c r="D34" t="s">
        <v>35</v>
      </c>
      <c r="E34" s="1">
        <v>74</v>
      </c>
      <c r="F34">
        <v>185</v>
      </c>
      <c r="G34" s="1">
        <v>19</v>
      </c>
      <c r="H34" t="s">
        <v>41</v>
      </c>
      <c r="I34" t="s">
        <v>43</v>
      </c>
      <c r="J34" s="2">
        <v>66</v>
      </c>
      <c r="K34" s="23">
        <v>40.127659574468083</v>
      </c>
      <c r="L34" s="23">
        <v>45.361702127659576</v>
      </c>
      <c r="M34" s="23">
        <v>195.40425531914892</v>
      </c>
      <c r="N34" s="3" t="s">
        <v>600</v>
      </c>
      <c r="O34" s="2" t="s">
        <v>651</v>
      </c>
      <c r="P34" s="23">
        <v>148.97926267281107</v>
      </c>
      <c r="Q34" s="14">
        <v>23.523809523809522</v>
      </c>
      <c r="R34" s="14">
        <v>22.476190476190474</v>
      </c>
      <c r="S34" s="14">
        <v>46</v>
      </c>
      <c r="T34" s="14">
        <v>101.80952380952381</v>
      </c>
      <c r="U34" s="14">
        <v>181.85483870967741</v>
      </c>
      <c r="V34" s="24"/>
      <c r="W34" s="14">
        <f>S34+T34/2+U34+P34</f>
        <v>427.73886328725041</v>
      </c>
      <c r="Y34">
        <v>1</v>
      </c>
      <c r="Z34" t="s">
        <v>650</v>
      </c>
      <c r="AA34">
        <v>1577</v>
      </c>
      <c r="AB34">
        <v>868</v>
      </c>
      <c r="AC34">
        <v>1925</v>
      </c>
    </row>
    <row r="35" spans="1:29">
      <c r="A35" s="6" t="s">
        <v>69</v>
      </c>
      <c r="B35" t="s">
        <v>82</v>
      </c>
      <c r="C35">
        <v>8</v>
      </c>
      <c r="D35" t="s">
        <v>38</v>
      </c>
      <c r="E35" s="1">
        <v>76</v>
      </c>
      <c r="F35">
        <v>218</v>
      </c>
      <c r="G35" s="1">
        <v>19</v>
      </c>
      <c r="H35" t="s">
        <v>42</v>
      </c>
      <c r="I35" t="s">
        <v>43</v>
      </c>
      <c r="J35" s="2">
        <v>52</v>
      </c>
      <c r="K35" s="23">
        <v>5.2340425531914887</v>
      </c>
      <c r="L35" s="23">
        <v>20.936170212765955</v>
      </c>
      <c r="M35" s="23">
        <v>55.829787234042549</v>
      </c>
      <c r="N35" s="3" t="s">
        <v>615</v>
      </c>
      <c r="O35" s="2" t="s">
        <v>651</v>
      </c>
      <c r="P35" s="23">
        <v>189.94247787610618</v>
      </c>
      <c r="Q35" s="14">
        <v>6.8026905829596416</v>
      </c>
      <c r="R35" s="14">
        <v>30.336322869955158</v>
      </c>
      <c r="S35" s="14">
        <v>37.139013452914796</v>
      </c>
      <c r="T35" s="14">
        <v>42.838565022421527</v>
      </c>
      <c r="U35" s="14">
        <v>178.33185840707966</v>
      </c>
      <c r="V35" s="24">
        <v>-0.31194690265486724</v>
      </c>
      <c r="W35" s="14">
        <f>S35+T35/2+U35+P35</f>
        <v>426.83263224731138</v>
      </c>
      <c r="X35" s="22">
        <v>37</v>
      </c>
      <c r="Y35">
        <v>0</v>
      </c>
      <c r="Z35" t="s">
        <v>651</v>
      </c>
      <c r="AA35">
        <v>1047</v>
      </c>
      <c r="AB35">
        <v>452</v>
      </c>
      <c r="AC35">
        <v>983</v>
      </c>
    </row>
    <row r="36" spans="1:29">
      <c r="A36" t="s">
        <v>525</v>
      </c>
      <c r="B36" t="s">
        <v>536</v>
      </c>
      <c r="C36">
        <v>178</v>
      </c>
      <c r="D36" t="s">
        <v>35</v>
      </c>
      <c r="E36" s="1">
        <v>70</v>
      </c>
      <c r="F36">
        <v>192</v>
      </c>
      <c r="G36" s="1">
        <v>18</v>
      </c>
      <c r="H36" t="s">
        <v>41</v>
      </c>
      <c r="I36" t="s">
        <v>44</v>
      </c>
      <c r="J36" s="2">
        <v>63</v>
      </c>
      <c r="K36" s="23">
        <v>12.212765957446807</v>
      </c>
      <c r="L36" s="23">
        <v>12.212765957446807</v>
      </c>
      <c r="M36" s="23">
        <v>333.2340425531915</v>
      </c>
      <c r="N36" s="5" t="s">
        <v>600</v>
      </c>
      <c r="O36" s="2" t="s">
        <v>651</v>
      </c>
      <c r="P36" s="23">
        <v>269.85875706214688</v>
      </c>
      <c r="Q36" s="14">
        <v>3.4745762711864407</v>
      </c>
      <c r="R36" s="14">
        <v>5.0960451977401133</v>
      </c>
      <c r="S36" s="14">
        <v>8.5706214689265536</v>
      </c>
      <c r="T36" s="14">
        <v>167.47457627118644</v>
      </c>
      <c r="U36" s="14">
        <v>63.932203389830512</v>
      </c>
      <c r="V36" s="24"/>
      <c r="W36" s="14">
        <f>S36+T36/2+U36+P36</f>
        <v>426.09887005649716</v>
      </c>
      <c r="Y36">
        <v>0</v>
      </c>
      <c r="Z36" t="s">
        <v>650</v>
      </c>
      <c r="AA36">
        <v>1165</v>
      </c>
      <c r="AB36">
        <v>354</v>
      </c>
      <c r="AC36">
        <v>276</v>
      </c>
    </row>
    <row r="37" spans="1:29">
      <c r="A37" t="s">
        <v>397</v>
      </c>
      <c r="B37" t="s">
        <v>407</v>
      </c>
      <c r="C37">
        <v>28</v>
      </c>
      <c r="D37" t="s">
        <v>35</v>
      </c>
      <c r="E37" s="1">
        <v>75</v>
      </c>
      <c r="F37">
        <v>206</v>
      </c>
      <c r="G37" s="1">
        <v>18</v>
      </c>
      <c r="H37" t="s">
        <v>41</v>
      </c>
      <c r="I37" t="s">
        <v>43</v>
      </c>
      <c r="J37" s="2">
        <v>67</v>
      </c>
      <c r="K37" s="23">
        <v>43.617021276595743</v>
      </c>
      <c r="L37" s="23">
        <v>92.468085106382972</v>
      </c>
      <c r="M37" s="23">
        <v>252.97872340425533</v>
      </c>
      <c r="N37" s="3" t="s">
        <v>600</v>
      </c>
      <c r="O37" s="2" t="s">
        <v>651</v>
      </c>
      <c r="P37" s="23">
        <v>80.619801980198019</v>
      </c>
      <c r="Q37" s="14">
        <v>30.627490039840637</v>
      </c>
      <c r="R37" s="14">
        <v>33.486055776892428</v>
      </c>
      <c r="S37" s="14">
        <v>64.113545816733065</v>
      </c>
      <c r="T37" s="14">
        <v>91.147410358565736</v>
      </c>
      <c r="U37" s="14">
        <v>235.20198019801978</v>
      </c>
      <c r="V37" s="24"/>
      <c r="W37" s="14">
        <f>S37+T37/2+U37+P37</f>
        <v>425.50903317423371</v>
      </c>
      <c r="Y37">
        <v>1</v>
      </c>
      <c r="Z37" t="s">
        <v>650</v>
      </c>
      <c r="AA37">
        <v>993</v>
      </c>
      <c r="AB37">
        <v>1010</v>
      </c>
      <c r="AC37">
        <v>2897</v>
      </c>
    </row>
    <row r="38" spans="1:29">
      <c r="A38" t="s">
        <v>266</v>
      </c>
      <c r="B38" t="s">
        <v>276</v>
      </c>
      <c r="C38">
        <v>19</v>
      </c>
      <c r="D38" t="s">
        <v>34</v>
      </c>
      <c r="E38" s="1">
        <v>75</v>
      </c>
      <c r="F38">
        <v>216</v>
      </c>
      <c r="G38" s="1">
        <v>18</v>
      </c>
      <c r="H38" t="s">
        <v>41</v>
      </c>
      <c r="I38" t="s">
        <v>44</v>
      </c>
      <c r="J38" s="2">
        <v>31</v>
      </c>
      <c r="K38" s="23">
        <v>64.553191489361708</v>
      </c>
      <c r="L38" s="23">
        <v>43.617021276595743</v>
      </c>
      <c r="M38" s="23">
        <v>17.446808510638299</v>
      </c>
      <c r="N38" s="5" t="s">
        <v>634</v>
      </c>
      <c r="O38" s="2" t="s">
        <v>651</v>
      </c>
      <c r="P38" s="23">
        <v>162.81893004115227</v>
      </c>
      <c r="Q38" s="14">
        <v>23.624217118997912</v>
      </c>
      <c r="R38" s="14">
        <v>24.65135699373695</v>
      </c>
      <c r="S38" s="14">
        <v>48.275574112734859</v>
      </c>
      <c r="T38" s="14">
        <v>67.277661795407099</v>
      </c>
      <c r="U38" s="14">
        <v>180.19753086419752</v>
      </c>
      <c r="V38" s="24"/>
      <c r="W38" s="14">
        <f>S38+T38/2+U38+P38</f>
        <v>424.93086591578822</v>
      </c>
      <c r="Y38">
        <v>1</v>
      </c>
      <c r="Z38" t="s">
        <v>650</v>
      </c>
      <c r="AA38">
        <v>965</v>
      </c>
      <c r="AB38">
        <v>486</v>
      </c>
      <c r="AC38">
        <v>1068</v>
      </c>
    </row>
    <row r="39" spans="1:29">
      <c r="A39" t="s">
        <v>445</v>
      </c>
      <c r="B39" t="s">
        <v>456</v>
      </c>
      <c r="C39">
        <v>2</v>
      </c>
      <c r="D39" t="s">
        <v>35</v>
      </c>
      <c r="E39" s="1">
        <v>76</v>
      </c>
      <c r="F39">
        <v>207</v>
      </c>
      <c r="G39" s="1">
        <v>19</v>
      </c>
      <c r="H39" t="s">
        <v>41</v>
      </c>
      <c r="I39" t="s">
        <v>44</v>
      </c>
      <c r="J39" s="2">
        <v>66</v>
      </c>
      <c r="K39" s="23">
        <v>68.042553191489361</v>
      </c>
      <c r="L39" s="23">
        <v>102.93617021276594</v>
      </c>
      <c r="M39" s="23">
        <v>62.808510638297875</v>
      </c>
      <c r="N39" s="3" t="s">
        <v>600</v>
      </c>
      <c r="O39" s="2" t="s">
        <v>651</v>
      </c>
      <c r="P39" s="23">
        <v>63.420160570918824</v>
      </c>
      <c r="Q39" s="14">
        <v>29.001672240802673</v>
      </c>
      <c r="R39" s="14">
        <v>38.874581939799327</v>
      </c>
      <c r="S39" s="14">
        <v>67.876254180602004</v>
      </c>
      <c r="T39" s="14">
        <v>55.535117056856187</v>
      </c>
      <c r="U39" s="14">
        <v>265.60392506690454</v>
      </c>
      <c r="V39" s="24"/>
      <c r="W39" s="14">
        <f>S39+T39/2+U39+P39</f>
        <v>424.66789834685346</v>
      </c>
      <c r="Y39">
        <v>1</v>
      </c>
      <c r="Z39" t="s">
        <v>650</v>
      </c>
      <c r="AA39">
        <v>867</v>
      </c>
      <c r="AB39">
        <v>1121</v>
      </c>
      <c r="AC39">
        <v>3631</v>
      </c>
    </row>
    <row r="40" spans="1:29">
      <c r="A40" t="s">
        <v>539</v>
      </c>
      <c r="B40" t="s">
        <v>551</v>
      </c>
      <c r="C40">
        <v>9</v>
      </c>
      <c r="D40" t="s">
        <v>119</v>
      </c>
      <c r="E40" s="1">
        <v>72</v>
      </c>
      <c r="F40">
        <v>210</v>
      </c>
      <c r="G40" s="1">
        <v>19</v>
      </c>
      <c r="H40" t="s">
        <v>41</v>
      </c>
      <c r="I40" t="s">
        <v>44</v>
      </c>
      <c r="J40" s="2">
        <f>14+6+61</f>
        <v>81</v>
      </c>
      <c r="K40" s="23">
        <v>87.234042553191486</v>
      </c>
      <c r="L40" s="23">
        <v>97.702127659574458</v>
      </c>
      <c r="M40" s="23">
        <v>123.87234042553192</v>
      </c>
      <c r="N40" s="5" t="s">
        <v>614</v>
      </c>
      <c r="O40" s="2" t="s">
        <v>651</v>
      </c>
      <c r="P40" s="23">
        <v>123</v>
      </c>
      <c r="Q40" s="14">
        <v>22.672811059907833</v>
      </c>
      <c r="R40" s="14">
        <v>23.428571428571427</v>
      </c>
      <c r="S40" s="14">
        <v>46.10138248847926</v>
      </c>
      <c r="T40" s="14">
        <v>48.368663594470043</v>
      </c>
      <c r="U40" s="14">
        <v>231.22522522522524</v>
      </c>
      <c r="V40" s="24"/>
      <c r="W40" s="14">
        <f>S40+T40/2+U40+P40</f>
        <v>424.51093951093952</v>
      </c>
      <c r="Y40">
        <v>1</v>
      </c>
      <c r="Z40" t="s">
        <v>650</v>
      </c>
      <c r="AA40">
        <v>333</v>
      </c>
      <c r="AB40">
        <v>222</v>
      </c>
      <c r="AC40">
        <v>626</v>
      </c>
    </row>
    <row r="41" spans="1:29">
      <c r="A41" t="s">
        <v>188</v>
      </c>
      <c r="B41" t="s">
        <v>198</v>
      </c>
      <c r="C41">
        <v>152</v>
      </c>
      <c r="D41" t="s">
        <v>34</v>
      </c>
      <c r="E41" s="1">
        <v>75</v>
      </c>
      <c r="F41">
        <v>231</v>
      </c>
      <c r="G41" s="1">
        <v>19</v>
      </c>
      <c r="H41" t="s">
        <v>41</v>
      </c>
      <c r="I41" t="s">
        <v>44</v>
      </c>
      <c r="J41" s="2">
        <v>49</v>
      </c>
      <c r="K41" s="23">
        <v>64.553191489361708</v>
      </c>
      <c r="L41" s="23">
        <v>132.59574468085106</v>
      </c>
      <c r="M41" s="23">
        <v>52.340425531914896</v>
      </c>
      <c r="N41" s="5" t="s">
        <v>603</v>
      </c>
      <c r="O41" s="2" t="s">
        <v>651</v>
      </c>
      <c r="P41" s="23">
        <v>147.27272727272725</v>
      </c>
      <c r="Q41" s="14">
        <v>28.995495495495497</v>
      </c>
      <c r="R41" s="14">
        <v>20.5</v>
      </c>
      <c r="S41" s="14">
        <v>49.495495495495497</v>
      </c>
      <c r="T41" s="14">
        <v>48.387387387387385</v>
      </c>
      <c r="U41" s="14">
        <v>202.54545454545456</v>
      </c>
      <c r="V41" s="24"/>
      <c r="W41" s="14">
        <f>S41+T41/2+U41+P41</f>
        <v>423.50737100737103</v>
      </c>
      <c r="Y41">
        <v>1</v>
      </c>
      <c r="Z41" t="s">
        <v>650</v>
      </c>
      <c r="AA41">
        <v>810</v>
      </c>
      <c r="AB41">
        <v>451</v>
      </c>
      <c r="AC41">
        <v>1114</v>
      </c>
    </row>
    <row r="42" spans="1:29">
      <c r="A42" t="s">
        <v>445</v>
      </c>
      <c r="B42" t="s">
        <v>452</v>
      </c>
      <c r="C42">
        <v>17</v>
      </c>
      <c r="D42" t="s">
        <v>34</v>
      </c>
      <c r="E42" s="1">
        <v>71</v>
      </c>
      <c r="F42">
        <v>193</v>
      </c>
      <c r="G42" s="1">
        <v>19</v>
      </c>
      <c r="H42" t="s">
        <v>41</v>
      </c>
      <c r="I42" t="s">
        <v>44</v>
      </c>
      <c r="J42" s="2">
        <v>46</v>
      </c>
      <c r="K42" s="23">
        <v>52.340425531914896</v>
      </c>
      <c r="L42" s="23">
        <v>68.042553191489361</v>
      </c>
      <c r="M42" s="23">
        <v>66.297872340425528</v>
      </c>
      <c r="N42" s="3" t="s">
        <v>613</v>
      </c>
      <c r="O42" s="2" t="s">
        <v>651</v>
      </c>
      <c r="P42" s="23">
        <v>67.014373716632448</v>
      </c>
      <c r="Q42" s="14">
        <v>31.258264462809915</v>
      </c>
      <c r="R42" s="14">
        <v>32.867768595041319</v>
      </c>
      <c r="S42" s="14">
        <v>64.126033057851231</v>
      </c>
      <c r="T42" s="14">
        <v>31.68181818181818</v>
      </c>
      <c r="U42" s="14">
        <v>271.7618069815195</v>
      </c>
      <c r="V42" s="24"/>
      <c r="W42" s="14">
        <f>S42+T42/2+U42+P42</f>
        <v>418.74312284691229</v>
      </c>
      <c r="Y42">
        <v>1</v>
      </c>
      <c r="Z42" t="s">
        <v>650</v>
      </c>
      <c r="AA42">
        <v>796</v>
      </c>
      <c r="AB42">
        <v>974</v>
      </c>
      <c r="AC42">
        <v>3228</v>
      </c>
    </row>
    <row r="43" spans="1:29">
      <c r="A43" t="s">
        <v>576</v>
      </c>
      <c r="B43" t="s">
        <v>579</v>
      </c>
      <c r="C43">
        <v>11</v>
      </c>
      <c r="D43" t="s">
        <v>35</v>
      </c>
      <c r="E43" s="1">
        <v>75</v>
      </c>
      <c r="F43">
        <v>219</v>
      </c>
      <c r="G43" s="1">
        <v>18</v>
      </c>
      <c r="H43" t="s">
        <v>41</v>
      </c>
      <c r="I43" t="s">
        <v>43</v>
      </c>
      <c r="J43" s="2">
        <v>68</v>
      </c>
      <c r="K43" s="23">
        <v>64.553191489361708</v>
      </c>
      <c r="L43" s="23">
        <v>69.787234042553195</v>
      </c>
      <c r="M43" s="23">
        <v>99.446808510638306</v>
      </c>
      <c r="N43" s="5" t="s">
        <v>600</v>
      </c>
      <c r="O43" s="2" t="s">
        <v>651</v>
      </c>
      <c r="P43" s="23">
        <v>66.96531219028742</v>
      </c>
      <c r="Q43" s="14">
        <v>30.412761714855431</v>
      </c>
      <c r="R43" s="14">
        <v>28.123629112662012</v>
      </c>
      <c r="S43" s="14">
        <v>58.536390827517444</v>
      </c>
      <c r="T43" s="14">
        <v>41.940179461615152</v>
      </c>
      <c r="U43" s="14">
        <v>268.10505450941525</v>
      </c>
      <c r="V43" s="24"/>
      <c r="W43" s="14">
        <f>S43+T43/2+U43+P43</f>
        <v>414.57684725802773</v>
      </c>
      <c r="Y43">
        <v>1</v>
      </c>
      <c r="Z43" t="s">
        <v>650</v>
      </c>
      <c r="AA43">
        <v>824</v>
      </c>
      <c r="AB43">
        <v>1009</v>
      </c>
      <c r="AC43">
        <v>3299</v>
      </c>
    </row>
    <row r="44" spans="1:29">
      <c r="A44" s="6" t="s">
        <v>49</v>
      </c>
      <c r="B44" t="s">
        <v>59</v>
      </c>
      <c r="C44">
        <v>141</v>
      </c>
      <c r="D44" t="s">
        <v>35</v>
      </c>
      <c r="E44" s="1">
        <v>75</v>
      </c>
      <c r="F44">
        <v>213</v>
      </c>
      <c r="G44" s="1">
        <v>18</v>
      </c>
      <c r="H44" t="s">
        <v>42</v>
      </c>
      <c r="I44" t="s">
        <v>44</v>
      </c>
      <c r="J44" s="2">
        <f>37+4</f>
        <v>41</v>
      </c>
      <c r="K44" s="23">
        <v>1.7446808510638296</v>
      </c>
      <c r="L44" s="23">
        <v>10.468085106382977</v>
      </c>
      <c r="M44" s="23">
        <v>20.936170212765955</v>
      </c>
      <c r="N44" s="5" t="s">
        <v>600</v>
      </c>
      <c r="O44" s="2" t="s">
        <v>651</v>
      </c>
      <c r="P44" s="23">
        <v>178.77477477477476</v>
      </c>
      <c r="Q44" s="14">
        <v>8.8123861566484525</v>
      </c>
      <c r="R44" s="14">
        <v>27.183970856102004</v>
      </c>
      <c r="S44" s="14">
        <v>35.996357012750458</v>
      </c>
      <c r="T44" s="14">
        <v>48.990892531876142</v>
      </c>
      <c r="U44" s="14">
        <v>173.45585585585587</v>
      </c>
      <c r="V44" s="24">
        <v>7.0397111913357402E-2</v>
      </c>
      <c r="W44" s="14">
        <f>S44+T44/2+U44+P44</f>
        <v>412.72243390931919</v>
      </c>
      <c r="X44" s="22">
        <v>31</v>
      </c>
      <c r="Y44">
        <v>0</v>
      </c>
      <c r="Z44" t="s">
        <v>650</v>
      </c>
      <c r="AA44">
        <v>1210</v>
      </c>
      <c r="AB44">
        <v>555</v>
      </c>
      <c r="AC44">
        <v>1174</v>
      </c>
    </row>
    <row r="45" spans="1:29">
      <c r="A45" s="6" t="s">
        <v>121</v>
      </c>
      <c r="B45" t="s">
        <v>131</v>
      </c>
      <c r="C45">
        <v>5</v>
      </c>
      <c r="D45" t="s">
        <v>35</v>
      </c>
      <c r="E45" s="1">
        <v>74</v>
      </c>
      <c r="F45">
        <v>229</v>
      </c>
      <c r="G45" s="1">
        <v>19</v>
      </c>
      <c r="H45" t="s">
        <v>42</v>
      </c>
      <c r="I45" t="s">
        <v>43</v>
      </c>
      <c r="J45" s="2">
        <v>64</v>
      </c>
      <c r="K45" s="23">
        <v>12.212765957446807</v>
      </c>
      <c r="L45" s="23">
        <v>36.638297872340424</v>
      </c>
      <c r="M45" s="23">
        <v>184.93617021276594</v>
      </c>
      <c r="N45" s="5" t="s">
        <v>599</v>
      </c>
      <c r="O45" s="2" t="s">
        <v>651</v>
      </c>
      <c r="P45" s="23">
        <v>266.14228187919463</v>
      </c>
      <c r="Q45" s="14">
        <v>3.4351351351351354</v>
      </c>
      <c r="R45" s="14">
        <v>12.743243243243244</v>
      </c>
      <c r="S45" s="14">
        <v>16.17837837837838</v>
      </c>
      <c r="T45" s="14">
        <v>61.056756756756762</v>
      </c>
      <c r="U45" s="14">
        <v>99.720805369127532</v>
      </c>
      <c r="V45" s="24">
        <v>-7.7852348993288592E-2</v>
      </c>
      <c r="W45" s="14">
        <f>S45+T45/2+U45+P45</f>
        <v>412.56984400507895</v>
      </c>
      <c r="X45" s="22">
        <v>-19</v>
      </c>
      <c r="Y45">
        <v>0</v>
      </c>
      <c r="Z45" t="s">
        <v>651</v>
      </c>
      <c r="AA45">
        <v>2418</v>
      </c>
      <c r="AB45">
        <v>745</v>
      </c>
      <c r="AC45">
        <v>906</v>
      </c>
    </row>
    <row r="46" spans="1:29">
      <c r="A46" t="s">
        <v>539</v>
      </c>
      <c r="B46" t="s">
        <v>540</v>
      </c>
      <c r="C46">
        <v>20</v>
      </c>
      <c r="D46" t="s">
        <v>35</v>
      </c>
      <c r="E46" s="1">
        <v>77</v>
      </c>
      <c r="F46">
        <v>230</v>
      </c>
      <c r="G46" s="1">
        <v>18</v>
      </c>
      <c r="H46" t="s">
        <v>42</v>
      </c>
      <c r="I46" t="s">
        <v>43</v>
      </c>
      <c r="J46" s="2">
        <v>68</v>
      </c>
      <c r="K46" s="23">
        <v>26.170212765957448</v>
      </c>
      <c r="L46" s="23">
        <v>43.617021276595743</v>
      </c>
      <c r="M46" s="23">
        <v>24.425531914893615</v>
      </c>
      <c r="N46" s="5" t="s">
        <v>600</v>
      </c>
      <c r="O46" s="2" t="s">
        <v>650</v>
      </c>
      <c r="P46" s="23">
        <v>103.44980694980694</v>
      </c>
      <c r="Q46" s="14">
        <v>15.600749765698218</v>
      </c>
      <c r="R46" s="14">
        <v>35.88940955951265</v>
      </c>
      <c r="S46" s="14">
        <v>51.490159325210868</v>
      </c>
      <c r="T46" s="14">
        <v>51.720712277413305</v>
      </c>
      <c r="U46" s="14">
        <v>230.8030888030888</v>
      </c>
      <c r="V46" s="24">
        <v>0</v>
      </c>
      <c r="W46" s="14">
        <f>S46+T46/2+U46+P46</f>
        <v>411.60341121681324</v>
      </c>
      <c r="X46" s="22">
        <v>114</v>
      </c>
      <c r="Y46">
        <v>1</v>
      </c>
      <c r="Z46" t="s">
        <v>650</v>
      </c>
      <c r="AA46">
        <v>1307</v>
      </c>
      <c r="AB46">
        <v>1036</v>
      </c>
      <c r="AC46">
        <v>2916</v>
      </c>
    </row>
    <row r="47" spans="1:29">
      <c r="A47" t="s">
        <v>413</v>
      </c>
      <c r="B47" t="s">
        <v>427</v>
      </c>
      <c r="C47">
        <v>5</v>
      </c>
      <c r="D47" t="s">
        <v>34</v>
      </c>
      <c r="E47" s="1">
        <v>77</v>
      </c>
      <c r="F47">
        <v>225</v>
      </c>
      <c r="G47" s="1">
        <v>18</v>
      </c>
      <c r="H47" t="s">
        <v>41</v>
      </c>
      <c r="I47" t="s">
        <v>43</v>
      </c>
      <c r="J47" s="2">
        <v>51</v>
      </c>
      <c r="K47" s="23">
        <v>76.765957446808514</v>
      </c>
      <c r="L47" s="23">
        <v>97.702127659574458</v>
      </c>
      <c r="M47" s="23">
        <v>59.319148936170215</v>
      </c>
      <c r="N47" s="5" t="s">
        <v>603</v>
      </c>
      <c r="O47" s="2" t="s">
        <v>650</v>
      </c>
      <c r="P47" s="23">
        <v>100.93018018018017</v>
      </c>
      <c r="Q47" s="14">
        <v>22.937712344280861</v>
      </c>
      <c r="R47" s="14">
        <v>42.810872027180068</v>
      </c>
      <c r="S47" s="14">
        <v>65.748584371460922</v>
      </c>
      <c r="T47" s="14">
        <v>54.047565118912793</v>
      </c>
      <c r="U47" s="14">
        <v>217.37387387387389</v>
      </c>
      <c r="V47" s="24"/>
      <c r="W47" s="14">
        <f>S47+T47/2+U47+P47</f>
        <v>411.07642098497138</v>
      </c>
      <c r="Y47">
        <v>1</v>
      </c>
      <c r="Z47" t="s">
        <v>650</v>
      </c>
      <c r="AA47">
        <v>1093</v>
      </c>
      <c r="AB47">
        <v>888</v>
      </c>
      <c r="AC47">
        <v>2354</v>
      </c>
    </row>
    <row r="48" spans="1:29">
      <c r="A48" s="6" t="s">
        <v>17</v>
      </c>
      <c r="B48" t="s">
        <v>33</v>
      </c>
      <c r="C48">
        <v>25</v>
      </c>
      <c r="D48" t="s">
        <v>37</v>
      </c>
      <c r="E48" s="1">
        <v>72</v>
      </c>
      <c r="F48">
        <v>194</v>
      </c>
      <c r="G48" s="1">
        <v>18</v>
      </c>
      <c r="H48" t="s">
        <v>41</v>
      </c>
      <c r="I48" t="s">
        <v>43</v>
      </c>
      <c r="J48" s="2">
        <f>23+36+1+36+5+7+4</f>
        <v>112</v>
      </c>
      <c r="K48" s="23">
        <v>45.361702127659576</v>
      </c>
      <c r="L48" s="23">
        <v>88.978723404255305</v>
      </c>
      <c r="M48" s="23">
        <v>148.29787234042553</v>
      </c>
      <c r="N48" s="3" t="s">
        <v>606</v>
      </c>
      <c r="O48" s="2" t="s">
        <v>650</v>
      </c>
      <c r="P48" s="23">
        <v>66.919540229885058</v>
      </c>
      <c r="Q48" s="14">
        <v>36.310850439882699</v>
      </c>
      <c r="R48" s="14">
        <v>40.158357771260995</v>
      </c>
      <c r="S48" s="14">
        <v>76.469208211143695</v>
      </c>
      <c r="T48" s="14">
        <v>35.829912023460409</v>
      </c>
      <c r="U48" s="14">
        <v>248.59195402298849</v>
      </c>
      <c r="V48" s="24"/>
      <c r="W48" s="14">
        <f>S48+T48/2+U48+P48</f>
        <v>409.89565847574744</v>
      </c>
      <c r="Y48">
        <v>1</v>
      </c>
      <c r="Z48" t="s">
        <v>650</v>
      </c>
      <c r="AA48">
        <v>284</v>
      </c>
      <c r="AB48">
        <v>348</v>
      </c>
      <c r="AC48">
        <v>1055</v>
      </c>
    </row>
    <row r="49" spans="1:29">
      <c r="A49" s="6" t="s">
        <v>87</v>
      </c>
      <c r="B49" t="s">
        <v>91</v>
      </c>
      <c r="C49">
        <v>147</v>
      </c>
      <c r="D49" t="s">
        <v>35</v>
      </c>
      <c r="E49" s="1">
        <v>69</v>
      </c>
      <c r="F49">
        <v>186</v>
      </c>
      <c r="G49" s="1">
        <v>18</v>
      </c>
      <c r="H49" t="s">
        <v>41</v>
      </c>
      <c r="I49" t="s">
        <v>43</v>
      </c>
      <c r="J49" s="2">
        <v>72</v>
      </c>
      <c r="K49" s="23">
        <v>71.531914893617028</v>
      </c>
      <c r="L49" s="23">
        <v>69.787234042553195</v>
      </c>
      <c r="M49" s="23">
        <v>193.65957446808511</v>
      </c>
      <c r="N49" s="5" t="s">
        <v>599</v>
      </c>
      <c r="O49" s="2" t="s">
        <v>651</v>
      </c>
      <c r="P49" s="23">
        <v>77.073643410852711</v>
      </c>
      <c r="Q49" s="14">
        <v>25.725490196078432</v>
      </c>
      <c r="R49" s="14">
        <v>23.79607843137255</v>
      </c>
      <c r="S49" s="14">
        <v>49.521568627450982</v>
      </c>
      <c r="T49" s="14">
        <v>45.501960784313731</v>
      </c>
      <c r="U49" s="14">
        <v>258.71317829457365</v>
      </c>
      <c r="V49" s="24"/>
      <c r="W49" s="14">
        <f>S49+T49/2+U49+P49</f>
        <v>408.05937072503423</v>
      </c>
      <c r="Y49">
        <v>1</v>
      </c>
      <c r="Z49" t="s">
        <v>650</v>
      </c>
      <c r="AA49">
        <v>485</v>
      </c>
      <c r="AB49">
        <v>516</v>
      </c>
      <c r="AC49">
        <v>1628</v>
      </c>
    </row>
    <row r="50" spans="1:29">
      <c r="A50" t="s">
        <v>461</v>
      </c>
      <c r="B50" t="s">
        <v>472</v>
      </c>
      <c r="C50">
        <v>1</v>
      </c>
      <c r="D50" t="s">
        <v>35</v>
      </c>
      <c r="E50" s="1">
        <v>73</v>
      </c>
      <c r="F50">
        <v>193</v>
      </c>
      <c r="G50" s="1">
        <v>18</v>
      </c>
      <c r="H50" t="s">
        <v>41</v>
      </c>
      <c r="I50" t="s">
        <v>44</v>
      </c>
      <c r="J50" s="2">
        <v>54</v>
      </c>
      <c r="K50" s="23">
        <v>82</v>
      </c>
      <c r="L50" s="23">
        <v>146.55319148936169</v>
      </c>
      <c r="M50" s="23">
        <v>83.744680851063819</v>
      </c>
      <c r="N50" s="3" t="s">
        <v>600</v>
      </c>
      <c r="O50" s="2" t="s">
        <v>650</v>
      </c>
      <c r="P50" s="23">
        <v>33.627760252365931</v>
      </c>
      <c r="Q50" s="14">
        <v>37.967845659163984</v>
      </c>
      <c r="R50" s="14">
        <v>71.717041800643074</v>
      </c>
      <c r="S50" s="14">
        <v>109.68488745980706</v>
      </c>
      <c r="T50" s="14">
        <v>27.421221864951765</v>
      </c>
      <c r="U50" s="14">
        <v>250.91482649842271</v>
      </c>
      <c r="W50" s="14">
        <f>S50+T50/2+U50+P50</f>
        <v>407.93808514307159</v>
      </c>
      <c r="Y50">
        <v>1</v>
      </c>
      <c r="Z50" t="s">
        <v>650</v>
      </c>
      <c r="AA50">
        <v>130</v>
      </c>
      <c r="AB50">
        <v>317</v>
      </c>
      <c r="AC50">
        <v>970</v>
      </c>
    </row>
    <row r="51" spans="1:29">
      <c r="A51" t="s">
        <v>234</v>
      </c>
      <c r="B51" t="s">
        <v>248</v>
      </c>
      <c r="C51">
        <v>2</v>
      </c>
      <c r="D51" t="s">
        <v>66</v>
      </c>
      <c r="E51" s="1">
        <v>74</v>
      </c>
      <c r="F51">
        <v>195</v>
      </c>
      <c r="G51" s="1">
        <v>18</v>
      </c>
      <c r="H51" t="s">
        <v>41</v>
      </c>
      <c r="I51" t="s">
        <v>44</v>
      </c>
      <c r="J51" s="2">
        <v>60</v>
      </c>
      <c r="K51" s="23">
        <v>80.255319148936167</v>
      </c>
      <c r="L51" s="23">
        <v>71.531914893617028</v>
      </c>
      <c r="M51" s="23">
        <v>137.82978723404256</v>
      </c>
      <c r="N51" s="3" t="s">
        <v>600</v>
      </c>
      <c r="O51" s="2" t="s">
        <v>651</v>
      </c>
      <c r="P51" s="23">
        <v>128.21818181818182</v>
      </c>
      <c r="Q51" s="14">
        <v>23.883495145631066</v>
      </c>
      <c r="R51" s="14">
        <v>23.883495145631066</v>
      </c>
      <c r="S51" s="14">
        <v>47.766990291262132</v>
      </c>
      <c r="T51" s="14">
        <v>63.689320388349515</v>
      </c>
      <c r="U51" s="14">
        <v>199.03636363636363</v>
      </c>
      <c r="V51" s="24"/>
      <c r="W51" s="14">
        <f>S51+T51/2+U51+P51</f>
        <v>406.86619593998239</v>
      </c>
      <c r="Y51">
        <v>1</v>
      </c>
      <c r="Z51" t="s">
        <v>650</v>
      </c>
      <c r="AA51">
        <v>172</v>
      </c>
      <c r="AB51">
        <v>110</v>
      </c>
      <c r="AC51">
        <v>267</v>
      </c>
    </row>
    <row r="52" spans="1:29">
      <c r="A52" t="s">
        <v>283</v>
      </c>
      <c r="B52" t="s">
        <v>294</v>
      </c>
      <c r="C52">
        <v>43</v>
      </c>
      <c r="D52" t="s">
        <v>35</v>
      </c>
      <c r="E52" s="1">
        <v>72</v>
      </c>
      <c r="F52">
        <v>210</v>
      </c>
      <c r="G52" s="1">
        <v>18</v>
      </c>
      <c r="H52" t="s">
        <v>42</v>
      </c>
      <c r="I52" t="s">
        <v>43</v>
      </c>
      <c r="J52" s="2">
        <v>68</v>
      </c>
      <c r="K52" s="23">
        <v>26.170212765957448</v>
      </c>
      <c r="L52" s="23">
        <v>71.531914893617028</v>
      </c>
      <c r="M52" s="23">
        <v>155.27659574468086</v>
      </c>
      <c r="N52" s="3" t="s">
        <v>600</v>
      </c>
      <c r="O52" s="2" t="s">
        <v>651</v>
      </c>
      <c r="P52" s="23">
        <v>106.77083333333333</v>
      </c>
      <c r="Q52" s="14">
        <v>12.330827067669173</v>
      </c>
      <c r="R52" s="14">
        <v>38.595488721804514</v>
      </c>
      <c r="S52" s="14">
        <v>50.926315789473684</v>
      </c>
      <c r="T52" s="14">
        <v>91.494736842105269</v>
      </c>
      <c r="U52" s="14">
        <v>202.68154761904765</v>
      </c>
      <c r="V52" s="24">
        <v>5.8035714285714288E-2</v>
      </c>
      <c r="W52" s="14">
        <f>S52+T52/2+U52+P52</f>
        <v>406.12606516290731</v>
      </c>
      <c r="X52" s="22">
        <v>106</v>
      </c>
      <c r="Y52">
        <v>1</v>
      </c>
      <c r="Z52" t="s">
        <v>650</v>
      </c>
      <c r="AA52">
        <v>875</v>
      </c>
      <c r="AB52">
        <v>672</v>
      </c>
      <c r="AC52">
        <v>1661</v>
      </c>
    </row>
    <row r="53" spans="1:29">
      <c r="A53" t="s">
        <v>322</v>
      </c>
      <c r="B53" t="s">
        <v>332</v>
      </c>
      <c r="C53">
        <v>7</v>
      </c>
      <c r="D53" t="s">
        <v>35</v>
      </c>
      <c r="E53" s="1">
        <v>72</v>
      </c>
      <c r="F53">
        <v>192</v>
      </c>
      <c r="G53" s="1">
        <v>19</v>
      </c>
      <c r="H53" t="s">
        <v>41</v>
      </c>
      <c r="I53" t="s">
        <v>44</v>
      </c>
      <c r="J53" s="2">
        <v>56</v>
      </c>
      <c r="K53" s="23">
        <v>43.617021276595743</v>
      </c>
      <c r="L53" s="23">
        <v>92.468085106382972</v>
      </c>
      <c r="M53" s="23">
        <v>54.085106382978722</v>
      </c>
      <c r="N53" s="5" t="s">
        <v>600</v>
      </c>
      <c r="O53" s="2" t="s">
        <v>651</v>
      </c>
      <c r="P53" s="23">
        <v>118.81632653061224</v>
      </c>
      <c r="Q53" s="14">
        <v>23.629502572898801</v>
      </c>
      <c r="R53" s="14">
        <v>28.692967409948544</v>
      </c>
      <c r="S53" s="14">
        <v>52.322469982847345</v>
      </c>
      <c r="T53" s="14">
        <v>59.21440823327616</v>
      </c>
      <c r="U53" s="14">
        <v>205.27891156462587</v>
      </c>
      <c r="V53" s="24"/>
      <c r="W53" s="14">
        <f>S53+T53/2+U53+P53</f>
        <v>406.02491219472353</v>
      </c>
      <c r="Y53">
        <v>1</v>
      </c>
      <c r="Z53" t="s">
        <v>650</v>
      </c>
      <c r="AA53">
        <v>852</v>
      </c>
      <c r="AB53">
        <v>588</v>
      </c>
      <c r="AC53">
        <v>1472</v>
      </c>
    </row>
    <row r="54" spans="1:29">
      <c r="A54" t="s">
        <v>525</v>
      </c>
      <c r="B54" t="s">
        <v>538</v>
      </c>
      <c r="C54">
        <v>6</v>
      </c>
      <c r="D54" t="s">
        <v>34</v>
      </c>
      <c r="E54" s="1">
        <v>74</v>
      </c>
      <c r="F54">
        <v>202</v>
      </c>
      <c r="G54" s="1">
        <v>19</v>
      </c>
      <c r="H54" t="s">
        <v>41</v>
      </c>
      <c r="I54" t="s">
        <v>44</v>
      </c>
      <c r="J54" s="2">
        <v>68</v>
      </c>
      <c r="K54" s="23">
        <v>68.042553191489361</v>
      </c>
      <c r="L54" s="23">
        <v>151.78723404255319</v>
      </c>
      <c r="M54" s="23">
        <v>157.02127659574469</v>
      </c>
      <c r="N54" s="3" t="s">
        <v>600</v>
      </c>
      <c r="O54" s="2" t="s">
        <v>651</v>
      </c>
      <c r="P54" s="23">
        <v>99.826086956521749</v>
      </c>
      <c r="Q54" s="14">
        <v>26.568000000000001</v>
      </c>
      <c r="R54" s="14">
        <v>37.064</v>
      </c>
      <c r="S54" s="14">
        <v>63.632000000000005</v>
      </c>
      <c r="T54" s="14">
        <v>83.968000000000004</v>
      </c>
      <c r="U54" s="14">
        <v>200.300395256917</v>
      </c>
      <c r="V54" s="24"/>
      <c r="W54" s="14">
        <f>S54+T54/2+U54+P54</f>
        <v>405.74248221343873</v>
      </c>
      <c r="Y54">
        <v>1</v>
      </c>
      <c r="Z54" t="s">
        <v>650</v>
      </c>
      <c r="AA54">
        <v>308</v>
      </c>
      <c r="AB54">
        <v>253</v>
      </c>
      <c r="AC54">
        <v>618</v>
      </c>
    </row>
    <row r="55" spans="1:29">
      <c r="A55" t="s">
        <v>413</v>
      </c>
      <c r="B55" t="s">
        <v>420</v>
      </c>
      <c r="C55">
        <v>2</v>
      </c>
      <c r="D55" t="s">
        <v>38</v>
      </c>
      <c r="E55" s="1">
        <v>77</v>
      </c>
      <c r="F55">
        <v>206</v>
      </c>
      <c r="G55" s="1">
        <v>18</v>
      </c>
      <c r="H55" t="s">
        <v>41</v>
      </c>
      <c r="I55" t="s">
        <v>43</v>
      </c>
      <c r="J55" s="2">
        <f>27+2+46+8+7+10</f>
        <v>100</v>
      </c>
      <c r="K55" s="23">
        <v>92.468085106382972</v>
      </c>
      <c r="L55" s="23">
        <v>73.276595744680847</v>
      </c>
      <c r="M55" s="23">
        <v>66.297872340425528</v>
      </c>
      <c r="N55" s="5" t="s">
        <v>615</v>
      </c>
      <c r="O55" s="2" t="s">
        <v>651</v>
      </c>
      <c r="P55" s="23">
        <v>83.55893536121674</v>
      </c>
      <c r="Q55" s="14">
        <v>36.868217054263567</v>
      </c>
      <c r="R55" s="14">
        <v>27.968992248062015</v>
      </c>
      <c r="S55" s="14">
        <v>64.83720930232559</v>
      </c>
      <c r="T55" s="14">
        <v>29.875968992248062</v>
      </c>
      <c r="U55" s="14">
        <v>240.6996197718631</v>
      </c>
      <c r="V55" s="24"/>
      <c r="W55" s="14">
        <f>S55+T55/2+U55+P55</f>
        <v>404.03374893152949</v>
      </c>
      <c r="Y55">
        <v>1</v>
      </c>
      <c r="Z55" t="s">
        <v>650</v>
      </c>
      <c r="AA55">
        <v>268</v>
      </c>
      <c r="AB55">
        <v>263</v>
      </c>
      <c r="AC55">
        <v>772</v>
      </c>
    </row>
    <row r="56" spans="1:29">
      <c r="A56" t="s">
        <v>204</v>
      </c>
      <c r="B56" t="s">
        <v>209</v>
      </c>
      <c r="C56">
        <v>77</v>
      </c>
      <c r="D56" t="s">
        <v>34</v>
      </c>
      <c r="E56" s="1">
        <v>71</v>
      </c>
      <c r="F56">
        <v>180</v>
      </c>
      <c r="G56" s="1">
        <v>19</v>
      </c>
      <c r="H56" t="s">
        <v>41</v>
      </c>
      <c r="I56" t="s">
        <v>44</v>
      </c>
      <c r="J56" s="2">
        <v>60</v>
      </c>
      <c r="K56" s="23">
        <v>50.595744680851062</v>
      </c>
      <c r="L56" s="23">
        <v>76.765957446808514</v>
      </c>
      <c r="M56" s="23">
        <v>41.87234042553191</v>
      </c>
      <c r="N56" s="5" t="s">
        <v>608</v>
      </c>
      <c r="O56" s="2" t="s">
        <v>651</v>
      </c>
      <c r="P56" s="23">
        <v>121.23275862068965</v>
      </c>
      <c r="Q56" s="14">
        <v>32.071111111111115</v>
      </c>
      <c r="R56" s="14">
        <v>31.706666666666667</v>
      </c>
      <c r="S56" s="14">
        <v>63.777777777777779</v>
      </c>
      <c r="T56" s="14">
        <v>29.155555555555559</v>
      </c>
      <c r="U56" s="14">
        <v>203.58620689655174</v>
      </c>
      <c r="V56" s="24"/>
      <c r="W56" s="14">
        <f>S56+T56/2+U56+P56</f>
        <v>403.17452107279695</v>
      </c>
      <c r="Y56">
        <v>1</v>
      </c>
      <c r="Z56" t="s">
        <v>650</v>
      </c>
      <c r="AA56">
        <v>343</v>
      </c>
      <c r="AB56">
        <v>232</v>
      </c>
      <c r="AC56">
        <v>576</v>
      </c>
    </row>
    <row r="57" spans="1:29">
      <c r="A57" t="s">
        <v>397</v>
      </c>
      <c r="B57" t="s">
        <v>406</v>
      </c>
      <c r="C57">
        <v>205</v>
      </c>
      <c r="D57" t="s">
        <v>34</v>
      </c>
      <c r="E57" s="1">
        <v>71</v>
      </c>
      <c r="F57">
        <v>190</v>
      </c>
      <c r="G57" s="1">
        <v>61</v>
      </c>
      <c r="H57" t="s">
        <v>41</v>
      </c>
      <c r="I57" t="s">
        <v>43</v>
      </c>
      <c r="J57" s="2">
        <v>60</v>
      </c>
      <c r="K57" s="23">
        <v>62.808510638297875</v>
      </c>
      <c r="L57" s="23">
        <v>57.574468085106382</v>
      </c>
      <c r="M57" s="23">
        <v>55.829787234042549</v>
      </c>
      <c r="N57" s="5" t="s">
        <v>608</v>
      </c>
      <c r="O57" s="2" t="s">
        <v>651</v>
      </c>
      <c r="P57" s="23">
        <v>82.909274193548384</v>
      </c>
      <c r="Q57" s="14">
        <v>29.939148073022313</v>
      </c>
      <c r="R57" s="14">
        <v>34.346855983772819</v>
      </c>
      <c r="S57" s="14">
        <v>64.286004056795136</v>
      </c>
      <c r="T57" s="14">
        <v>31.685598377281949</v>
      </c>
      <c r="U57" s="14">
        <v>240.13104838709677</v>
      </c>
      <c r="V57" s="24"/>
      <c r="W57" s="14">
        <f>S57+T57/2+U57+P57</f>
        <v>403.16912582608131</v>
      </c>
      <c r="Y57">
        <v>1</v>
      </c>
      <c r="Z57" t="s">
        <v>650</v>
      </c>
      <c r="AA57">
        <v>1003</v>
      </c>
      <c r="AB57">
        <v>992</v>
      </c>
      <c r="AC57">
        <v>2905</v>
      </c>
    </row>
    <row r="58" spans="1:29">
      <c r="A58" t="s">
        <v>220</v>
      </c>
      <c r="B58" t="s">
        <v>224</v>
      </c>
      <c r="C58">
        <v>41</v>
      </c>
      <c r="D58" t="s">
        <v>65</v>
      </c>
      <c r="E58" s="1">
        <v>74</v>
      </c>
      <c r="F58">
        <v>204</v>
      </c>
      <c r="G58" s="1">
        <v>18</v>
      </c>
      <c r="H58" t="s">
        <v>42</v>
      </c>
      <c r="I58" t="s">
        <v>44</v>
      </c>
      <c r="J58" s="2">
        <f>24+27+5+5+4+28</f>
        <v>93</v>
      </c>
      <c r="K58" s="23">
        <v>40.127659574468083</v>
      </c>
      <c r="L58" s="23">
        <v>54.085106382978722</v>
      </c>
      <c r="M58" s="23">
        <v>219.82978723404256</v>
      </c>
      <c r="N58" s="5" t="s">
        <v>65</v>
      </c>
      <c r="O58" s="2" t="s">
        <v>651</v>
      </c>
      <c r="P58" s="23">
        <v>267.3491124260355</v>
      </c>
      <c r="Q58" s="14">
        <v>4</v>
      </c>
      <c r="R58" s="14">
        <v>11</v>
      </c>
      <c r="S58" s="14">
        <v>15</v>
      </c>
      <c r="T58" s="14">
        <v>50.5</v>
      </c>
      <c r="U58" s="14">
        <v>94.130177514792905</v>
      </c>
      <c r="V58" s="24">
        <v>0</v>
      </c>
      <c r="W58" s="14">
        <f>S58+T58/2+U58+P58</f>
        <v>401.72928994082838</v>
      </c>
      <c r="X58" s="22">
        <v>-24</v>
      </c>
      <c r="Y58">
        <v>0</v>
      </c>
      <c r="Z58" t="s">
        <v>650</v>
      </c>
      <c r="AA58">
        <v>551</v>
      </c>
      <c r="AB58">
        <v>169</v>
      </c>
      <c r="AC58">
        <v>194</v>
      </c>
    </row>
    <row r="59" spans="1:29">
      <c r="A59" t="s">
        <v>478</v>
      </c>
      <c r="B59" t="s">
        <v>480</v>
      </c>
      <c r="C59">
        <v>11</v>
      </c>
      <c r="D59" t="s">
        <v>35</v>
      </c>
      <c r="E59" s="1">
        <v>76</v>
      </c>
      <c r="F59">
        <v>220</v>
      </c>
      <c r="G59" s="1">
        <v>18</v>
      </c>
      <c r="H59" t="s">
        <v>41</v>
      </c>
      <c r="I59" t="s">
        <v>44</v>
      </c>
      <c r="J59" s="2">
        <f>5+3+1+56+7</f>
        <v>72</v>
      </c>
      <c r="K59" s="23">
        <v>64.553191489361708</v>
      </c>
      <c r="L59" s="23">
        <v>41.87234042553191</v>
      </c>
      <c r="M59" s="23">
        <v>143.06382978723406</v>
      </c>
      <c r="N59" s="3" t="s">
        <v>600</v>
      </c>
      <c r="O59" s="2" t="s">
        <v>651</v>
      </c>
      <c r="P59" s="23">
        <v>236.45502645502646</v>
      </c>
      <c r="Q59" s="14">
        <v>9.258064516129032</v>
      </c>
      <c r="R59" s="14">
        <v>10.580645161290322</v>
      </c>
      <c r="S59" s="14">
        <v>19.838709677419356</v>
      </c>
      <c r="T59" s="14">
        <v>60.397849462365592</v>
      </c>
      <c r="U59" s="14">
        <v>114.10582010582011</v>
      </c>
      <c r="V59" s="24"/>
      <c r="W59" s="14">
        <f>S59+T59/2+U59+P59</f>
        <v>400.5984809694487</v>
      </c>
      <c r="Y59">
        <v>0</v>
      </c>
      <c r="Z59" t="s">
        <v>650</v>
      </c>
      <c r="AA59">
        <v>545</v>
      </c>
      <c r="AB59">
        <v>189</v>
      </c>
      <c r="AC59">
        <v>263</v>
      </c>
    </row>
    <row r="60" spans="1:29">
      <c r="A60" s="6" t="s">
        <v>148</v>
      </c>
      <c r="B60" t="s">
        <v>149</v>
      </c>
      <c r="C60">
        <v>42</v>
      </c>
      <c r="D60" t="s">
        <v>34</v>
      </c>
      <c r="E60" s="1">
        <v>74</v>
      </c>
      <c r="F60">
        <v>213</v>
      </c>
      <c r="G60" s="1">
        <v>18</v>
      </c>
      <c r="H60" t="s">
        <v>41</v>
      </c>
      <c r="I60" t="s">
        <v>44</v>
      </c>
      <c r="J60" s="2">
        <v>60</v>
      </c>
      <c r="K60" s="23">
        <v>47.10638297872341</v>
      </c>
      <c r="L60" s="23">
        <v>43.617021276595743</v>
      </c>
      <c r="M60" s="23">
        <v>150.04255319148936</v>
      </c>
      <c r="N60" s="3" t="s">
        <v>608</v>
      </c>
      <c r="O60" s="2" t="s">
        <v>651</v>
      </c>
      <c r="P60" s="23">
        <v>195.12747875354106</v>
      </c>
      <c r="Q60" s="14">
        <v>12.311614730878187</v>
      </c>
      <c r="R60" s="14">
        <v>16.957507082152976</v>
      </c>
      <c r="S60" s="14">
        <v>29.269121813031159</v>
      </c>
      <c r="T60" s="14">
        <v>68.178470254957503</v>
      </c>
      <c r="U60" s="14">
        <v>140.88668555240793</v>
      </c>
      <c r="V60" s="24"/>
      <c r="W60" s="14">
        <f>S60+T60/2+U60+P60</f>
        <v>399.37252124645886</v>
      </c>
      <c r="Y60">
        <v>0</v>
      </c>
      <c r="Z60" t="s">
        <v>650</v>
      </c>
      <c r="AA60">
        <v>1680</v>
      </c>
      <c r="AB60">
        <v>706</v>
      </c>
      <c r="AC60">
        <v>1213</v>
      </c>
    </row>
    <row r="61" spans="1:29">
      <c r="A61" t="s">
        <v>539</v>
      </c>
      <c r="B61" t="s">
        <v>548</v>
      </c>
      <c r="C61">
        <v>15</v>
      </c>
      <c r="D61" t="s">
        <v>65</v>
      </c>
      <c r="E61" s="1">
        <v>72</v>
      </c>
      <c r="F61">
        <v>190</v>
      </c>
      <c r="G61" s="1">
        <v>18</v>
      </c>
      <c r="H61" t="s">
        <v>42</v>
      </c>
      <c r="I61" t="s">
        <v>43</v>
      </c>
      <c r="J61" s="2">
        <f>7+3+7+38</f>
        <v>55</v>
      </c>
      <c r="K61" s="23">
        <v>27.914893617021274</v>
      </c>
      <c r="L61" s="23">
        <v>45.361702127659576</v>
      </c>
      <c r="M61" s="23">
        <v>122.12765957446808</v>
      </c>
      <c r="N61" s="3" t="s">
        <v>65</v>
      </c>
      <c r="O61" s="2" t="s">
        <v>650</v>
      </c>
      <c r="P61" s="23">
        <v>72.966101694915253</v>
      </c>
      <c r="Q61" s="14">
        <v>15.28022759601707</v>
      </c>
      <c r="R61" s="14">
        <v>52.256045519203411</v>
      </c>
      <c r="S61" s="14">
        <v>67.536273115220482</v>
      </c>
      <c r="T61" s="14">
        <v>39.658605974395449</v>
      </c>
      <c r="U61" s="14">
        <v>238.93502824858757</v>
      </c>
      <c r="V61" s="24">
        <v>-4.8022598870056499E-2</v>
      </c>
      <c r="W61" s="14">
        <f>S61+T61/2+U61+P61</f>
        <v>399.26670604592101</v>
      </c>
      <c r="X61" s="22">
        <v>180</v>
      </c>
      <c r="Y61">
        <v>1</v>
      </c>
      <c r="Z61" t="s">
        <v>651</v>
      </c>
      <c r="AA61">
        <v>630</v>
      </c>
      <c r="AB61">
        <v>708</v>
      </c>
      <c r="AC61">
        <v>2063</v>
      </c>
    </row>
    <row r="62" spans="1:29">
      <c r="A62" s="6" t="s">
        <v>135</v>
      </c>
      <c r="B62" t="s">
        <v>145</v>
      </c>
      <c r="C62">
        <v>2</v>
      </c>
      <c r="D62" t="s">
        <v>34</v>
      </c>
      <c r="E62" s="1">
        <v>74</v>
      </c>
      <c r="F62">
        <v>209</v>
      </c>
      <c r="G62" s="1">
        <v>18</v>
      </c>
      <c r="H62" t="s">
        <v>41</v>
      </c>
      <c r="I62" t="s">
        <v>43</v>
      </c>
      <c r="J62" s="2">
        <v>62</v>
      </c>
      <c r="K62" s="23">
        <v>64.553191489361708</v>
      </c>
      <c r="L62" s="23">
        <v>90.723404255319153</v>
      </c>
      <c r="M62" s="23">
        <v>88.978723404255305</v>
      </c>
      <c r="N62" s="3" t="s">
        <v>600</v>
      </c>
      <c r="O62" s="2" t="s">
        <v>651</v>
      </c>
      <c r="P62" s="23">
        <v>119.37212121212121</v>
      </c>
      <c r="Q62" s="14">
        <v>24.848484848484848</v>
      </c>
      <c r="R62" s="14">
        <v>29.917575757575758</v>
      </c>
      <c r="S62" s="14">
        <v>54.766060606060606</v>
      </c>
      <c r="T62" s="14">
        <v>42.938181818181818</v>
      </c>
      <c r="U62" s="14">
        <v>202.96242424242425</v>
      </c>
      <c r="V62" s="24"/>
      <c r="W62" s="14">
        <f>S62+T62/2+U62+P62</f>
        <v>398.56969696969696</v>
      </c>
      <c r="Y62">
        <v>1</v>
      </c>
      <c r="Z62" t="s">
        <v>650</v>
      </c>
      <c r="AA62">
        <v>1201</v>
      </c>
      <c r="AB62">
        <v>825</v>
      </c>
      <c r="AC62">
        <v>2042</v>
      </c>
    </row>
    <row r="63" spans="1:29">
      <c r="A63" s="6" t="s">
        <v>49</v>
      </c>
      <c r="B63" t="s">
        <v>62</v>
      </c>
      <c r="C63">
        <v>1</v>
      </c>
      <c r="D63" t="s">
        <v>35</v>
      </c>
      <c r="E63" s="1">
        <v>73</v>
      </c>
      <c r="F63">
        <v>209</v>
      </c>
      <c r="G63" s="1">
        <v>19</v>
      </c>
      <c r="H63" t="s">
        <v>41</v>
      </c>
      <c r="I63" t="s">
        <v>44</v>
      </c>
      <c r="J63" s="2">
        <f>6+56+24+32</f>
        <v>118</v>
      </c>
      <c r="K63" s="23">
        <v>216.34042553191489</v>
      </c>
      <c r="L63" s="23">
        <v>172.72340425531914</v>
      </c>
      <c r="M63" s="23">
        <v>188.42553191489364</v>
      </c>
      <c r="N63" s="3" t="s">
        <v>600</v>
      </c>
      <c r="O63" s="2" t="s">
        <v>650</v>
      </c>
      <c r="P63" s="23">
        <v>40.894056847545222</v>
      </c>
      <c r="Q63" s="14">
        <v>34.745762711864408</v>
      </c>
      <c r="R63" s="14">
        <v>42.550195567144719</v>
      </c>
      <c r="S63" s="14">
        <v>77.295958279009128</v>
      </c>
      <c r="T63" s="14">
        <v>36.883963494132985</v>
      </c>
      <c r="U63" s="14">
        <v>260.51421188630491</v>
      </c>
      <c r="V63" s="24"/>
      <c r="W63" s="14">
        <f>S63+T63/2+U63+P63</f>
        <v>397.1462087599258</v>
      </c>
      <c r="Y63">
        <v>1</v>
      </c>
      <c r="Z63" t="s">
        <v>650</v>
      </c>
      <c r="AA63">
        <v>386</v>
      </c>
      <c r="AB63">
        <v>774</v>
      </c>
      <c r="AC63">
        <v>2459</v>
      </c>
    </row>
    <row r="64" spans="1:29">
      <c r="A64" s="6" t="s">
        <v>49</v>
      </c>
      <c r="B64" t="s">
        <v>58</v>
      </c>
      <c r="C64">
        <v>1</v>
      </c>
      <c r="D64" t="s">
        <v>34</v>
      </c>
      <c r="E64" s="1">
        <v>75</v>
      </c>
      <c r="F64">
        <v>223</v>
      </c>
      <c r="G64" s="1">
        <v>19</v>
      </c>
      <c r="H64" t="s">
        <v>41</v>
      </c>
      <c r="I64" t="s">
        <v>44</v>
      </c>
      <c r="J64" s="2">
        <f>10+7+2+36+4</f>
        <v>59</v>
      </c>
      <c r="K64" s="23">
        <v>71.531914893617028</v>
      </c>
      <c r="L64" s="23">
        <v>52.340425531914896</v>
      </c>
      <c r="M64" s="23">
        <v>17.446808510638299</v>
      </c>
      <c r="N64" s="5" t="s">
        <v>628</v>
      </c>
      <c r="O64" s="2" t="s">
        <v>650</v>
      </c>
      <c r="P64" s="23">
        <v>27.785123966942148</v>
      </c>
      <c r="Q64" s="14">
        <v>43.617021276595743</v>
      </c>
      <c r="R64" s="14">
        <v>37.336170212765957</v>
      </c>
      <c r="S64" s="14">
        <v>80.9531914893617</v>
      </c>
      <c r="T64" s="14">
        <v>14.65531914893617</v>
      </c>
      <c r="U64" s="14">
        <v>280.90082644628097</v>
      </c>
      <c r="V64" s="24"/>
      <c r="W64" s="14">
        <f>S64+T64/2+U64+P64</f>
        <v>396.96680147705291</v>
      </c>
      <c r="Y64">
        <v>1</v>
      </c>
      <c r="Z64" t="s">
        <v>650</v>
      </c>
      <c r="AA64">
        <v>82</v>
      </c>
      <c r="AB64">
        <v>242</v>
      </c>
      <c r="AC64">
        <v>829</v>
      </c>
    </row>
    <row r="65" spans="1:29">
      <c r="A65" t="s">
        <v>478</v>
      </c>
      <c r="B65" t="s">
        <v>483</v>
      </c>
      <c r="C65">
        <v>6</v>
      </c>
      <c r="D65" t="s">
        <v>65</v>
      </c>
      <c r="E65" s="1">
        <v>74</v>
      </c>
      <c r="F65">
        <v>200</v>
      </c>
      <c r="G65" s="1">
        <v>18</v>
      </c>
      <c r="H65" t="s">
        <v>42</v>
      </c>
      <c r="I65" t="s">
        <v>44</v>
      </c>
      <c r="J65" s="2">
        <f>39+47+6</f>
        <v>92</v>
      </c>
      <c r="K65" s="23">
        <v>17.446808510638299</v>
      </c>
      <c r="L65" s="23">
        <v>62.808510638297875</v>
      </c>
      <c r="M65" s="23">
        <v>125.61702127659575</v>
      </c>
      <c r="N65" s="5" t="s">
        <v>606</v>
      </c>
      <c r="O65" s="2" t="s">
        <v>651</v>
      </c>
      <c r="P65" s="23">
        <v>142.60349854227405</v>
      </c>
      <c r="Q65" s="14">
        <v>14.229411764705883</v>
      </c>
      <c r="R65" s="14">
        <v>27.132352941176471</v>
      </c>
      <c r="S65" s="14">
        <v>41.361764705882351</v>
      </c>
      <c r="T65" s="14">
        <v>50.405882352941177</v>
      </c>
      <c r="U65" s="14">
        <v>187.54810495626822</v>
      </c>
      <c r="V65" s="24">
        <v>-0.12973760932944606</v>
      </c>
      <c r="W65" s="14">
        <f>S65+T65/2+U65+P65</f>
        <v>396.71630938089521</v>
      </c>
      <c r="X65" s="22">
        <v>50</v>
      </c>
      <c r="Y65">
        <v>0</v>
      </c>
      <c r="Z65" t="s">
        <v>651</v>
      </c>
      <c r="AA65">
        <v>1193</v>
      </c>
      <c r="AB65">
        <v>686</v>
      </c>
      <c r="AC65">
        <v>1569</v>
      </c>
    </row>
    <row r="66" spans="1:29">
      <c r="A66" t="s">
        <v>576</v>
      </c>
      <c r="B66" t="s">
        <v>581</v>
      </c>
      <c r="C66">
        <v>2</v>
      </c>
      <c r="D66" t="s">
        <v>35</v>
      </c>
      <c r="E66" s="1">
        <v>73</v>
      </c>
      <c r="F66">
        <v>202</v>
      </c>
      <c r="G66" s="1">
        <v>19</v>
      </c>
      <c r="H66" t="s">
        <v>42</v>
      </c>
      <c r="I66" t="s">
        <v>43</v>
      </c>
      <c r="J66" s="2">
        <v>65</v>
      </c>
      <c r="K66" s="23">
        <v>22.680851063829788</v>
      </c>
      <c r="L66" s="23">
        <v>71.531914893617028</v>
      </c>
      <c r="M66" s="23">
        <v>118.63829787234043</v>
      </c>
      <c r="N66" s="3" t="s">
        <v>600</v>
      </c>
      <c r="O66" s="2" t="s">
        <v>650</v>
      </c>
      <c r="P66" s="23">
        <v>146.96708286038591</v>
      </c>
      <c r="Q66" s="14">
        <v>10.777142857142856</v>
      </c>
      <c r="R66" s="14">
        <v>34.580571428571425</v>
      </c>
      <c r="S66" s="14">
        <v>45.35771428571428</v>
      </c>
      <c r="T66" s="14">
        <v>56.884571428571427</v>
      </c>
      <c r="U66" s="14">
        <v>175.54143019296254</v>
      </c>
      <c r="V66" s="24">
        <v>5.909090909090909E-2</v>
      </c>
      <c r="W66" s="14">
        <f>S66+T66/2+U66+P66</f>
        <v>396.30851305334846</v>
      </c>
      <c r="X66" s="22">
        <v>67</v>
      </c>
      <c r="Y66">
        <v>1</v>
      </c>
      <c r="Z66" t="s">
        <v>650</v>
      </c>
      <c r="AA66">
        <v>1579</v>
      </c>
      <c r="AB66">
        <v>881</v>
      </c>
      <c r="AC66">
        <v>1886</v>
      </c>
    </row>
    <row r="67" spans="1:29">
      <c r="A67" t="s">
        <v>510</v>
      </c>
      <c r="B67" t="s">
        <v>519</v>
      </c>
      <c r="C67">
        <v>156</v>
      </c>
      <c r="D67" t="s">
        <v>35</v>
      </c>
      <c r="E67" s="1">
        <v>73</v>
      </c>
      <c r="F67">
        <v>225</v>
      </c>
      <c r="G67" s="1">
        <v>18</v>
      </c>
      <c r="H67" t="s">
        <v>41</v>
      </c>
      <c r="I67" t="s">
        <v>43</v>
      </c>
      <c r="J67" s="2">
        <v>64</v>
      </c>
      <c r="K67" s="23">
        <v>12.212765957446807</v>
      </c>
      <c r="L67" s="23">
        <v>15.702127659574469</v>
      </c>
      <c r="M67" s="23">
        <v>137.82978723404256</v>
      </c>
      <c r="N67" s="5" t="s">
        <v>599</v>
      </c>
      <c r="O67" s="2" t="s">
        <v>651</v>
      </c>
      <c r="P67" s="23">
        <v>270.14144736842104</v>
      </c>
      <c r="Q67" s="14">
        <v>5.7114427860696502</v>
      </c>
      <c r="R67" s="14">
        <v>5.7114427860696511</v>
      </c>
      <c r="S67" s="14">
        <v>11.422885572139302</v>
      </c>
      <c r="T67" s="14">
        <v>120.07628524046434</v>
      </c>
      <c r="U67" s="14">
        <v>54.621710526315788</v>
      </c>
      <c r="V67" s="24"/>
      <c r="W67" s="14">
        <f>S67+T67/2+U67+P67</f>
        <v>396.22418608710831</v>
      </c>
      <c r="Y67">
        <v>0</v>
      </c>
      <c r="Z67" t="s">
        <v>650</v>
      </c>
      <c r="AA67">
        <v>2003</v>
      </c>
      <c r="AB67">
        <v>608</v>
      </c>
      <c r="AC67">
        <v>405</v>
      </c>
    </row>
    <row r="68" spans="1:29">
      <c r="A68" t="s">
        <v>251</v>
      </c>
      <c r="B68" t="s">
        <v>256</v>
      </c>
      <c r="C68">
        <v>28</v>
      </c>
      <c r="D68" t="s">
        <v>34</v>
      </c>
      <c r="E68" s="1">
        <v>72</v>
      </c>
      <c r="F68">
        <v>208</v>
      </c>
      <c r="G68" s="1">
        <v>19</v>
      </c>
      <c r="H68" t="s">
        <v>41</v>
      </c>
      <c r="I68" t="s">
        <v>44</v>
      </c>
      <c r="J68" s="2">
        <v>65</v>
      </c>
      <c r="K68" s="23">
        <v>41.87234042553191</v>
      </c>
      <c r="L68" s="23">
        <v>80.255319148936167</v>
      </c>
      <c r="M68" s="23">
        <v>254.72340425531914</v>
      </c>
      <c r="N68" s="5" t="s">
        <v>600</v>
      </c>
      <c r="O68" s="2" t="s">
        <v>651</v>
      </c>
      <c r="P68" s="23">
        <v>169.11907514450866</v>
      </c>
      <c r="Q68" s="14">
        <v>17.871794871794872</v>
      </c>
      <c r="R68" s="14">
        <v>24.37062937062937</v>
      </c>
      <c r="S68" s="14">
        <v>42.242424242424242</v>
      </c>
      <c r="T68" s="14">
        <v>66.326340326340329</v>
      </c>
      <c r="U68" s="14">
        <v>151.2971098265896</v>
      </c>
      <c r="V68" s="24"/>
      <c r="W68" s="14">
        <f>S68+T68/2+U68+P68</f>
        <v>395.82177937669269</v>
      </c>
      <c r="Y68">
        <v>0</v>
      </c>
      <c r="Z68" t="s">
        <v>650</v>
      </c>
      <c r="AA68">
        <v>1784</v>
      </c>
      <c r="AB68">
        <v>865</v>
      </c>
      <c r="AC68">
        <v>1596</v>
      </c>
    </row>
    <row r="69" spans="1:29">
      <c r="A69" s="6" t="s">
        <v>17</v>
      </c>
      <c r="B69" t="s">
        <v>19</v>
      </c>
      <c r="C69">
        <v>45</v>
      </c>
      <c r="D69" t="s">
        <v>35</v>
      </c>
      <c r="E69" s="1">
        <v>73</v>
      </c>
      <c r="F69">
        <v>195</v>
      </c>
      <c r="G69" s="1">
        <v>18</v>
      </c>
      <c r="H69" t="s">
        <v>41</v>
      </c>
      <c r="I69" t="s">
        <v>43</v>
      </c>
      <c r="J69" s="2">
        <v>70</v>
      </c>
      <c r="K69" s="23">
        <v>40.127659574468083</v>
      </c>
      <c r="L69" s="23">
        <v>87.234042553191486</v>
      </c>
      <c r="M69" s="23">
        <v>108.17021276595744</v>
      </c>
      <c r="N69" s="3" t="s">
        <v>614</v>
      </c>
      <c r="O69" s="2" t="s">
        <v>650</v>
      </c>
      <c r="P69" s="23">
        <v>63.302658486707564</v>
      </c>
      <c r="Q69" s="14">
        <v>25.766953199617959</v>
      </c>
      <c r="R69" s="14">
        <v>39.394460362941743</v>
      </c>
      <c r="S69" s="14">
        <v>65.161413562559702</v>
      </c>
      <c r="T69" s="14">
        <v>31.797516714422162</v>
      </c>
      <c r="U69" s="14">
        <v>250.359918200409</v>
      </c>
      <c r="V69" s="24"/>
      <c r="W69" s="14">
        <f>S69+T69/2+U69+P69</f>
        <v>394.72274860688736</v>
      </c>
      <c r="Y69">
        <v>1</v>
      </c>
      <c r="Z69" t="s">
        <v>650</v>
      </c>
      <c r="AA69">
        <v>755</v>
      </c>
      <c r="AB69">
        <v>978</v>
      </c>
      <c r="AC69">
        <v>2986</v>
      </c>
    </row>
    <row r="70" spans="1:29">
      <c r="A70" t="s">
        <v>306</v>
      </c>
      <c r="B70" t="s">
        <v>311</v>
      </c>
      <c r="C70">
        <v>37</v>
      </c>
      <c r="D70" t="s">
        <v>34</v>
      </c>
      <c r="E70" s="1">
        <v>72</v>
      </c>
      <c r="F70">
        <v>217</v>
      </c>
      <c r="G70" s="1">
        <v>18</v>
      </c>
      <c r="H70" t="s">
        <v>42</v>
      </c>
      <c r="I70" t="s">
        <v>43</v>
      </c>
      <c r="J70" s="2">
        <v>67</v>
      </c>
      <c r="K70" s="23">
        <v>38.382978723404257</v>
      </c>
      <c r="L70" s="23">
        <v>26.170212765957448</v>
      </c>
      <c r="M70" s="23">
        <v>125.61702127659575</v>
      </c>
      <c r="N70" s="3" t="s">
        <v>608</v>
      </c>
      <c r="O70" s="2" t="s">
        <v>651</v>
      </c>
      <c r="P70" s="23">
        <v>134.90322580645162</v>
      </c>
      <c r="Q70" s="14">
        <v>11.975945017182131</v>
      </c>
      <c r="R70" s="14">
        <v>25.219931271477662</v>
      </c>
      <c r="S70" s="14">
        <v>37.195876288659797</v>
      </c>
      <c r="T70" s="14">
        <v>38.745704467353953</v>
      </c>
      <c r="U70" s="14">
        <v>203.12054329371816</v>
      </c>
      <c r="V70" s="24">
        <v>-0.17346938775510204</v>
      </c>
      <c r="W70" s="14">
        <f>S70+T70/2+U70+P70</f>
        <v>394.59249762250658</v>
      </c>
      <c r="X70" s="22">
        <v>39</v>
      </c>
      <c r="Y70">
        <v>0</v>
      </c>
      <c r="Z70" t="s">
        <v>651</v>
      </c>
      <c r="AA70">
        <v>969</v>
      </c>
      <c r="AB70">
        <v>589</v>
      </c>
      <c r="AC70">
        <v>1459</v>
      </c>
    </row>
    <row r="71" spans="1:29">
      <c r="A71" s="6" t="s">
        <v>148</v>
      </c>
      <c r="B71" t="s">
        <v>160</v>
      </c>
      <c r="C71">
        <v>15</v>
      </c>
      <c r="D71" t="s">
        <v>34</v>
      </c>
      <c r="E71" s="1">
        <v>73</v>
      </c>
      <c r="F71">
        <v>198</v>
      </c>
      <c r="G71" s="1">
        <v>18</v>
      </c>
      <c r="H71" t="s">
        <v>41</v>
      </c>
      <c r="I71" t="s">
        <v>44</v>
      </c>
      <c r="J71" s="2">
        <v>26</v>
      </c>
      <c r="K71" s="23">
        <v>29.659574468085108</v>
      </c>
      <c r="L71" s="23">
        <v>15.702127659574469</v>
      </c>
      <c r="M71" s="23">
        <v>41.87234042553191</v>
      </c>
      <c r="N71" s="5" t="s">
        <v>608</v>
      </c>
      <c r="O71" s="2" t="s">
        <v>651</v>
      </c>
      <c r="P71" s="23">
        <v>72.339080459770116</v>
      </c>
      <c r="Q71" s="14">
        <v>22.604105571847509</v>
      </c>
      <c r="R71" s="14">
        <v>32.463343108504397</v>
      </c>
      <c r="S71" s="14">
        <v>55.067448680351909</v>
      </c>
      <c r="T71" s="14">
        <v>53.384164222873899</v>
      </c>
      <c r="U71" s="14">
        <v>239.16666666666666</v>
      </c>
      <c r="V71" s="24"/>
      <c r="W71" s="14">
        <f>S71+T71/2+U71+P71</f>
        <v>393.26527791822565</v>
      </c>
      <c r="Y71">
        <v>1</v>
      </c>
      <c r="Z71" t="s">
        <v>650</v>
      </c>
      <c r="AA71">
        <v>307</v>
      </c>
      <c r="AB71">
        <v>348</v>
      </c>
      <c r="AC71">
        <v>1015</v>
      </c>
    </row>
    <row r="72" spans="1:29">
      <c r="A72" t="s">
        <v>430</v>
      </c>
      <c r="B72" t="s">
        <v>441</v>
      </c>
      <c r="C72">
        <v>139</v>
      </c>
      <c r="D72" t="s">
        <v>35</v>
      </c>
      <c r="E72" s="1">
        <v>71</v>
      </c>
      <c r="F72">
        <v>182</v>
      </c>
      <c r="G72" s="1">
        <v>20</v>
      </c>
      <c r="H72" t="s">
        <v>41</v>
      </c>
      <c r="I72" t="s">
        <v>43</v>
      </c>
      <c r="J72" s="2">
        <v>66</v>
      </c>
      <c r="K72" s="23">
        <v>38.382978723404257</v>
      </c>
      <c r="L72" s="23">
        <v>55.829787234042549</v>
      </c>
      <c r="M72" s="23">
        <v>235.53191489361703</v>
      </c>
      <c r="N72" s="3" t="s">
        <v>600</v>
      </c>
      <c r="O72" s="2" t="s">
        <v>651</v>
      </c>
      <c r="P72" s="23">
        <v>158.43018867924528</v>
      </c>
      <c r="Q72" s="14">
        <v>17.771863117870723</v>
      </c>
      <c r="R72" s="14">
        <v>19.954372623574145</v>
      </c>
      <c r="S72" s="14">
        <v>37.726235741444867</v>
      </c>
      <c r="T72" s="14">
        <v>86.365019011406844</v>
      </c>
      <c r="U72" s="14">
        <v>152.86037735849058</v>
      </c>
      <c r="V72" s="24"/>
      <c r="W72" s="14">
        <f>S72+T72/2+U72+P72</f>
        <v>392.19931128488417</v>
      </c>
      <c r="Y72">
        <v>0</v>
      </c>
      <c r="Z72" t="s">
        <v>650</v>
      </c>
      <c r="AA72">
        <v>1024</v>
      </c>
      <c r="AB72">
        <v>530</v>
      </c>
      <c r="AC72">
        <v>988</v>
      </c>
    </row>
    <row r="73" spans="1:29">
      <c r="A73" t="s">
        <v>234</v>
      </c>
      <c r="B73" t="s">
        <v>241</v>
      </c>
      <c r="C73">
        <v>9</v>
      </c>
      <c r="D73" t="s">
        <v>35</v>
      </c>
      <c r="E73" s="1">
        <v>78</v>
      </c>
      <c r="F73">
        <v>229</v>
      </c>
      <c r="G73" s="1">
        <v>18</v>
      </c>
      <c r="H73" t="s">
        <v>42</v>
      </c>
      <c r="I73" t="s">
        <v>43</v>
      </c>
      <c r="J73" s="2">
        <v>67</v>
      </c>
      <c r="K73" s="23">
        <v>20.936170212765955</v>
      </c>
      <c r="L73" s="23">
        <v>80.255319148936167</v>
      </c>
      <c r="M73" s="23">
        <v>134.34042553191489</v>
      </c>
      <c r="N73" s="3" t="s">
        <v>600</v>
      </c>
      <c r="O73" s="2" t="s">
        <v>651</v>
      </c>
      <c r="P73" s="23">
        <v>102</v>
      </c>
      <c r="Q73" s="14">
        <v>14.186311787072244</v>
      </c>
      <c r="R73" s="14">
        <v>29.775665399239543</v>
      </c>
      <c r="S73" s="14">
        <v>43.961977186311785</v>
      </c>
      <c r="T73" s="14">
        <v>53.159695817490494</v>
      </c>
      <c r="U73" s="14">
        <v>219.07692307692307</v>
      </c>
      <c r="V73" s="24">
        <v>6.9418386491557224E-2</v>
      </c>
      <c r="W73" s="14">
        <f>S73+T73/2+U73+P73</f>
        <v>391.61874817198009</v>
      </c>
      <c r="X73" s="22">
        <v>53</v>
      </c>
      <c r="Y73">
        <v>1</v>
      </c>
      <c r="Z73" t="s">
        <v>650</v>
      </c>
      <c r="AA73">
        <v>663</v>
      </c>
      <c r="AB73">
        <v>533</v>
      </c>
      <c r="AC73">
        <v>1424</v>
      </c>
    </row>
    <row r="74" spans="1:29">
      <c r="A74" t="s">
        <v>430</v>
      </c>
      <c r="B74" t="s">
        <v>435</v>
      </c>
      <c r="C74">
        <v>1</v>
      </c>
      <c r="D74" t="s">
        <v>34</v>
      </c>
      <c r="E74" s="1">
        <v>70</v>
      </c>
      <c r="F74">
        <v>177</v>
      </c>
      <c r="G74" s="1">
        <v>19</v>
      </c>
      <c r="H74" t="s">
        <v>41</v>
      </c>
      <c r="I74" t="s">
        <v>44</v>
      </c>
      <c r="J74" s="2">
        <v>65</v>
      </c>
      <c r="K74" s="23">
        <v>116.8936170212766</v>
      </c>
      <c r="L74" s="23">
        <v>151.78723404255319</v>
      </c>
      <c r="M74" s="23">
        <v>164</v>
      </c>
      <c r="N74" s="3" t="s">
        <v>600</v>
      </c>
      <c r="O74" s="2" t="s">
        <v>650</v>
      </c>
      <c r="P74" s="23">
        <v>22.307526881720431</v>
      </c>
      <c r="Q74" s="14">
        <v>32.534054054054053</v>
      </c>
      <c r="R74" s="14">
        <v>53.189189189189186</v>
      </c>
      <c r="S74" s="14">
        <v>85.723243243243246</v>
      </c>
      <c r="T74" s="14">
        <v>31.913513513513511</v>
      </c>
      <c r="U74" s="14">
        <v>267.2494623655914</v>
      </c>
      <c r="V74" s="24"/>
      <c r="W74" s="14">
        <f>S74+T74/2+U74+P74</f>
        <v>391.23698924731184</v>
      </c>
      <c r="Y74">
        <v>1</v>
      </c>
      <c r="Z74" t="s">
        <v>650</v>
      </c>
      <c r="AA74">
        <v>253</v>
      </c>
      <c r="AB74">
        <v>930</v>
      </c>
      <c r="AC74">
        <v>3031</v>
      </c>
    </row>
    <row r="75" spans="1:29">
      <c r="A75" t="s">
        <v>188</v>
      </c>
      <c r="B75" t="s">
        <v>203</v>
      </c>
      <c r="C75">
        <v>61</v>
      </c>
      <c r="D75" t="s">
        <v>35</v>
      </c>
      <c r="E75" s="1">
        <v>74</v>
      </c>
      <c r="F75">
        <v>227</v>
      </c>
      <c r="G75" s="1">
        <v>18</v>
      </c>
      <c r="H75" t="s">
        <v>42</v>
      </c>
      <c r="I75" t="s">
        <v>43</v>
      </c>
      <c r="J75" s="2">
        <v>75</v>
      </c>
      <c r="K75" s="23">
        <v>15.702127659574469</v>
      </c>
      <c r="L75" s="23">
        <v>55.829787234042549</v>
      </c>
      <c r="M75" s="23">
        <v>162.25531914893617</v>
      </c>
      <c r="N75" s="3" t="s">
        <v>599</v>
      </c>
      <c r="O75" s="2" t="s">
        <v>651</v>
      </c>
      <c r="P75" s="23">
        <v>167.70553935860059</v>
      </c>
      <c r="Q75" s="14">
        <v>6.4005891016200298</v>
      </c>
      <c r="R75" s="14">
        <v>17.994108983799705</v>
      </c>
      <c r="S75" s="14">
        <v>24.394698085419734</v>
      </c>
      <c r="T75" s="14">
        <v>38.765832106038289</v>
      </c>
      <c r="U75" s="14">
        <v>177.62682215743439</v>
      </c>
      <c r="V75" s="24">
        <v>0.19825072886297376</v>
      </c>
      <c r="W75" s="14">
        <f>S75+T75/2+U75+P75</f>
        <v>389.10997565447383</v>
      </c>
      <c r="X75" s="22">
        <v>0</v>
      </c>
      <c r="Y75">
        <v>0</v>
      </c>
      <c r="Z75" t="s">
        <v>650</v>
      </c>
      <c r="AA75">
        <v>1403</v>
      </c>
      <c r="AB75">
        <v>686</v>
      </c>
      <c r="AC75">
        <v>1486</v>
      </c>
    </row>
    <row r="76" spans="1:29">
      <c r="A76" t="s">
        <v>576</v>
      </c>
      <c r="B76" t="s">
        <v>582</v>
      </c>
      <c r="C76">
        <v>57</v>
      </c>
      <c r="D76" t="s">
        <v>65</v>
      </c>
      <c r="E76" s="1">
        <v>72</v>
      </c>
      <c r="F76">
        <v>201</v>
      </c>
      <c r="G76" s="1">
        <v>19</v>
      </c>
      <c r="H76" t="s">
        <v>41</v>
      </c>
      <c r="I76" t="s">
        <v>44</v>
      </c>
      <c r="J76" s="2">
        <v>50</v>
      </c>
      <c r="K76" s="23">
        <v>12.212765957446807</v>
      </c>
      <c r="L76" s="23">
        <v>15.702127659574469</v>
      </c>
      <c r="M76" s="23">
        <v>92.468085106382972</v>
      </c>
      <c r="N76" s="5" t="s">
        <v>618</v>
      </c>
      <c r="O76" s="2" t="s">
        <v>651</v>
      </c>
      <c r="P76" s="23">
        <v>198.16666666666666</v>
      </c>
      <c r="Q76" s="14">
        <v>17.826086956521738</v>
      </c>
      <c r="R76" s="14">
        <v>17.826086956521738</v>
      </c>
      <c r="S76" s="14">
        <v>35.652173913043477</v>
      </c>
      <c r="T76" s="14">
        <v>35.652173913043477</v>
      </c>
      <c r="U76" s="14">
        <v>136.66666666666669</v>
      </c>
      <c r="V76" s="24"/>
      <c r="W76" s="14">
        <f>S76+T76/2+U76+P76</f>
        <v>388.31159420289856</v>
      </c>
      <c r="Y76">
        <v>0</v>
      </c>
      <c r="Z76" t="s">
        <v>650</v>
      </c>
      <c r="AA76">
        <v>58</v>
      </c>
      <c r="AB76">
        <v>24</v>
      </c>
      <c r="AC76">
        <v>40</v>
      </c>
    </row>
    <row r="77" spans="1:29">
      <c r="A77" t="s">
        <v>283</v>
      </c>
      <c r="B77" t="s">
        <v>292</v>
      </c>
      <c r="C77">
        <v>26</v>
      </c>
      <c r="D77" t="s">
        <v>34</v>
      </c>
      <c r="E77" s="1">
        <v>71</v>
      </c>
      <c r="F77">
        <v>185</v>
      </c>
      <c r="G77" s="1">
        <v>18</v>
      </c>
      <c r="H77" t="s">
        <v>41</v>
      </c>
      <c r="I77" t="s">
        <v>43</v>
      </c>
      <c r="J77" s="2">
        <f>33</f>
        <v>33</v>
      </c>
      <c r="K77" s="23">
        <v>26.170212765957448</v>
      </c>
      <c r="L77" s="23">
        <v>26.170212765957448</v>
      </c>
      <c r="M77" s="23">
        <v>88.978723404255305</v>
      </c>
      <c r="N77" s="3" t="s">
        <v>604</v>
      </c>
      <c r="O77" s="2" t="s">
        <v>651</v>
      </c>
      <c r="P77" s="23">
        <v>117.90439770554494</v>
      </c>
      <c r="Q77" s="14">
        <v>24.949612403100776</v>
      </c>
      <c r="R77" s="14">
        <v>23.519379844961239</v>
      </c>
      <c r="S77" s="14">
        <v>48.468992248062015</v>
      </c>
      <c r="T77" s="14">
        <v>43.224806201550386</v>
      </c>
      <c r="U77" s="14">
        <v>200.21797323135755</v>
      </c>
      <c r="V77" s="24"/>
      <c r="W77" s="14">
        <f>S77+T77/2+U77+P77</f>
        <v>388.20376628573968</v>
      </c>
      <c r="Y77">
        <v>1</v>
      </c>
      <c r="Z77" t="s">
        <v>650</v>
      </c>
      <c r="AA77">
        <v>752</v>
      </c>
      <c r="AB77">
        <v>523</v>
      </c>
      <c r="AC77">
        <v>1277</v>
      </c>
    </row>
    <row r="78" spans="1:29">
      <c r="A78" s="6" t="s">
        <v>121</v>
      </c>
      <c r="B78" t="s">
        <v>128</v>
      </c>
      <c r="C78">
        <v>161</v>
      </c>
      <c r="D78" t="s">
        <v>34</v>
      </c>
      <c r="E78" s="1">
        <v>75</v>
      </c>
      <c r="F78">
        <v>225</v>
      </c>
      <c r="G78" s="1">
        <v>19</v>
      </c>
      <c r="H78" t="s">
        <v>41</v>
      </c>
      <c r="I78" t="s">
        <v>44</v>
      </c>
      <c r="J78" s="2">
        <v>57</v>
      </c>
      <c r="K78" s="23">
        <v>69.787234042553195</v>
      </c>
      <c r="L78" s="23">
        <v>95.957446808510639</v>
      </c>
      <c r="M78" s="23">
        <v>265.19148936170211</v>
      </c>
      <c r="N78" s="5" t="s">
        <v>630</v>
      </c>
      <c r="O78" s="2" t="s">
        <v>651</v>
      </c>
      <c r="P78" s="23">
        <v>162.08898305084745</v>
      </c>
      <c r="Q78" s="14">
        <v>16.223655913978494</v>
      </c>
      <c r="R78" s="14">
        <v>21.337634408602149</v>
      </c>
      <c r="S78" s="14">
        <v>37.561290322580639</v>
      </c>
      <c r="T78" s="14">
        <v>93.815053763440858</v>
      </c>
      <c r="U78" s="14">
        <v>141.41525423728814</v>
      </c>
      <c r="V78" s="24"/>
      <c r="W78" s="14">
        <f>S78+T78/2+U78+P78</f>
        <v>387.97305449243663</v>
      </c>
      <c r="Y78">
        <v>0</v>
      </c>
      <c r="Z78" t="s">
        <v>650</v>
      </c>
      <c r="AA78">
        <v>933</v>
      </c>
      <c r="AB78">
        <v>472</v>
      </c>
      <c r="AC78">
        <v>814</v>
      </c>
    </row>
    <row r="79" spans="1:29">
      <c r="A79" t="s">
        <v>445</v>
      </c>
      <c r="B79" t="s">
        <v>449</v>
      </c>
      <c r="C79">
        <v>104</v>
      </c>
      <c r="D79" t="s">
        <v>34</v>
      </c>
      <c r="E79" s="1">
        <v>75</v>
      </c>
      <c r="F79">
        <v>228</v>
      </c>
      <c r="G79" s="1">
        <v>18</v>
      </c>
      <c r="H79" t="s">
        <v>41</v>
      </c>
      <c r="I79" t="s">
        <v>44</v>
      </c>
      <c r="J79" s="2">
        <v>65</v>
      </c>
      <c r="K79" s="23">
        <v>20.936170212765955</v>
      </c>
      <c r="L79" s="23">
        <v>31.404255319148938</v>
      </c>
      <c r="M79" s="23">
        <v>167.48936170212764</v>
      </c>
      <c r="N79" s="3" t="s">
        <v>600</v>
      </c>
      <c r="O79" s="2" t="s">
        <v>651</v>
      </c>
      <c r="P79" s="23">
        <v>231.75954198473281</v>
      </c>
      <c r="Q79" s="14">
        <v>10.367816091954023</v>
      </c>
      <c r="R79" s="14">
        <v>15.39463601532567</v>
      </c>
      <c r="S79" s="14">
        <v>25.762452107279692</v>
      </c>
      <c r="T79" s="14">
        <v>72.731800766283527</v>
      </c>
      <c r="U79" s="14">
        <v>93.110687022900763</v>
      </c>
      <c r="V79" s="24"/>
      <c r="W79" s="14">
        <f>S79+T79/2+U79+P79</f>
        <v>386.99858149805505</v>
      </c>
      <c r="Y79">
        <v>0</v>
      </c>
      <c r="Z79" t="s">
        <v>650</v>
      </c>
      <c r="AA79">
        <v>1481</v>
      </c>
      <c r="AB79">
        <v>524</v>
      </c>
      <c r="AC79">
        <v>595</v>
      </c>
    </row>
    <row r="80" spans="1:29">
      <c r="A80" t="s">
        <v>204</v>
      </c>
      <c r="B80" t="s">
        <v>205</v>
      </c>
      <c r="C80">
        <v>19</v>
      </c>
      <c r="D80" t="s">
        <v>34</v>
      </c>
      <c r="E80" s="1">
        <v>78</v>
      </c>
      <c r="F80">
        <v>215</v>
      </c>
      <c r="G80" s="1">
        <v>18</v>
      </c>
      <c r="H80" t="s">
        <v>41</v>
      </c>
      <c r="I80" t="s">
        <v>43</v>
      </c>
      <c r="J80" s="2">
        <v>57</v>
      </c>
      <c r="K80" s="23">
        <v>83.744680851063819</v>
      </c>
      <c r="L80" s="23">
        <v>73.276595744680847</v>
      </c>
      <c r="M80" s="23">
        <v>76.765957446808514</v>
      </c>
      <c r="N80" s="5" t="s">
        <v>603</v>
      </c>
      <c r="O80" s="2" t="s">
        <v>651</v>
      </c>
      <c r="P80" s="23">
        <v>128.07798165137615</v>
      </c>
      <c r="Q80" s="14">
        <v>18.243119266055047</v>
      </c>
      <c r="R80" s="14">
        <v>20.5</v>
      </c>
      <c r="S80" s="14">
        <v>38.743119266055047</v>
      </c>
      <c r="T80" s="14">
        <v>37.238532110091747</v>
      </c>
      <c r="U80" s="14">
        <v>201.42660550458714</v>
      </c>
      <c r="V80" s="24"/>
      <c r="W80" s="14">
        <f>S80+T80/2+U80+P80</f>
        <v>386.86697247706422</v>
      </c>
      <c r="Y80">
        <v>0</v>
      </c>
      <c r="Z80" t="s">
        <v>650</v>
      </c>
      <c r="AA80">
        <v>681</v>
      </c>
      <c r="AB80">
        <v>436</v>
      </c>
      <c r="AC80">
        <v>1071</v>
      </c>
    </row>
    <row r="81" spans="1:29">
      <c r="A81" t="s">
        <v>220</v>
      </c>
      <c r="B81" t="s">
        <v>223</v>
      </c>
      <c r="C81">
        <v>22</v>
      </c>
      <c r="D81" t="s">
        <v>35</v>
      </c>
      <c r="E81" s="1">
        <v>71</v>
      </c>
      <c r="F81">
        <v>185</v>
      </c>
      <c r="G81" s="1">
        <v>18</v>
      </c>
      <c r="H81" t="s">
        <v>41</v>
      </c>
      <c r="I81" t="s">
        <v>43</v>
      </c>
      <c r="J81" s="2">
        <v>69</v>
      </c>
      <c r="K81" s="23">
        <v>68.042553191489361</v>
      </c>
      <c r="L81" s="23">
        <v>111.6595744680851</v>
      </c>
      <c r="M81" s="23">
        <v>111.6595744680851</v>
      </c>
      <c r="N81" s="5" t="s">
        <v>614</v>
      </c>
      <c r="O81" s="2" t="s">
        <v>650</v>
      </c>
      <c r="P81" s="23">
        <v>76.875</v>
      </c>
      <c r="Q81" s="14">
        <v>23.498216409036861</v>
      </c>
      <c r="R81" s="14">
        <v>52.066587395957193</v>
      </c>
      <c r="S81" s="14">
        <v>75.564803804994057</v>
      </c>
      <c r="T81" s="14">
        <v>35.296076099881098</v>
      </c>
      <c r="U81" s="14">
        <v>214.66981132075469</v>
      </c>
      <c r="V81" s="24"/>
      <c r="W81" s="14">
        <f>S81+T81/2+U81+P81</f>
        <v>384.75765317568931</v>
      </c>
      <c r="Y81">
        <v>1</v>
      </c>
      <c r="Z81" t="s">
        <v>650</v>
      </c>
      <c r="AA81">
        <v>795</v>
      </c>
      <c r="AB81">
        <v>848</v>
      </c>
      <c r="AC81">
        <v>2220</v>
      </c>
    </row>
    <row r="82" spans="1:29">
      <c r="A82" s="6" t="s">
        <v>69</v>
      </c>
      <c r="B82" t="s">
        <v>393</v>
      </c>
      <c r="C82">
        <v>7</v>
      </c>
      <c r="D82" t="s">
        <v>35</v>
      </c>
      <c r="E82" s="1">
        <v>71</v>
      </c>
      <c r="F82">
        <v>200</v>
      </c>
      <c r="G82" s="1">
        <v>18</v>
      </c>
      <c r="H82" t="s">
        <v>41</v>
      </c>
      <c r="I82" t="s">
        <v>44</v>
      </c>
      <c r="J82" s="2">
        <v>64</v>
      </c>
      <c r="K82" s="23">
        <v>87.234042553191486</v>
      </c>
      <c r="L82" s="23">
        <v>69.787234042553195</v>
      </c>
      <c r="M82" s="23">
        <v>125.61702127659575</v>
      </c>
      <c r="N82" s="3" t="s">
        <v>600</v>
      </c>
      <c r="O82" s="2" t="s">
        <v>651</v>
      </c>
      <c r="P82" s="23">
        <v>39.869375907111753</v>
      </c>
      <c r="Q82" s="14">
        <v>30.299120234604107</v>
      </c>
      <c r="R82" s="14">
        <v>24.407624633431087</v>
      </c>
      <c r="S82" s="14">
        <v>54.706744868035194</v>
      </c>
      <c r="T82" s="14">
        <v>37.753665689149564</v>
      </c>
      <c r="U82" s="14">
        <v>271.23076923076923</v>
      </c>
      <c r="V82" s="24"/>
      <c r="W82" s="14">
        <f>S82+T82/2+U82+P82</f>
        <v>384.68372285049094</v>
      </c>
      <c r="Y82">
        <v>1</v>
      </c>
      <c r="Z82" t="s">
        <v>650</v>
      </c>
      <c r="AA82">
        <v>335</v>
      </c>
      <c r="AB82">
        <v>689</v>
      </c>
      <c r="AC82">
        <v>2279</v>
      </c>
    </row>
    <row r="83" spans="1:29">
      <c r="A83" t="s">
        <v>234</v>
      </c>
      <c r="B83" t="s">
        <v>247</v>
      </c>
      <c r="C83">
        <v>2</v>
      </c>
      <c r="D83" t="s">
        <v>35</v>
      </c>
      <c r="E83" s="1">
        <v>76</v>
      </c>
      <c r="F83">
        <v>220</v>
      </c>
      <c r="G83" s="1">
        <v>18</v>
      </c>
      <c r="H83" t="s">
        <v>41</v>
      </c>
      <c r="I83" t="s">
        <v>44</v>
      </c>
      <c r="J83" s="2">
        <v>68</v>
      </c>
      <c r="K83" s="23">
        <v>48.851063829787229</v>
      </c>
      <c r="L83" s="23">
        <v>69.787234042553195</v>
      </c>
      <c r="M83" s="23">
        <v>120.38297872340425</v>
      </c>
      <c r="N83" s="5" t="s">
        <v>600</v>
      </c>
      <c r="O83" s="2" t="s">
        <v>651</v>
      </c>
      <c r="P83" s="23">
        <v>144.50162866449512</v>
      </c>
      <c r="Q83" s="14">
        <v>19.737417943107221</v>
      </c>
      <c r="R83" s="14">
        <v>26.645514223194748</v>
      </c>
      <c r="S83" s="14">
        <v>46.38293216630197</v>
      </c>
      <c r="T83" s="14">
        <v>40.282275711159741</v>
      </c>
      <c r="U83" s="14">
        <v>171.92399565689468</v>
      </c>
      <c r="V83" s="24"/>
      <c r="W83" s="14">
        <f>S83+T83/2+U83+P83</f>
        <v>382.94969434327163</v>
      </c>
      <c r="Y83">
        <v>1</v>
      </c>
      <c r="Z83" t="s">
        <v>650</v>
      </c>
      <c r="AA83">
        <v>1623</v>
      </c>
      <c r="AB83">
        <v>921</v>
      </c>
      <c r="AC83">
        <v>1931</v>
      </c>
    </row>
    <row r="84" spans="1:29">
      <c r="A84" t="s">
        <v>430</v>
      </c>
      <c r="B84" t="s">
        <v>437</v>
      </c>
      <c r="C84">
        <v>191</v>
      </c>
      <c r="D84" t="s">
        <v>37</v>
      </c>
      <c r="E84" s="1">
        <v>74</v>
      </c>
      <c r="F84">
        <v>179</v>
      </c>
      <c r="G84" s="1">
        <v>18</v>
      </c>
      <c r="H84" t="s">
        <v>41</v>
      </c>
      <c r="I84" t="s">
        <v>44</v>
      </c>
      <c r="J84" s="2">
        <f>77</f>
        <v>77</v>
      </c>
      <c r="K84" s="23">
        <v>29.659574468085108</v>
      </c>
      <c r="L84" s="23">
        <v>47.10638297872341</v>
      </c>
      <c r="M84" s="23">
        <v>92.468085106382972</v>
      </c>
      <c r="N84" s="3" t="s">
        <v>600</v>
      </c>
      <c r="O84" s="2" t="s">
        <v>651</v>
      </c>
      <c r="P84" s="23">
        <v>144.32</v>
      </c>
      <c r="Q84" s="14">
        <v>20.5</v>
      </c>
      <c r="R84" s="14">
        <v>16.399999999999999</v>
      </c>
      <c r="S84" s="14">
        <v>36.9</v>
      </c>
      <c r="T84" s="14">
        <v>24.599999999999998</v>
      </c>
      <c r="U84" s="14">
        <v>186.95999999999998</v>
      </c>
      <c r="V84" s="24"/>
      <c r="W84" s="14">
        <f>S84+T84/2+U84+P84</f>
        <v>380.47999999999996</v>
      </c>
      <c r="Y84">
        <v>0</v>
      </c>
      <c r="Z84" t="s">
        <v>650</v>
      </c>
      <c r="AA84">
        <v>44</v>
      </c>
      <c r="AB84">
        <v>25</v>
      </c>
      <c r="AC84">
        <v>57</v>
      </c>
    </row>
    <row r="85" spans="1:29">
      <c r="A85" t="s">
        <v>539</v>
      </c>
      <c r="B85" t="s">
        <v>550</v>
      </c>
      <c r="C85">
        <v>2</v>
      </c>
      <c r="D85" t="s">
        <v>35</v>
      </c>
      <c r="E85" s="1">
        <v>74</v>
      </c>
      <c r="F85">
        <v>218</v>
      </c>
      <c r="G85" s="1">
        <v>18</v>
      </c>
      <c r="H85" t="s">
        <v>41</v>
      </c>
      <c r="I85" t="s">
        <v>44</v>
      </c>
      <c r="J85" s="2">
        <v>71</v>
      </c>
      <c r="K85" s="23">
        <v>88.978723404255305</v>
      </c>
      <c r="L85" s="23">
        <v>129.10638297872342</v>
      </c>
      <c r="M85" s="23">
        <v>64.553191489361708</v>
      </c>
      <c r="N85" s="5" t="s">
        <v>599</v>
      </c>
      <c r="O85" s="2" t="s">
        <v>651</v>
      </c>
      <c r="P85" s="23">
        <v>79.227758007117444</v>
      </c>
      <c r="Q85" s="14">
        <v>27.137745974955276</v>
      </c>
      <c r="R85" s="14">
        <v>30.316040548598686</v>
      </c>
      <c r="S85" s="14">
        <v>57.453786523553966</v>
      </c>
      <c r="T85" s="14">
        <v>24.88849135360763</v>
      </c>
      <c r="U85" s="14">
        <v>230.46085409252669</v>
      </c>
      <c r="V85" s="24"/>
      <c r="W85" s="14">
        <f>S85+T85/2+U85+P85</f>
        <v>379.58664430000192</v>
      </c>
      <c r="Y85">
        <v>1</v>
      </c>
      <c r="Z85" t="s">
        <v>650</v>
      </c>
      <c r="AA85">
        <v>1086</v>
      </c>
      <c r="AB85">
        <v>1124</v>
      </c>
      <c r="AC85">
        <v>3159</v>
      </c>
    </row>
    <row r="86" spans="1:29">
      <c r="A86" t="s">
        <v>266</v>
      </c>
      <c r="B86" t="s">
        <v>282</v>
      </c>
      <c r="C86">
        <v>6</v>
      </c>
      <c r="D86" t="s">
        <v>65</v>
      </c>
      <c r="E86" s="1">
        <v>74</v>
      </c>
      <c r="F86">
        <v>213</v>
      </c>
      <c r="G86" s="1">
        <v>18</v>
      </c>
      <c r="H86" t="s">
        <v>41</v>
      </c>
      <c r="I86" t="s">
        <v>43</v>
      </c>
      <c r="J86" s="2">
        <f>26+2+27+26+6</f>
        <v>87</v>
      </c>
      <c r="K86" s="23">
        <v>50.595744680851062</v>
      </c>
      <c r="L86" s="23">
        <v>40.127659574468083</v>
      </c>
      <c r="M86" s="23">
        <v>34.893617021276597</v>
      </c>
      <c r="N86" s="5" t="s">
        <v>605</v>
      </c>
      <c r="O86" s="2" t="s">
        <v>651</v>
      </c>
      <c r="P86" s="23">
        <v>120.39682539682539</v>
      </c>
      <c r="Q86" s="14">
        <v>22.795999999999999</v>
      </c>
      <c r="R86" s="14">
        <v>29.684000000000001</v>
      </c>
      <c r="S86" s="14">
        <v>52.480000000000004</v>
      </c>
      <c r="T86" s="14">
        <v>23.124000000000002</v>
      </c>
      <c r="U86" s="14">
        <v>194.42460317460316</v>
      </c>
      <c r="V86" s="24"/>
      <c r="W86" s="14">
        <f>S86+T86/2+U86+P86</f>
        <v>378.86342857142859</v>
      </c>
      <c r="Y86">
        <v>1</v>
      </c>
      <c r="Z86" t="s">
        <v>650</v>
      </c>
      <c r="AA86">
        <v>740</v>
      </c>
      <c r="AB86">
        <v>504</v>
      </c>
      <c r="AC86">
        <v>1195</v>
      </c>
    </row>
    <row r="87" spans="1:29">
      <c r="A87" s="6" t="s">
        <v>17</v>
      </c>
      <c r="B87" t="s">
        <v>31</v>
      </c>
      <c r="C87">
        <v>71</v>
      </c>
      <c r="D87" t="s">
        <v>35</v>
      </c>
      <c r="E87" s="1">
        <v>69</v>
      </c>
      <c r="F87">
        <v>181</v>
      </c>
      <c r="G87" s="1">
        <v>18</v>
      </c>
      <c r="H87" t="s">
        <v>41</v>
      </c>
      <c r="I87" t="s">
        <v>44</v>
      </c>
      <c r="J87" s="2">
        <v>68</v>
      </c>
      <c r="K87" s="23">
        <v>50.595744680851062</v>
      </c>
      <c r="L87" s="23">
        <v>64.553191489361708</v>
      </c>
      <c r="M87" s="23">
        <v>144.80851063829786</v>
      </c>
      <c r="N87" s="3" t="s">
        <v>614</v>
      </c>
      <c r="O87" s="2" t="s">
        <v>650</v>
      </c>
      <c r="P87" s="23">
        <v>67.543018335684067</v>
      </c>
      <c r="Q87" s="14">
        <v>32.122507122507102</v>
      </c>
      <c r="R87" s="14">
        <v>37.262108262108264</v>
      </c>
      <c r="S87" s="14">
        <v>69.384615384615387</v>
      </c>
      <c r="T87" s="14">
        <v>83.284900284900289</v>
      </c>
      <c r="U87" s="14">
        <v>199.73765867418899</v>
      </c>
      <c r="V87" s="24"/>
      <c r="W87" s="14">
        <f>S87+T87/2+U87+P87</f>
        <v>378.30774253693858</v>
      </c>
      <c r="Y87">
        <v>1</v>
      </c>
      <c r="Z87" t="s">
        <v>650</v>
      </c>
      <c r="AA87">
        <v>584</v>
      </c>
      <c r="AB87">
        <v>709</v>
      </c>
      <c r="AC87">
        <v>1727</v>
      </c>
    </row>
    <row r="88" spans="1:29">
      <c r="A88" t="s">
        <v>220</v>
      </c>
      <c r="B88" t="s">
        <v>232</v>
      </c>
      <c r="C88">
        <v>2</v>
      </c>
      <c r="D88" t="s">
        <v>34</v>
      </c>
      <c r="E88" s="1">
        <v>75</v>
      </c>
      <c r="F88">
        <v>217</v>
      </c>
      <c r="G88" s="1">
        <v>18</v>
      </c>
      <c r="H88" t="s">
        <v>41</v>
      </c>
      <c r="I88" t="s">
        <v>44</v>
      </c>
      <c r="J88" s="2">
        <v>65</v>
      </c>
      <c r="K88" s="23">
        <v>76.765957446808514</v>
      </c>
      <c r="L88" s="23">
        <v>82</v>
      </c>
      <c r="M88" s="23">
        <v>158.7659574468085</v>
      </c>
      <c r="N88" s="5" t="s">
        <v>611</v>
      </c>
      <c r="O88" s="2" t="s">
        <v>651</v>
      </c>
      <c r="P88" s="23">
        <v>74.301564722617357</v>
      </c>
      <c r="Q88" s="14">
        <v>27.333333333333332</v>
      </c>
      <c r="R88" s="14">
        <v>25.683908045977009</v>
      </c>
      <c r="S88" s="14">
        <v>53.017241379310342</v>
      </c>
      <c r="T88" s="14">
        <v>35.698275862068961</v>
      </c>
      <c r="U88" s="14">
        <v>232.11948790896159</v>
      </c>
      <c r="V88" s="24"/>
      <c r="W88" s="14">
        <f>S88+T88/2+U88+P88</f>
        <v>377.28743194192378</v>
      </c>
      <c r="Y88">
        <v>1</v>
      </c>
      <c r="Z88" t="s">
        <v>650</v>
      </c>
      <c r="AA88">
        <v>637</v>
      </c>
      <c r="AB88">
        <v>703</v>
      </c>
      <c r="AC88">
        <v>1990</v>
      </c>
    </row>
    <row r="89" spans="1:29">
      <c r="A89" t="s">
        <v>251</v>
      </c>
      <c r="B89" t="s">
        <v>255</v>
      </c>
      <c r="C89">
        <v>3</v>
      </c>
      <c r="D89" t="s">
        <v>35</v>
      </c>
      <c r="E89" s="1">
        <v>75</v>
      </c>
      <c r="F89">
        <v>218</v>
      </c>
      <c r="G89" s="1">
        <v>18</v>
      </c>
      <c r="H89" t="s">
        <v>41</v>
      </c>
      <c r="I89" t="s">
        <v>44</v>
      </c>
      <c r="J89" s="2">
        <v>62</v>
      </c>
      <c r="K89" s="23">
        <v>73.276595744680847</v>
      </c>
      <c r="L89" s="23">
        <v>99.446808510638306</v>
      </c>
      <c r="M89" s="23">
        <v>195.40425531914892</v>
      </c>
      <c r="N89" s="3" t="s">
        <v>614</v>
      </c>
      <c r="O89" s="2" t="s">
        <v>651</v>
      </c>
      <c r="P89" s="23">
        <v>118.49214659685863</v>
      </c>
      <c r="Q89" s="14">
        <v>24.956521739130434</v>
      </c>
      <c r="R89" s="14">
        <v>30.304347826086953</v>
      </c>
      <c r="S89" s="14">
        <v>55.260869565217391</v>
      </c>
      <c r="T89" s="14">
        <v>57.043478260869563</v>
      </c>
      <c r="U89" s="14">
        <v>173.87434554973822</v>
      </c>
      <c r="V89" s="24"/>
      <c r="W89" s="14">
        <f>S89+T89/2+U89+P89</f>
        <v>376.14910084224903</v>
      </c>
      <c r="Y89">
        <v>1</v>
      </c>
      <c r="Z89" t="s">
        <v>650</v>
      </c>
      <c r="AA89">
        <v>276</v>
      </c>
      <c r="AB89">
        <v>191</v>
      </c>
      <c r="AC89">
        <v>405</v>
      </c>
    </row>
    <row r="90" spans="1:29">
      <c r="A90" t="s">
        <v>498</v>
      </c>
      <c r="B90" t="s">
        <v>508</v>
      </c>
      <c r="C90">
        <v>6</v>
      </c>
      <c r="D90" t="s">
        <v>35</v>
      </c>
      <c r="E90" s="1">
        <v>73</v>
      </c>
      <c r="F90">
        <v>226</v>
      </c>
      <c r="G90" s="1">
        <v>18</v>
      </c>
      <c r="H90" t="s">
        <v>41</v>
      </c>
      <c r="I90" t="s">
        <v>43</v>
      </c>
      <c r="J90" s="2">
        <v>71</v>
      </c>
      <c r="K90" s="23">
        <v>78.510638297872347</v>
      </c>
      <c r="L90" s="23">
        <v>45.361702127659576</v>
      </c>
      <c r="M90" s="23">
        <v>174.46808510638297</v>
      </c>
      <c r="N90" s="5" t="s">
        <v>599</v>
      </c>
      <c r="O90" s="2" t="s">
        <v>651</v>
      </c>
      <c r="P90" s="23">
        <v>173.60669456066947</v>
      </c>
      <c r="Q90" s="14">
        <v>13.373390557939913</v>
      </c>
      <c r="R90" s="14">
        <v>10.557939914163089</v>
      </c>
      <c r="S90" s="14">
        <v>23.931330472103006</v>
      </c>
      <c r="T90" s="14">
        <v>51.733905579399142</v>
      </c>
      <c r="U90" s="14">
        <v>152.67782426778243</v>
      </c>
      <c r="V90" s="24"/>
      <c r="W90" s="14">
        <f>S90+T90/2+U90+P90</f>
        <v>376.08280209025452</v>
      </c>
      <c r="Y90">
        <v>0</v>
      </c>
      <c r="Z90" t="s">
        <v>650</v>
      </c>
      <c r="AA90">
        <v>506</v>
      </c>
      <c r="AB90">
        <v>239</v>
      </c>
      <c r="AC90">
        <v>445</v>
      </c>
    </row>
    <row r="91" spans="1:29">
      <c r="A91" t="s">
        <v>498</v>
      </c>
      <c r="B91" t="s">
        <v>500</v>
      </c>
      <c r="C91">
        <v>91</v>
      </c>
      <c r="D91" t="s">
        <v>65</v>
      </c>
      <c r="E91" s="1">
        <v>75</v>
      </c>
      <c r="F91">
        <v>212</v>
      </c>
      <c r="G91" s="1">
        <v>18</v>
      </c>
      <c r="H91" t="s">
        <v>42</v>
      </c>
      <c r="I91" t="s">
        <v>44</v>
      </c>
      <c r="J91" s="2">
        <v>30</v>
      </c>
      <c r="K91" s="23">
        <v>5.2340425531914887</v>
      </c>
      <c r="L91" s="23">
        <v>15.702127659574469</v>
      </c>
      <c r="M91" s="23">
        <v>45.361702127659576</v>
      </c>
      <c r="N91" s="5" t="s">
        <v>65</v>
      </c>
      <c r="O91" s="2" t="s">
        <v>651</v>
      </c>
      <c r="P91" s="23">
        <v>126.55885850178359</v>
      </c>
      <c r="Q91" s="14">
        <v>9.6009557945041824</v>
      </c>
      <c r="R91" s="14">
        <v>27.921146953405017</v>
      </c>
      <c r="S91" s="14">
        <v>37.522102747909202</v>
      </c>
      <c r="T91" s="14">
        <v>56.724014336917563</v>
      </c>
      <c r="U91" s="14">
        <v>181.84304399524376</v>
      </c>
      <c r="V91" s="24">
        <v>-5.4696789536266346E-2</v>
      </c>
      <c r="W91" s="14">
        <f>S91+T91/2+U91+P91</f>
        <v>374.28601241339533</v>
      </c>
      <c r="X91" s="22">
        <v>39</v>
      </c>
      <c r="Y91">
        <v>0</v>
      </c>
      <c r="Z91" t="s">
        <v>651</v>
      </c>
      <c r="AA91">
        <v>1298</v>
      </c>
      <c r="AB91">
        <v>841</v>
      </c>
      <c r="AC91">
        <v>1865</v>
      </c>
    </row>
    <row r="92" spans="1:29">
      <c r="A92" s="6" t="s">
        <v>148</v>
      </c>
      <c r="B92" t="s">
        <v>164</v>
      </c>
      <c r="C92">
        <v>20</v>
      </c>
      <c r="D92" t="s">
        <v>35</v>
      </c>
      <c r="E92" s="1">
        <v>77</v>
      </c>
      <c r="F92">
        <v>234</v>
      </c>
      <c r="G92" s="1">
        <v>19</v>
      </c>
      <c r="H92" t="s">
        <v>41</v>
      </c>
      <c r="I92" t="s">
        <v>44</v>
      </c>
      <c r="J92" s="2">
        <v>69</v>
      </c>
      <c r="K92" s="23">
        <v>87.234042553191486</v>
      </c>
      <c r="L92" s="23">
        <v>69.787234042553195</v>
      </c>
      <c r="M92" s="23">
        <v>123.87234042553192</v>
      </c>
      <c r="N92" s="3" t="s">
        <v>614</v>
      </c>
      <c r="O92" s="2" t="s">
        <v>651</v>
      </c>
      <c r="P92" s="23">
        <v>80.305785123966942</v>
      </c>
      <c r="Q92" s="14">
        <v>27.333333333333336</v>
      </c>
      <c r="R92" s="14">
        <v>26.308333333333334</v>
      </c>
      <c r="S92" s="14">
        <v>53.641666666666666</v>
      </c>
      <c r="T92" s="14">
        <v>52.958333333333336</v>
      </c>
      <c r="U92" s="14">
        <v>213.80991735537188</v>
      </c>
      <c r="V92" s="24"/>
      <c r="W92" s="14">
        <f>S92+T92/2+U92+P92</f>
        <v>374.23653581267212</v>
      </c>
      <c r="Y92">
        <v>1</v>
      </c>
      <c r="Z92" t="s">
        <v>650</v>
      </c>
      <c r="AA92">
        <v>237</v>
      </c>
      <c r="AB92">
        <v>242</v>
      </c>
      <c r="AC92">
        <v>631</v>
      </c>
    </row>
    <row r="93" spans="1:29">
      <c r="A93" t="s">
        <v>266</v>
      </c>
      <c r="B93" t="s">
        <v>277</v>
      </c>
      <c r="C93">
        <v>31</v>
      </c>
      <c r="D93" t="s">
        <v>34</v>
      </c>
      <c r="E93" s="1">
        <v>73</v>
      </c>
      <c r="F93">
        <v>210</v>
      </c>
      <c r="G93" s="1">
        <v>18</v>
      </c>
      <c r="H93" t="s">
        <v>41</v>
      </c>
      <c r="I93" t="s">
        <v>44</v>
      </c>
      <c r="J93" s="2">
        <v>65</v>
      </c>
      <c r="K93" s="23">
        <v>47.10638297872341</v>
      </c>
      <c r="L93" s="23">
        <v>45.361702127659576</v>
      </c>
      <c r="M93" s="23">
        <v>252.97872340425533</v>
      </c>
      <c r="N93" s="3" t="s">
        <v>600</v>
      </c>
      <c r="O93" s="2" t="s">
        <v>651</v>
      </c>
      <c r="P93" s="23">
        <v>169.07216494845358</v>
      </c>
      <c r="Q93" s="14">
        <v>12.755555555555555</v>
      </c>
      <c r="R93" s="14">
        <v>10.022222222222222</v>
      </c>
      <c r="S93" s="14">
        <v>22.777777777777779</v>
      </c>
      <c r="T93" s="14">
        <v>164.9111111111111</v>
      </c>
      <c r="U93" s="14">
        <v>98.907216494845358</v>
      </c>
      <c r="V93" s="24"/>
      <c r="W93" s="14">
        <f>S93+T93/2+U93+P93</f>
        <v>373.21271477663225</v>
      </c>
      <c r="Y93">
        <v>0</v>
      </c>
      <c r="Z93" t="s">
        <v>650</v>
      </c>
      <c r="AA93">
        <v>200</v>
      </c>
      <c r="AB93">
        <v>97</v>
      </c>
      <c r="AC93">
        <v>117</v>
      </c>
    </row>
    <row r="94" spans="1:29">
      <c r="A94" t="s">
        <v>169</v>
      </c>
      <c r="B94" t="s">
        <v>181</v>
      </c>
      <c r="C94">
        <v>24</v>
      </c>
      <c r="D94" t="s">
        <v>34</v>
      </c>
      <c r="E94" s="1">
        <v>71</v>
      </c>
      <c r="F94">
        <v>195</v>
      </c>
      <c r="G94" s="1">
        <v>19</v>
      </c>
      <c r="H94" t="s">
        <v>41</v>
      </c>
      <c r="I94" t="s">
        <v>43</v>
      </c>
      <c r="J94" s="2">
        <v>42</v>
      </c>
      <c r="K94" s="23">
        <v>69.787234042553195</v>
      </c>
      <c r="L94" s="23">
        <v>111.6595744680851</v>
      </c>
      <c r="M94" s="23">
        <v>48.851063829787229</v>
      </c>
      <c r="N94" s="5" t="s">
        <v>603</v>
      </c>
      <c r="O94" s="2" t="s">
        <v>651</v>
      </c>
      <c r="P94" s="23">
        <v>123.85863874345549</v>
      </c>
      <c r="Q94" s="14">
        <v>24.015831134564642</v>
      </c>
      <c r="R94" s="14">
        <v>33.643799472295512</v>
      </c>
      <c r="S94" s="14">
        <v>57.659630606860155</v>
      </c>
      <c r="T94" s="14">
        <v>42.189973614775724</v>
      </c>
      <c r="U94" s="14">
        <v>170.11780104712042</v>
      </c>
      <c r="V94" s="24"/>
      <c r="W94" s="14">
        <f>S94+T94/2+U94+P94</f>
        <v>372.73105720482397</v>
      </c>
      <c r="Y94">
        <v>1</v>
      </c>
      <c r="Z94" t="s">
        <v>650</v>
      </c>
      <c r="AA94">
        <v>1154</v>
      </c>
      <c r="AB94">
        <v>764</v>
      </c>
      <c r="AC94">
        <v>1585</v>
      </c>
    </row>
    <row r="95" spans="1:29">
      <c r="A95" s="6" t="s">
        <v>102</v>
      </c>
      <c r="B95" t="s">
        <v>120</v>
      </c>
      <c r="C95">
        <v>26</v>
      </c>
      <c r="D95" t="s">
        <v>34</v>
      </c>
      <c r="E95" s="1">
        <v>78</v>
      </c>
      <c r="F95">
        <v>245</v>
      </c>
      <c r="G95" s="1">
        <v>19</v>
      </c>
      <c r="H95" t="s">
        <v>41</v>
      </c>
      <c r="I95" t="s">
        <v>44</v>
      </c>
      <c r="J95" s="2">
        <v>31</v>
      </c>
      <c r="K95" s="23">
        <v>55.829787234042549</v>
      </c>
      <c r="L95" s="23">
        <v>54.085106382978722</v>
      </c>
      <c r="M95" s="23">
        <v>80.255319148936167</v>
      </c>
      <c r="N95" s="3" t="s">
        <v>631</v>
      </c>
      <c r="O95" s="2" t="s">
        <v>651</v>
      </c>
      <c r="P95" s="23">
        <v>173.61019108280254</v>
      </c>
      <c r="Q95" s="14">
        <v>13.368421052631579</v>
      </c>
      <c r="R95" s="14">
        <v>10.105263157894736</v>
      </c>
      <c r="S95" s="14">
        <v>23.473684210526315</v>
      </c>
      <c r="T95" s="14">
        <v>60.526315789473678</v>
      </c>
      <c r="U95" s="14">
        <v>142.37707006369428</v>
      </c>
      <c r="V95" s="24"/>
      <c r="W95" s="14">
        <f>S95+T95/2+U95+P95</f>
        <v>369.72410325175997</v>
      </c>
      <c r="Y95">
        <v>0</v>
      </c>
      <c r="Z95" t="s">
        <v>650</v>
      </c>
      <c r="AA95">
        <v>1662</v>
      </c>
      <c r="AB95">
        <v>785</v>
      </c>
      <c r="AC95">
        <v>1363</v>
      </c>
    </row>
    <row r="96" spans="1:29">
      <c r="A96" t="s">
        <v>397</v>
      </c>
      <c r="B96" t="s">
        <v>400</v>
      </c>
      <c r="C96">
        <v>47</v>
      </c>
      <c r="D96" t="s">
        <v>35</v>
      </c>
      <c r="E96" s="1">
        <v>73</v>
      </c>
      <c r="F96">
        <v>200</v>
      </c>
      <c r="G96" s="1">
        <v>18</v>
      </c>
      <c r="H96" t="s">
        <v>41</v>
      </c>
      <c r="I96" t="s">
        <v>43</v>
      </c>
      <c r="J96" s="2">
        <v>71</v>
      </c>
      <c r="K96" s="23">
        <v>17.446808510638299</v>
      </c>
      <c r="L96" s="23">
        <v>40.127659574468083</v>
      </c>
      <c r="M96" s="23">
        <v>214.59574468085108</v>
      </c>
      <c r="N96" s="5" t="s">
        <v>599</v>
      </c>
      <c r="O96" s="2" t="s">
        <v>651</v>
      </c>
      <c r="P96" s="23">
        <v>171.77586206896549</v>
      </c>
      <c r="Q96" s="14">
        <v>13.225806451612904</v>
      </c>
      <c r="R96" s="14">
        <v>17.905707196029777</v>
      </c>
      <c r="S96" s="14">
        <v>31.131513647642681</v>
      </c>
      <c r="T96" s="14">
        <v>51.275434243176178</v>
      </c>
      <c r="U96" s="14">
        <v>140.77339901477833</v>
      </c>
      <c r="V96" s="24"/>
      <c r="W96" s="14">
        <f>S96+T96/2+U96+P96</f>
        <v>369.3184918529746</v>
      </c>
      <c r="Y96">
        <v>0</v>
      </c>
      <c r="Z96" t="s">
        <v>650</v>
      </c>
      <c r="AA96">
        <v>1701</v>
      </c>
      <c r="AB96">
        <v>812</v>
      </c>
      <c r="AC96">
        <v>1394</v>
      </c>
    </row>
    <row r="97" spans="1:29">
      <c r="A97" t="s">
        <v>169</v>
      </c>
      <c r="B97" t="s">
        <v>179</v>
      </c>
      <c r="C97">
        <v>204</v>
      </c>
      <c r="D97" t="s">
        <v>35</v>
      </c>
      <c r="E97" s="1">
        <v>72</v>
      </c>
      <c r="F97">
        <v>194</v>
      </c>
      <c r="G97" s="1">
        <v>19</v>
      </c>
      <c r="H97" t="s">
        <v>42</v>
      </c>
      <c r="I97" t="s">
        <v>43</v>
      </c>
      <c r="J97" s="2">
        <v>69</v>
      </c>
      <c r="K97" s="23">
        <v>3.4893617021276593</v>
      </c>
      <c r="L97" s="23">
        <v>41.87234042553191</v>
      </c>
      <c r="M97" s="23">
        <v>228.55319148936169</v>
      </c>
      <c r="N97" s="5" t="s">
        <v>599</v>
      </c>
      <c r="O97" s="2" t="s">
        <v>651</v>
      </c>
      <c r="P97" s="23">
        <v>174.25</v>
      </c>
      <c r="Q97" s="14">
        <v>10.25</v>
      </c>
      <c r="R97" s="14">
        <v>10.25</v>
      </c>
      <c r="S97" s="14">
        <v>20.5</v>
      </c>
      <c r="T97" s="14">
        <v>246</v>
      </c>
      <c r="U97" s="14">
        <v>51.25</v>
      </c>
      <c r="V97" s="24">
        <v>0.125</v>
      </c>
      <c r="W97" s="14">
        <f>S97+T97/2+U97+P97</f>
        <v>369</v>
      </c>
      <c r="X97" s="22">
        <v>-2</v>
      </c>
      <c r="Y97">
        <v>0</v>
      </c>
      <c r="Z97" t="s">
        <v>650</v>
      </c>
      <c r="AA97">
        <v>17</v>
      </c>
      <c r="AB97">
        <v>8</v>
      </c>
      <c r="AC97">
        <v>5</v>
      </c>
    </row>
    <row r="98" spans="1:29">
      <c r="A98" s="6" t="s">
        <v>121</v>
      </c>
      <c r="B98" t="s">
        <v>129</v>
      </c>
      <c r="C98">
        <v>208</v>
      </c>
      <c r="D98" t="s">
        <v>37</v>
      </c>
      <c r="E98" s="1">
        <v>72</v>
      </c>
      <c r="F98">
        <v>188</v>
      </c>
      <c r="G98" s="1">
        <v>20</v>
      </c>
      <c r="H98" t="s">
        <v>41</v>
      </c>
      <c r="I98" t="s">
        <v>44</v>
      </c>
      <c r="J98" s="2">
        <v>61</v>
      </c>
      <c r="K98" s="23">
        <v>68.042553191489361</v>
      </c>
      <c r="L98" s="23">
        <v>99.446808510638306</v>
      </c>
      <c r="M98" s="23">
        <v>41.87234042553191</v>
      </c>
      <c r="N98" s="5" t="s">
        <v>614</v>
      </c>
      <c r="O98" s="2" t="s">
        <v>651</v>
      </c>
      <c r="P98" s="23">
        <v>143.13716814159292</v>
      </c>
      <c r="Q98" s="14">
        <v>18.242696629213484</v>
      </c>
      <c r="R98" s="14">
        <v>36.485393258426967</v>
      </c>
      <c r="S98" s="14">
        <v>54.728089887640444</v>
      </c>
      <c r="T98" s="14">
        <v>25.613483146067413</v>
      </c>
      <c r="U98" s="14">
        <v>156.56194690265488</v>
      </c>
      <c r="V98" s="24"/>
      <c r="W98" s="14">
        <f>S98+T98/2+U98+P98</f>
        <v>367.23394650492196</v>
      </c>
      <c r="Y98">
        <v>1</v>
      </c>
      <c r="Z98" t="s">
        <v>650</v>
      </c>
      <c r="AA98">
        <v>789</v>
      </c>
      <c r="AB98">
        <v>452</v>
      </c>
      <c r="AC98">
        <v>863</v>
      </c>
    </row>
    <row r="99" spans="1:29">
      <c r="A99" t="s">
        <v>461</v>
      </c>
      <c r="B99" t="s">
        <v>469</v>
      </c>
      <c r="C99">
        <v>13</v>
      </c>
      <c r="D99" t="s">
        <v>35</v>
      </c>
      <c r="E99" s="1">
        <v>75</v>
      </c>
      <c r="F99">
        <v>211</v>
      </c>
      <c r="G99" s="1">
        <v>18</v>
      </c>
      <c r="H99" t="s">
        <v>41</v>
      </c>
      <c r="I99" t="s">
        <v>43</v>
      </c>
      <c r="J99" s="2">
        <v>67</v>
      </c>
      <c r="K99" s="23">
        <v>45.361702127659576</v>
      </c>
      <c r="L99" s="23">
        <v>73.276595744680847</v>
      </c>
      <c r="M99" s="23">
        <v>237.27659574468086</v>
      </c>
      <c r="N99" s="3" t="s">
        <v>600</v>
      </c>
      <c r="O99" s="2" t="s">
        <v>651</v>
      </c>
      <c r="P99" s="23">
        <v>171.13765182186233</v>
      </c>
      <c r="Q99" s="14">
        <v>12.551020408163266</v>
      </c>
      <c r="R99" s="14">
        <v>14.057142857142857</v>
      </c>
      <c r="S99" s="14">
        <v>26.608163265306125</v>
      </c>
      <c r="T99" s="14">
        <v>123.66938775510205</v>
      </c>
      <c r="U99" s="14">
        <v>107.06477732793522</v>
      </c>
      <c r="V99" s="24"/>
      <c r="W99" s="14">
        <f>S99+T99/2+U99+P99</f>
        <v>366.6452862926547</v>
      </c>
      <c r="Y99">
        <v>0</v>
      </c>
      <c r="Z99" t="s">
        <v>650</v>
      </c>
      <c r="AA99">
        <v>1031</v>
      </c>
      <c r="AB99">
        <v>494</v>
      </c>
      <c r="AC99">
        <v>645</v>
      </c>
    </row>
    <row r="100" spans="1:29">
      <c r="A100" t="s">
        <v>430</v>
      </c>
      <c r="B100" t="s">
        <v>442</v>
      </c>
      <c r="C100">
        <v>79</v>
      </c>
      <c r="D100" t="s">
        <v>35</v>
      </c>
      <c r="E100" s="1">
        <v>74</v>
      </c>
      <c r="F100">
        <v>208</v>
      </c>
      <c r="G100" s="1">
        <v>20</v>
      </c>
      <c r="H100" t="s">
        <v>41</v>
      </c>
      <c r="I100" t="s">
        <v>44</v>
      </c>
      <c r="J100" s="2">
        <v>72</v>
      </c>
      <c r="K100" s="23">
        <v>38.382978723404257</v>
      </c>
      <c r="L100" s="23">
        <v>82</v>
      </c>
      <c r="M100" s="23">
        <v>237.27659574468086</v>
      </c>
      <c r="N100" s="5" t="s">
        <v>599</v>
      </c>
      <c r="O100" s="2" t="s">
        <v>651</v>
      </c>
      <c r="P100" s="23">
        <v>161.79430379746836</v>
      </c>
      <c r="Q100" s="14">
        <v>12.293460925039872</v>
      </c>
      <c r="R100" s="14">
        <v>13.339712918660286</v>
      </c>
      <c r="S100" s="14">
        <v>25.63317384370016</v>
      </c>
      <c r="T100" s="14">
        <v>91.154704944178633</v>
      </c>
      <c r="U100" s="14">
        <v>131.43354430379748</v>
      </c>
      <c r="V100" s="24"/>
      <c r="W100" s="14">
        <f>S100+T100/2+U100+P100</f>
        <v>364.43837441705534</v>
      </c>
      <c r="Y100">
        <v>0</v>
      </c>
      <c r="Z100" t="s">
        <v>650</v>
      </c>
      <c r="AA100">
        <v>1247</v>
      </c>
      <c r="AB100">
        <v>632</v>
      </c>
      <c r="AC100">
        <v>1013</v>
      </c>
    </row>
    <row r="101" spans="1:29">
      <c r="A101" t="s">
        <v>430</v>
      </c>
      <c r="B101" t="s">
        <v>440</v>
      </c>
      <c r="C101">
        <v>14</v>
      </c>
      <c r="D101" t="s">
        <v>35</v>
      </c>
      <c r="E101" s="1">
        <v>75</v>
      </c>
      <c r="F101">
        <v>220</v>
      </c>
      <c r="G101" s="1">
        <v>18</v>
      </c>
      <c r="H101" t="s">
        <v>42</v>
      </c>
      <c r="I101" t="s">
        <v>43</v>
      </c>
      <c r="J101" s="2">
        <v>76</v>
      </c>
      <c r="K101" s="23">
        <v>20.936170212765955</v>
      </c>
      <c r="L101" s="23">
        <v>62.808510638297875</v>
      </c>
      <c r="M101" s="23">
        <v>204.12765957446811</v>
      </c>
      <c r="N101" s="3" t="s">
        <v>599</v>
      </c>
      <c r="O101" s="2" t="s">
        <v>651</v>
      </c>
      <c r="P101" s="23">
        <v>157.92592592592592</v>
      </c>
      <c r="Q101" s="14">
        <v>7.664246823956443</v>
      </c>
      <c r="R101" s="14">
        <v>26.862068965517242</v>
      </c>
      <c r="S101" s="14">
        <v>34.526315789473685</v>
      </c>
      <c r="T101" s="14">
        <v>48.887477313974593</v>
      </c>
      <c r="U101" s="14">
        <v>147.40740740740739</v>
      </c>
      <c r="V101" s="24">
        <v>0.10298102981029811</v>
      </c>
      <c r="W101" s="14">
        <f>S101+T101/2+U101+P101</f>
        <v>364.30338777979432</v>
      </c>
      <c r="X101" s="22">
        <v>23</v>
      </c>
      <c r="Y101">
        <v>0</v>
      </c>
      <c r="Z101" t="s">
        <v>650</v>
      </c>
      <c r="AA101">
        <v>2132</v>
      </c>
      <c r="AB101">
        <v>1107</v>
      </c>
      <c r="AC101">
        <v>1990</v>
      </c>
    </row>
    <row r="102" spans="1:29">
      <c r="A102" t="s">
        <v>556</v>
      </c>
      <c r="B102" t="s">
        <v>569</v>
      </c>
      <c r="C102">
        <v>30</v>
      </c>
      <c r="D102" t="s">
        <v>65</v>
      </c>
      <c r="E102" s="1">
        <v>73</v>
      </c>
      <c r="F102">
        <v>202</v>
      </c>
      <c r="G102" s="1">
        <v>18</v>
      </c>
      <c r="H102" t="s">
        <v>41</v>
      </c>
      <c r="I102" t="s">
        <v>43</v>
      </c>
      <c r="J102" s="2">
        <v>49</v>
      </c>
      <c r="K102" s="23">
        <v>34.893617021276597</v>
      </c>
      <c r="L102" s="23">
        <v>43.617021276595743</v>
      </c>
      <c r="M102" s="23">
        <v>20.936170212765955</v>
      </c>
      <c r="N102" s="3" t="s">
        <v>600</v>
      </c>
      <c r="O102" s="2" t="s">
        <v>651</v>
      </c>
      <c r="P102" s="23">
        <v>107</v>
      </c>
      <c r="Q102" s="14">
        <v>24.64039408866995</v>
      </c>
      <c r="R102" s="14">
        <v>27.467980295566502</v>
      </c>
      <c r="S102" s="14">
        <v>52.108374384236456</v>
      </c>
      <c r="T102" s="14">
        <v>17.773399014778324</v>
      </c>
      <c r="U102" s="14">
        <v>195.79999999999998</v>
      </c>
      <c r="V102" s="24"/>
      <c r="W102" s="14">
        <f>S102+T102/2+U102+P102</f>
        <v>363.79507389162558</v>
      </c>
      <c r="Y102">
        <v>1</v>
      </c>
      <c r="Z102" t="s">
        <v>650</v>
      </c>
      <c r="AA102">
        <v>535</v>
      </c>
      <c r="AB102">
        <v>410</v>
      </c>
      <c r="AC102">
        <v>979</v>
      </c>
    </row>
    <row r="103" spans="1:29">
      <c r="A103" t="s">
        <v>539</v>
      </c>
      <c r="B103" t="s">
        <v>541</v>
      </c>
      <c r="C103">
        <v>9</v>
      </c>
      <c r="D103" t="s">
        <v>35</v>
      </c>
      <c r="E103" s="1">
        <v>73</v>
      </c>
      <c r="F103">
        <v>200</v>
      </c>
      <c r="G103" s="1">
        <v>18</v>
      </c>
      <c r="H103" t="s">
        <v>41</v>
      </c>
      <c r="I103" t="s">
        <v>44</v>
      </c>
      <c r="J103" s="2">
        <v>60</v>
      </c>
      <c r="K103" s="23">
        <v>48.851063829787229</v>
      </c>
      <c r="L103" s="23">
        <v>94.21276595744682</v>
      </c>
      <c r="M103" s="23">
        <v>45.361702127659576</v>
      </c>
      <c r="N103" s="5" t="s">
        <v>600</v>
      </c>
      <c r="O103" s="2" t="s">
        <v>650</v>
      </c>
      <c r="P103" s="23">
        <v>54.390173410404621</v>
      </c>
      <c r="Q103" s="14">
        <v>29.243085880640464</v>
      </c>
      <c r="R103" s="14">
        <v>34.136826783114991</v>
      </c>
      <c r="S103" s="14">
        <v>63.379912663755455</v>
      </c>
      <c r="T103" s="14">
        <v>22.5589519650655</v>
      </c>
      <c r="U103" s="14">
        <v>234.74277456647397</v>
      </c>
      <c r="V103" s="24"/>
      <c r="W103" s="14">
        <f>S103+T103/2+U103+P103</f>
        <v>363.79233662316676</v>
      </c>
      <c r="Y103">
        <v>1</v>
      </c>
      <c r="Z103" t="s">
        <v>650</v>
      </c>
      <c r="AA103">
        <v>459</v>
      </c>
      <c r="AB103">
        <v>692</v>
      </c>
      <c r="AC103">
        <v>1981</v>
      </c>
    </row>
    <row r="104" spans="1:29">
      <c r="A104" s="6" t="s">
        <v>135</v>
      </c>
      <c r="B104" t="s">
        <v>143</v>
      </c>
      <c r="C104">
        <v>96</v>
      </c>
      <c r="D104" t="s">
        <v>35</v>
      </c>
      <c r="E104" s="1">
        <v>70</v>
      </c>
      <c r="F104">
        <v>184</v>
      </c>
      <c r="G104" s="1">
        <v>19</v>
      </c>
      <c r="H104" t="s">
        <v>41</v>
      </c>
      <c r="I104" t="s">
        <v>43</v>
      </c>
      <c r="J104" s="2">
        <v>67</v>
      </c>
      <c r="K104" s="23">
        <v>55.829787234042549</v>
      </c>
      <c r="L104" s="23">
        <v>82</v>
      </c>
      <c r="M104" s="23">
        <v>38.382978723404257</v>
      </c>
      <c r="N104" s="5" t="s">
        <v>614</v>
      </c>
      <c r="O104" s="2" t="s">
        <v>651</v>
      </c>
      <c r="P104" s="23">
        <v>160.90176322418137</v>
      </c>
      <c r="Q104" s="14">
        <v>15.97948717948718</v>
      </c>
      <c r="R104" s="14">
        <v>17.451282051282053</v>
      </c>
      <c r="S104" s="14">
        <v>33.430769230769229</v>
      </c>
      <c r="T104" s="14">
        <v>28.174358974358974</v>
      </c>
      <c r="U104" s="14">
        <v>153.87909319899245</v>
      </c>
      <c r="V104" s="24"/>
      <c r="W104" s="14">
        <f>S104+T104/2+U104+P104</f>
        <v>362.29880514112256</v>
      </c>
      <c r="Y104">
        <v>0</v>
      </c>
      <c r="Z104" t="s">
        <v>650</v>
      </c>
      <c r="AA104">
        <v>779</v>
      </c>
      <c r="AB104">
        <v>397</v>
      </c>
      <c r="AC104">
        <v>745</v>
      </c>
    </row>
    <row r="105" spans="1:29">
      <c r="A105" t="s">
        <v>576</v>
      </c>
      <c r="B105" t="s">
        <v>584</v>
      </c>
      <c r="C105">
        <v>11</v>
      </c>
      <c r="D105" t="s">
        <v>592</v>
      </c>
      <c r="E105" s="1">
        <v>75</v>
      </c>
      <c r="F105">
        <v>225</v>
      </c>
      <c r="G105" s="1">
        <v>18</v>
      </c>
      <c r="H105" t="s">
        <v>41</v>
      </c>
      <c r="I105" t="s">
        <v>44</v>
      </c>
      <c r="J105" s="2">
        <f>5+1+30+5+5+3+5+6</f>
        <v>60</v>
      </c>
      <c r="K105" s="23">
        <v>82</v>
      </c>
      <c r="L105" s="23">
        <v>55.829787234042549</v>
      </c>
      <c r="M105" s="23">
        <v>87.234042553191486</v>
      </c>
      <c r="N105" s="5" t="s">
        <v>65</v>
      </c>
      <c r="O105" s="2" t="s">
        <v>651</v>
      </c>
      <c r="P105" s="23">
        <v>77.629844961240309</v>
      </c>
      <c r="Q105" s="14">
        <v>25.654970760233915</v>
      </c>
      <c r="R105" s="14">
        <v>47.23391812865497</v>
      </c>
      <c r="S105" s="14">
        <v>72.888888888888886</v>
      </c>
      <c r="T105" s="14">
        <v>22.697855750487328</v>
      </c>
      <c r="U105" s="14">
        <v>200.31201550387598</v>
      </c>
      <c r="V105" s="24"/>
      <c r="W105" s="14">
        <f>S105+T105/2+U105+P105</f>
        <v>362.1796772292488</v>
      </c>
      <c r="Y105">
        <v>1</v>
      </c>
      <c r="Z105" t="s">
        <v>650</v>
      </c>
      <c r="AA105">
        <v>977</v>
      </c>
      <c r="AB105">
        <v>1032</v>
      </c>
      <c r="AC105">
        <v>2521</v>
      </c>
    </row>
    <row r="106" spans="1:29">
      <c r="A106" t="s">
        <v>430</v>
      </c>
      <c r="B106" t="s">
        <v>444</v>
      </c>
      <c r="C106">
        <v>3</v>
      </c>
      <c r="D106" t="s">
        <v>35</v>
      </c>
      <c r="E106" s="1">
        <v>74</v>
      </c>
      <c r="F106">
        <v>201</v>
      </c>
      <c r="G106" s="1">
        <v>18</v>
      </c>
      <c r="H106" t="s">
        <v>41</v>
      </c>
      <c r="I106" t="s">
        <v>44</v>
      </c>
      <c r="J106" s="2">
        <v>48</v>
      </c>
      <c r="K106" s="23">
        <v>38.382978723404257</v>
      </c>
      <c r="L106" s="23">
        <v>33.148936170212764</v>
      </c>
      <c r="M106" s="23">
        <v>41.87234042553191</v>
      </c>
      <c r="N106" s="3" t="s">
        <v>613</v>
      </c>
      <c r="O106" s="2" t="s">
        <v>651</v>
      </c>
      <c r="P106" s="23">
        <v>50.931111111111107</v>
      </c>
      <c r="Q106" s="14">
        <v>30.326256983240224</v>
      </c>
      <c r="R106" s="14">
        <v>39.9463687150838</v>
      </c>
      <c r="S106" s="14">
        <v>70.272625698324021</v>
      </c>
      <c r="T106" s="14">
        <v>45.351955307262571</v>
      </c>
      <c r="U106" s="14">
        <v>216.93555555555557</v>
      </c>
      <c r="V106" s="24"/>
      <c r="W106" s="14">
        <f>S106+T106/2+U106+P106</f>
        <v>360.81527001862196</v>
      </c>
      <c r="Y106">
        <v>1</v>
      </c>
      <c r="Z106" t="s">
        <v>650</v>
      </c>
      <c r="AA106">
        <v>559</v>
      </c>
      <c r="AB106">
        <v>900</v>
      </c>
      <c r="AC106">
        <v>2381</v>
      </c>
    </row>
    <row r="107" spans="1:29">
      <c r="A107" t="s">
        <v>478</v>
      </c>
      <c r="B107" t="s">
        <v>491</v>
      </c>
      <c r="C107">
        <v>5</v>
      </c>
      <c r="D107" t="s">
        <v>34</v>
      </c>
      <c r="E107" s="1">
        <v>72</v>
      </c>
      <c r="F107">
        <v>202</v>
      </c>
      <c r="G107" s="1">
        <v>19</v>
      </c>
      <c r="H107" t="s">
        <v>41</v>
      </c>
      <c r="I107" t="s">
        <v>43</v>
      </c>
      <c r="J107" s="2">
        <f>39+7+7</f>
        <v>53</v>
      </c>
      <c r="K107" s="23">
        <v>34.893617021276597</v>
      </c>
      <c r="L107" s="23">
        <v>76.765957446808514</v>
      </c>
      <c r="M107" s="23">
        <v>55.829787234042549</v>
      </c>
      <c r="N107" s="3" t="s">
        <v>613</v>
      </c>
      <c r="O107" s="2" t="s">
        <v>651</v>
      </c>
      <c r="P107" s="23">
        <v>14.000000000000002</v>
      </c>
      <c r="Q107" s="14">
        <v>28.969578017664375</v>
      </c>
      <c r="R107" s="14">
        <v>38.304219823356227</v>
      </c>
      <c r="S107" s="14">
        <v>67.27379784102061</v>
      </c>
      <c r="T107" s="14">
        <v>24.624141315014718</v>
      </c>
      <c r="U107" s="14">
        <v>266.24</v>
      </c>
      <c r="V107" s="24"/>
      <c r="W107" s="14">
        <f>S107+T107/2+U107+P107</f>
        <v>359.825868498528</v>
      </c>
      <c r="Y107">
        <v>1</v>
      </c>
      <c r="Z107" t="s">
        <v>650</v>
      </c>
      <c r="AA107">
        <v>175</v>
      </c>
      <c r="AB107">
        <v>1025</v>
      </c>
      <c r="AC107">
        <v>3328</v>
      </c>
    </row>
    <row r="108" spans="1:29">
      <c r="A108" t="s">
        <v>188</v>
      </c>
      <c r="B108" t="s">
        <v>201</v>
      </c>
      <c r="C108">
        <v>15</v>
      </c>
      <c r="D108" t="s">
        <v>35</v>
      </c>
      <c r="E108" s="1">
        <v>74</v>
      </c>
      <c r="F108">
        <v>217</v>
      </c>
      <c r="G108" s="1">
        <v>19</v>
      </c>
      <c r="H108" t="s">
        <v>42</v>
      </c>
      <c r="I108" t="s">
        <v>43</v>
      </c>
      <c r="J108" s="2">
        <v>62</v>
      </c>
      <c r="K108" s="23">
        <v>24.425531914893615</v>
      </c>
      <c r="L108" s="23">
        <v>54.085106382978722</v>
      </c>
      <c r="M108" s="23">
        <v>38.382978723404257</v>
      </c>
      <c r="N108" s="3" t="s">
        <v>599</v>
      </c>
      <c r="O108" s="2" t="s">
        <v>651</v>
      </c>
      <c r="P108" s="23">
        <v>128.125</v>
      </c>
      <c r="Q108" s="14">
        <v>10.637837837837839</v>
      </c>
      <c r="R108" s="14">
        <v>25.264864864864865</v>
      </c>
      <c r="S108" s="14">
        <v>35.902702702702705</v>
      </c>
      <c r="T108" s="14">
        <v>19.945945945945947</v>
      </c>
      <c r="U108" s="14">
        <v>185.35416666666666</v>
      </c>
      <c r="V108" s="24">
        <v>9.8958333333333329E-2</v>
      </c>
      <c r="W108" s="14">
        <f>S108+T108/2+U108+P108</f>
        <v>359.35484234234235</v>
      </c>
      <c r="X108" s="22">
        <v>28</v>
      </c>
      <c r="Y108">
        <v>0</v>
      </c>
      <c r="Z108" t="s">
        <v>650</v>
      </c>
      <c r="AA108">
        <v>300</v>
      </c>
      <c r="AB108">
        <v>192</v>
      </c>
      <c r="AC108">
        <v>434</v>
      </c>
    </row>
    <row r="109" spans="1:29">
      <c r="A109" s="6" t="s">
        <v>148</v>
      </c>
      <c r="B109" t="s">
        <v>158</v>
      </c>
      <c r="C109">
        <v>29</v>
      </c>
      <c r="D109" t="s">
        <v>35</v>
      </c>
      <c r="E109" s="1">
        <v>73</v>
      </c>
      <c r="F109">
        <v>210</v>
      </c>
      <c r="G109" s="1">
        <v>19</v>
      </c>
      <c r="H109" t="s">
        <v>42</v>
      </c>
      <c r="I109" t="s">
        <v>43</v>
      </c>
      <c r="J109" s="2">
        <v>59</v>
      </c>
      <c r="K109" s="23">
        <v>24.425531914893615</v>
      </c>
      <c r="L109" s="23">
        <v>43.617021276595743</v>
      </c>
      <c r="M109" s="23">
        <v>160.51063829787233</v>
      </c>
      <c r="N109" s="5" t="s">
        <v>599</v>
      </c>
      <c r="O109" s="2" t="s">
        <v>651</v>
      </c>
      <c r="P109" s="23">
        <v>102.01877934272301</v>
      </c>
      <c r="Q109" s="14">
        <v>14.294464075382804</v>
      </c>
      <c r="R109" s="14">
        <v>33.418138987043584</v>
      </c>
      <c r="S109" s="14">
        <v>47.712603062426389</v>
      </c>
      <c r="T109" s="14">
        <v>55.632508833922266</v>
      </c>
      <c r="U109" s="14">
        <v>181.03521126760563</v>
      </c>
      <c r="V109" s="24">
        <v>4.6948356807511738E-3</v>
      </c>
      <c r="W109" s="14">
        <f>S109+T109/2+U109+P109</f>
        <v>358.58284808971615</v>
      </c>
      <c r="X109" s="22">
        <v>81</v>
      </c>
      <c r="Y109">
        <v>1</v>
      </c>
      <c r="Z109" t="s">
        <v>650</v>
      </c>
      <c r="AA109">
        <v>1060</v>
      </c>
      <c r="AB109">
        <v>852</v>
      </c>
      <c r="AC109">
        <v>1881</v>
      </c>
    </row>
    <row r="110" spans="1:29">
      <c r="A110" t="s">
        <v>322</v>
      </c>
      <c r="B110" t="s">
        <v>330</v>
      </c>
      <c r="C110">
        <v>1</v>
      </c>
      <c r="D110" t="s">
        <v>34</v>
      </c>
      <c r="E110" s="1">
        <v>76</v>
      </c>
      <c r="F110">
        <v>225</v>
      </c>
      <c r="G110" s="1">
        <v>18</v>
      </c>
      <c r="H110" t="s">
        <v>42</v>
      </c>
      <c r="I110" t="s">
        <v>43</v>
      </c>
      <c r="J110" s="2">
        <f>36+11+7+6</f>
        <v>60</v>
      </c>
      <c r="K110" s="23">
        <v>36.638297872340424</v>
      </c>
      <c r="L110" s="23">
        <v>73.276595744680847</v>
      </c>
      <c r="M110" s="23">
        <v>232.04255319148939</v>
      </c>
      <c r="N110" s="5" t="s">
        <v>608</v>
      </c>
      <c r="O110" s="2" t="s">
        <v>651</v>
      </c>
      <c r="P110" s="23">
        <v>126.32432432432432</v>
      </c>
      <c r="Q110" s="14">
        <v>8.6549391069012174</v>
      </c>
      <c r="R110" s="14">
        <v>23.745602165087956</v>
      </c>
      <c r="S110" s="14">
        <v>32.400541271989177</v>
      </c>
      <c r="T110" s="14">
        <v>51.263870094722598</v>
      </c>
      <c r="U110" s="14">
        <v>173.41891891891893</v>
      </c>
      <c r="V110" s="24">
        <v>-5.675675675675676E-2</v>
      </c>
      <c r="W110" s="14">
        <f>S110+T110/2+U110+P110</f>
        <v>357.77571956259374</v>
      </c>
      <c r="X110" s="22">
        <v>20</v>
      </c>
      <c r="Y110">
        <v>0</v>
      </c>
      <c r="Z110" t="s">
        <v>651</v>
      </c>
      <c r="AA110">
        <v>1140</v>
      </c>
      <c r="AB110">
        <v>740</v>
      </c>
      <c r="AC110">
        <v>1565</v>
      </c>
    </row>
    <row r="111" spans="1:29">
      <c r="A111" t="s">
        <v>498</v>
      </c>
      <c r="B111" t="s">
        <v>509</v>
      </c>
      <c r="C111">
        <v>23</v>
      </c>
      <c r="D111" t="s">
        <v>34</v>
      </c>
      <c r="E111" s="1">
        <v>73</v>
      </c>
      <c r="F111">
        <v>208</v>
      </c>
      <c r="G111" s="1">
        <v>18</v>
      </c>
      <c r="H111" t="s">
        <v>41</v>
      </c>
      <c r="I111" t="s">
        <v>43</v>
      </c>
      <c r="J111" s="2">
        <f>57+4+5+5</f>
        <v>71</v>
      </c>
      <c r="K111" s="23">
        <v>82</v>
      </c>
      <c r="L111" s="23">
        <v>69.787234042553195</v>
      </c>
      <c r="M111" s="23">
        <v>80.255319148936167</v>
      </c>
      <c r="N111" s="5" t="s">
        <v>608</v>
      </c>
      <c r="O111" s="2" t="s">
        <v>651</v>
      </c>
      <c r="P111" s="23">
        <v>32.023668639053255</v>
      </c>
      <c r="Q111" s="14">
        <v>34.711656441717793</v>
      </c>
      <c r="R111" s="14">
        <v>35.214723926380366</v>
      </c>
      <c r="S111" s="14">
        <v>69.926380368098151</v>
      </c>
      <c r="T111" s="14">
        <v>24.14723926380368</v>
      </c>
      <c r="U111" s="14">
        <v>242.60355029585799</v>
      </c>
      <c r="V111" s="24"/>
      <c r="W111" s="14">
        <f>S111+T111/2+U111+P111</f>
        <v>356.62721893491124</v>
      </c>
      <c r="Y111">
        <v>1</v>
      </c>
      <c r="Z111" t="s">
        <v>650</v>
      </c>
      <c r="AA111">
        <v>66</v>
      </c>
      <c r="AB111">
        <v>169</v>
      </c>
      <c r="AC111">
        <v>500</v>
      </c>
    </row>
    <row r="112" spans="1:29">
      <c r="A112" t="s">
        <v>556</v>
      </c>
      <c r="B112" t="s">
        <v>557</v>
      </c>
      <c r="C112">
        <v>20</v>
      </c>
      <c r="D112" t="s">
        <v>35</v>
      </c>
      <c r="E112" s="1">
        <v>72</v>
      </c>
      <c r="F112">
        <v>201</v>
      </c>
      <c r="G112" s="1">
        <v>18</v>
      </c>
      <c r="H112" t="s">
        <v>42</v>
      </c>
      <c r="I112" t="s">
        <v>44</v>
      </c>
      <c r="J112" s="2">
        <v>64</v>
      </c>
      <c r="K112" s="23">
        <v>27.914893617021274</v>
      </c>
      <c r="L112" s="23">
        <v>82</v>
      </c>
      <c r="M112" s="23">
        <v>143.06382978723406</v>
      </c>
      <c r="N112" s="5" t="s">
        <v>600</v>
      </c>
      <c r="O112" s="2" t="s">
        <v>651</v>
      </c>
      <c r="P112" s="23">
        <v>189.01916932907346</v>
      </c>
      <c r="Q112" s="14">
        <v>7.2160000000000002</v>
      </c>
      <c r="R112" s="14">
        <v>22.304000000000002</v>
      </c>
      <c r="S112" s="14">
        <v>29.520000000000003</v>
      </c>
      <c r="T112" s="14">
        <v>34.374400000000001</v>
      </c>
      <c r="U112" s="14">
        <v>120.77316293929712</v>
      </c>
      <c r="V112" s="24">
        <v>-4.7923322683706068E-2</v>
      </c>
      <c r="W112" s="14">
        <f>S112+T112/2+U112+P112</f>
        <v>356.49953226837056</v>
      </c>
      <c r="X112" s="22">
        <v>12</v>
      </c>
      <c r="Y112">
        <v>0</v>
      </c>
      <c r="Z112" t="s">
        <v>651</v>
      </c>
      <c r="AA112">
        <v>1443</v>
      </c>
      <c r="AB112">
        <v>626</v>
      </c>
      <c r="AC112">
        <v>922</v>
      </c>
    </row>
    <row r="113" spans="1:29">
      <c r="A113" s="6" t="s">
        <v>87</v>
      </c>
      <c r="B113" t="s">
        <v>94</v>
      </c>
      <c r="C113">
        <v>45</v>
      </c>
      <c r="D113" t="s">
        <v>34</v>
      </c>
      <c r="E113" s="1">
        <v>75</v>
      </c>
      <c r="F113">
        <v>197</v>
      </c>
      <c r="G113" s="1">
        <v>19</v>
      </c>
      <c r="H113" t="s">
        <v>42</v>
      </c>
      <c r="I113" t="s">
        <v>43</v>
      </c>
      <c r="J113" s="2">
        <v>81</v>
      </c>
      <c r="K113" s="23">
        <v>13.957446808510637</v>
      </c>
      <c r="L113" s="23">
        <v>61.063829787234042</v>
      </c>
      <c r="M113" s="23">
        <v>160.51063829787233</v>
      </c>
      <c r="N113" s="5" t="s">
        <v>608</v>
      </c>
      <c r="O113" s="2" t="s">
        <v>651</v>
      </c>
      <c r="P113" s="23">
        <v>166.96075353218211</v>
      </c>
      <c r="Q113" s="14">
        <v>7.7971473851030106</v>
      </c>
      <c r="R113" s="14">
        <v>21.442155309033279</v>
      </c>
      <c r="S113" s="14">
        <v>29.239302694136292</v>
      </c>
      <c r="T113" s="14">
        <v>32.61806656101426</v>
      </c>
      <c r="U113" s="14">
        <v>143.78963893249608</v>
      </c>
      <c r="V113" s="24">
        <v>-0.17111459968602827</v>
      </c>
      <c r="W113" s="14">
        <f>S113+T113/2+U113+P113</f>
        <v>356.29872843932162</v>
      </c>
      <c r="X113" s="22">
        <v>10</v>
      </c>
      <c r="Y113">
        <v>0</v>
      </c>
      <c r="Z113" t="s">
        <v>651</v>
      </c>
      <c r="AA113">
        <v>1297</v>
      </c>
      <c r="AB113">
        <v>637</v>
      </c>
      <c r="AC113">
        <v>1117</v>
      </c>
    </row>
    <row r="114" spans="1:29">
      <c r="A114" t="s">
        <v>576</v>
      </c>
      <c r="B114" t="s">
        <v>580</v>
      </c>
      <c r="C114">
        <v>35</v>
      </c>
      <c r="D114" t="s">
        <v>35</v>
      </c>
      <c r="E114" s="1">
        <v>74</v>
      </c>
      <c r="F114">
        <v>211</v>
      </c>
      <c r="G114" s="1">
        <v>18</v>
      </c>
      <c r="H114" t="s">
        <v>41</v>
      </c>
      <c r="I114" t="s">
        <v>44</v>
      </c>
      <c r="J114" s="2">
        <v>66</v>
      </c>
      <c r="K114" s="23">
        <v>27.914893617021274</v>
      </c>
      <c r="L114" s="23">
        <v>20.936170212765955</v>
      </c>
      <c r="M114" s="23">
        <v>259.95744680851061</v>
      </c>
      <c r="N114" s="5" t="s">
        <v>600</v>
      </c>
      <c r="O114" s="2" t="s">
        <v>651</v>
      </c>
      <c r="P114" s="23">
        <v>181.6635220125786</v>
      </c>
      <c r="Q114" s="14">
        <v>7.2888888888888896</v>
      </c>
      <c r="R114" s="14">
        <v>8.4603174603174605</v>
      </c>
      <c r="S114" s="14">
        <v>15.74920634920635</v>
      </c>
      <c r="T114" s="14">
        <v>102.95555555555556</v>
      </c>
      <c r="U114" s="14">
        <v>107.39937106918239</v>
      </c>
      <c r="V114" s="24"/>
      <c r="W114" s="14">
        <f>S114+T114/2+U114+P114</f>
        <v>356.28987720874511</v>
      </c>
      <c r="Y114">
        <v>0</v>
      </c>
      <c r="Z114" t="s">
        <v>650</v>
      </c>
      <c r="AA114">
        <v>1409</v>
      </c>
      <c r="AB114">
        <v>636</v>
      </c>
      <c r="AC114">
        <v>833</v>
      </c>
    </row>
    <row r="115" spans="1:29">
      <c r="A115" t="s">
        <v>251</v>
      </c>
      <c r="B115" t="s">
        <v>252</v>
      </c>
      <c r="C115">
        <v>157</v>
      </c>
      <c r="D115" t="s">
        <v>34</v>
      </c>
      <c r="E115" s="1">
        <v>68</v>
      </c>
      <c r="F115">
        <v>175</v>
      </c>
      <c r="G115" s="1">
        <v>19</v>
      </c>
      <c r="H115" t="s">
        <v>41</v>
      </c>
      <c r="I115" t="s">
        <v>43</v>
      </c>
      <c r="J115" s="2">
        <v>28</v>
      </c>
      <c r="K115" s="23">
        <v>45.361702127659576</v>
      </c>
      <c r="L115" s="23">
        <v>64.553191489361708</v>
      </c>
      <c r="M115" s="23">
        <v>17.446808510638299</v>
      </c>
      <c r="N115" s="3" t="s">
        <v>623</v>
      </c>
      <c r="O115" s="2" t="s">
        <v>651</v>
      </c>
      <c r="P115" s="23">
        <v>46.032490974729242</v>
      </c>
      <c r="Q115" s="14">
        <v>28.332723948811697</v>
      </c>
      <c r="R115" s="14">
        <v>24.585009140767824</v>
      </c>
      <c r="S115" s="14">
        <v>52.917733089579521</v>
      </c>
      <c r="T115" s="14">
        <v>20.987202925045704</v>
      </c>
      <c r="U115" s="14">
        <v>246.59205776173286</v>
      </c>
      <c r="V115" s="24"/>
      <c r="W115" s="14">
        <f>S115+T115/2+U115+P115</f>
        <v>356.03588328856443</v>
      </c>
      <c r="Y115">
        <v>1</v>
      </c>
      <c r="Z115" t="s">
        <v>650</v>
      </c>
      <c r="AA115">
        <v>311</v>
      </c>
      <c r="AB115">
        <v>554</v>
      </c>
      <c r="AC115">
        <v>1666</v>
      </c>
    </row>
    <row r="116" spans="1:29">
      <c r="A116" s="6" t="s">
        <v>102</v>
      </c>
      <c r="B116" t="s">
        <v>106</v>
      </c>
      <c r="C116">
        <v>1</v>
      </c>
      <c r="D116" t="s">
        <v>35</v>
      </c>
      <c r="E116" s="1">
        <v>76</v>
      </c>
      <c r="F116">
        <v>220</v>
      </c>
      <c r="G116" s="1">
        <v>18</v>
      </c>
      <c r="H116" t="s">
        <v>42</v>
      </c>
      <c r="I116" t="s">
        <v>43</v>
      </c>
      <c r="J116" s="2">
        <f>5+58+2+7</f>
        <v>72</v>
      </c>
      <c r="K116" s="23">
        <v>45.361702127659576</v>
      </c>
      <c r="L116" s="23">
        <v>59.319148936170215</v>
      </c>
      <c r="M116" s="23">
        <v>169.2340425531915</v>
      </c>
      <c r="N116" s="3" t="s">
        <v>600</v>
      </c>
      <c r="O116" s="2" t="s">
        <v>651</v>
      </c>
      <c r="P116" s="23">
        <v>94.388489208633089</v>
      </c>
      <c r="Q116" s="14">
        <v>13.5669099756691</v>
      </c>
      <c r="R116" s="14">
        <v>22.545012165450121</v>
      </c>
      <c r="S116" s="14">
        <v>36.111922141119223</v>
      </c>
      <c r="T116" s="14">
        <v>51.274939172749392</v>
      </c>
      <c r="U116" s="14">
        <v>199.19904076738609</v>
      </c>
      <c r="V116" s="24">
        <v>5.5155875299760189E-2</v>
      </c>
      <c r="W116" s="14">
        <f>S116+T116/2+U116+P116</f>
        <v>355.3369217035131</v>
      </c>
      <c r="X116" s="22">
        <v>32</v>
      </c>
      <c r="Y116">
        <v>0</v>
      </c>
      <c r="Z116" t="s">
        <v>650</v>
      </c>
      <c r="AA116">
        <v>480</v>
      </c>
      <c r="AB116">
        <v>417</v>
      </c>
      <c r="AC116">
        <v>1013</v>
      </c>
    </row>
    <row r="117" spans="1:29">
      <c r="A117" t="s">
        <v>283</v>
      </c>
      <c r="B117" t="s">
        <v>296</v>
      </c>
      <c r="C117">
        <v>100</v>
      </c>
      <c r="D117" t="s">
        <v>34</v>
      </c>
      <c r="E117" s="1">
        <v>74</v>
      </c>
      <c r="F117">
        <v>195</v>
      </c>
      <c r="G117" s="1">
        <v>18</v>
      </c>
      <c r="H117" t="s">
        <v>41</v>
      </c>
      <c r="I117" t="s">
        <v>44</v>
      </c>
      <c r="J117" s="2">
        <v>21</v>
      </c>
      <c r="K117" s="23">
        <v>13.957446808510637</v>
      </c>
      <c r="L117" s="23">
        <v>17.446808510638299</v>
      </c>
      <c r="M117" s="23">
        <v>31.404255319148938</v>
      </c>
      <c r="N117" s="5" t="s">
        <v>631</v>
      </c>
      <c r="O117" s="2" t="s">
        <v>651</v>
      </c>
      <c r="P117" s="23">
        <v>99.70044052863436</v>
      </c>
      <c r="Q117" s="14">
        <v>14.536363636363637</v>
      </c>
      <c r="R117" s="14">
        <v>14.536363636363637</v>
      </c>
      <c r="S117" s="14">
        <v>29.072727272727274</v>
      </c>
      <c r="T117" s="14">
        <v>102.5</v>
      </c>
      <c r="U117" s="14">
        <v>175.19823788546256</v>
      </c>
      <c r="V117" s="24"/>
      <c r="W117" s="14">
        <f>S117+T117/2+U117+P117</f>
        <v>355.2214056868242</v>
      </c>
      <c r="Y117">
        <v>0</v>
      </c>
      <c r="Z117" t="s">
        <v>650</v>
      </c>
      <c r="AA117">
        <v>276</v>
      </c>
      <c r="AB117">
        <v>227</v>
      </c>
      <c r="AC117">
        <v>485</v>
      </c>
    </row>
    <row r="118" spans="1:29">
      <c r="A118" t="s">
        <v>306</v>
      </c>
      <c r="B118" t="s">
        <v>321</v>
      </c>
      <c r="C118">
        <v>26</v>
      </c>
      <c r="D118" t="s">
        <v>35</v>
      </c>
      <c r="E118" s="1">
        <v>72</v>
      </c>
      <c r="F118">
        <v>200</v>
      </c>
      <c r="G118" s="1">
        <v>19</v>
      </c>
      <c r="H118" t="s">
        <v>41</v>
      </c>
      <c r="I118" t="s">
        <v>43</v>
      </c>
      <c r="J118" s="2">
        <v>70</v>
      </c>
      <c r="K118" s="23">
        <v>68.042553191489361</v>
      </c>
      <c r="L118" s="23">
        <v>76.765957446808514</v>
      </c>
      <c r="M118" s="23">
        <v>130.85106382978722</v>
      </c>
      <c r="N118" s="5" t="s">
        <v>614</v>
      </c>
      <c r="O118" s="2" t="s">
        <v>651</v>
      </c>
      <c r="P118" s="23">
        <v>104.0964153275649</v>
      </c>
      <c r="Q118" s="14">
        <v>21.266832917705734</v>
      </c>
      <c r="R118" s="14">
        <v>30.980049875311721</v>
      </c>
      <c r="S118" s="14">
        <v>52.246882793017456</v>
      </c>
      <c r="T118" s="14">
        <v>63.187032418952619</v>
      </c>
      <c r="U118" s="14">
        <v>166.63535228677378</v>
      </c>
      <c r="V118" s="24"/>
      <c r="W118" s="14">
        <f>S118+T118/2+U118+P118</f>
        <v>354.57216661683242</v>
      </c>
      <c r="Y118">
        <v>1</v>
      </c>
      <c r="Z118" t="s">
        <v>650</v>
      </c>
      <c r="AA118">
        <v>1027</v>
      </c>
      <c r="AB118">
        <v>809</v>
      </c>
      <c r="AC118">
        <v>1644</v>
      </c>
    </row>
    <row r="119" spans="1:29">
      <c r="A119" s="6" t="s">
        <v>102</v>
      </c>
      <c r="B119" t="s">
        <v>108</v>
      </c>
      <c r="C119">
        <v>130</v>
      </c>
      <c r="D119" t="s">
        <v>35</v>
      </c>
      <c r="E119" s="1">
        <v>72</v>
      </c>
      <c r="F119">
        <v>180</v>
      </c>
      <c r="G119" s="1">
        <v>20</v>
      </c>
      <c r="H119" t="s">
        <v>41</v>
      </c>
      <c r="I119" t="s">
        <v>44</v>
      </c>
      <c r="J119" s="2">
        <v>62</v>
      </c>
      <c r="K119" s="23">
        <v>90.723404255319153</v>
      </c>
      <c r="L119" s="23">
        <v>73.276595744680847</v>
      </c>
      <c r="M119" s="23">
        <v>150.04255319148936</v>
      </c>
      <c r="N119" s="5" t="s">
        <v>614</v>
      </c>
      <c r="O119" s="2" t="s">
        <v>651</v>
      </c>
      <c r="P119" s="23">
        <v>39.454545454545453</v>
      </c>
      <c r="Q119" s="14">
        <v>28.008988764044943</v>
      </c>
      <c r="R119" s="14">
        <v>30.220224719101122</v>
      </c>
      <c r="S119" s="14">
        <v>58.229213483146061</v>
      </c>
      <c r="T119" s="14">
        <v>29.298876404494379</v>
      </c>
      <c r="U119" s="14">
        <v>240.18181818181819</v>
      </c>
      <c r="V119" s="24"/>
      <c r="W119" s="14">
        <f>S119+T119/2+U119+P119</f>
        <v>352.51501532175689</v>
      </c>
      <c r="Y119">
        <v>1</v>
      </c>
      <c r="Z119" t="s">
        <v>650</v>
      </c>
      <c r="AA119">
        <v>217</v>
      </c>
      <c r="AB119">
        <v>451</v>
      </c>
      <c r="AC119">
        <v>1321</v>
      </c>
    </row>
    <row r="120" spans="1:29">
      <c r="A120" t="s">
        <v>556</v>
      </c>
      <c r="B120" t="s">
        <v>561</v>
      </c>
      <c r="C120">
        <v>3</v>
      </c>
      <c r="D120" t="s">
        <v>35</v>
      </c>
      <c r="E120" s="1">
        <v>77</v>
      </c>
      <c r="F120">
        <v>217</v>
      </c>
      <c r="G120" s="1">
        <v>18</v>
      </c>
      <c r="H120" t="s">
        <v>42</v>
      </c>
      <c r="I120" t="s">
        <v>43</v>
      </c>
      <c r="J120" s="2">
        <v>47</v>
      </c>
      <c r="K120" s="23">
        <v>3.4893617021276593</v>
      </c>
      <c r="L120" s="23">
        <v>40.127659574468083</v>
      </c>
      <c r="M120" s="23">
        <v>125.61702127659575</v>
      </c>
      <c r="N120" s="3" t="s">
        <v>600</v>
      </c>
      <c r="O120" s="2" t="s">
        <v>651</v>
      </c>
      <c r="P120" s="23">
        <v>195.06313645621182</v>
      </c>
      <c r="Q120" s="14">
        <v>2.862422997946612</v>
      </c>
      <c r="R120" s="14">
        <v>8.2505133470225864</v>
      </c>
      <c r="S120" s="14">
        <v>11.112936344969199</v>
      </c>
      <c r="T120" s="14">
        <v>85.535934291581114</v>
      </c>
      <c r="U120" s="14">
        <v>103.54378818737271</v>
      </c>
      <c r="V120" s="24">
        <v>-0.17107942973523421</v>
      </c>
      <c r="W120" s="14">
        <f>S120+T120/2+U120+P120</f>
        <v>352.48782813434428</v>
      </c>
      <c r="X120" s="22">
        <v>-49</v>
      </c>
      <c r="Y120">
        <v>0</v>
      </c>
      <c r="Z120" t="s">
        <v>651</v>
      </c>
      <c r="AA120">
        <v>1168</v>
      </c>
      <c r="AB120">
        <v>491</v>
      </c>
      <c r="AC120">
        <v>620</v>
      </c>
    </row>
    <row r="121" spans="1:29">
      <c r="A121" t="s">
        <v>188</v>
      </c>
      <c r="B121" t="s">
        <v>191</v>
      </c>
      <c r="C121">
        <v>6</v>
      </c>
      <c r="D121" t="s">
        <v>35</v>
      </c>
      <c r="E121" s="1">
        <v>73</v>
      </c>
      <c r="F121">
        <v>202</v>
      </c>
      <c r="G121" s="1">
        <v>19</v>
      </c>
      <c r="H121" t="s">
        <v>41</v>
      </c>
      <c r="I121" t="s">
        <v>44</v>
      </c>
      <c r="J121" s="2">
        <v>58</v>
      </c>
      <c r="K121" s="23">
        <v>76.765957446808514</v>
      </c>
      <c r="L121" s="23">
        <v>125.61702127659575</v>
      </c>
      <c r="M121" s="23">
        <v>160.51063829787233</v>
      </c>
      <c r="N121" s="3" t="s">
        <v>614</v>
      </c>
      <c r="O121" s="2" t="s">
        <v>651</v>
      </c>
      <c r="P121" s="23">
        <v>117.3448275862069</v>
      </c>
      <c r="Q121" s="14">
        <v>18.53913043478261</v>
      </c>
      <c r="R121" s="14">
        <v>28.929192546583852</v>
      </c>
      <c r="S121" s="14">
        <v>47.468322981366462</v>
      </c>
      <c r="T121" s="14">
        <v>40.643478260869564</v>
      </c>
      <c r="U121" s="14">
        <v>166.72660098522167</v>
      </c>
      <c r="V121" s="24"/>
      <c r="W121" s="14">
        <f>S121+T121/2+U121+P121</f>
        <v>351.86149068322982</v>
      </c>
      <c r="Y121">
        <v>1</v>
      </c>
      <c r="Z121" t="s">
        <v>650</v>
      </c>
      <c r="AA121">
        <v>1162</v>
      </c>
      <c r="AB121">
        <v>812</v>
      </c>
      <c r="AC121">
        <v>1651</v>
      </c>
    </row>
    <row r="122" spans="1:29">
      <c r="A122" t="s">
        <v>306</v>
      </c>
      <c r="B122" t="s">
        <v>307</v>
      </c>
      <c r="C122">
        <v>176</v>
      </c>
      <c r="D122" t="s">
        <v>35</v>
      </c>
      <c r="E122" s="1">
        <v>74</v>
      </c>
      <c r="F122">
        <v>205</v>
      </c>
      <c r="G122" s="1">
        <v>18</v>
      </c>
      <c r="H122" t="s">
        <v>41</v>
      </c>
      <c r="I122" t="s">
        <v>44</v>
      </c>
      <c r="J122" s="2">
        <v>46</v>
      </c>
      <c r="K122" s="23">
        <v>27.914893617021274</v>
      </c>
      <c r="L122" s="23">
        <v>57.574468085106382</v>
      </c>
      <c r="M122" s="23">
        <v>20.936170212765955</v>
      </c>
      <c r="N122" s="5" t="s">
        <v>614</v>
      </c>
      <c r="O122" s="2" t="s">
        <v>651</v>
      </c>
      <c r="P122" s="23">
        <v>231.6825396825397</v>
      </c>
      <c r="Q122" s="14">
        <v>10.412698412698413</v>
      </c>
      <c r="R122" s="14">
        <v>9.1111111111111107</v>
      </c>
      <c r="S122" s="14">
        <v>19.523809523809526</v>
      </c>
      <c r="T122" s="14">
        <v>28.634920634920636</v>
      </c>
      <c r="U122" s="14">
        <v>84.603174603174608</v>
      </c>
      <c r="V122" s="24"/>
      <c r="W122" s="14">
        <f>S122+T122/2+U122+P122</f>
        <v>350.12698412698415</v>
      </c>
      <c r="Y122">
        <v>0</v>
      </c>
      <c r="Z122" t="s">
        <v>650</v>
      </c>
      <c r="AA122">
        <v>178</v>
      </c>
      <c r="AB122">
        <v>63</v>
      </c>
      <c r="AC122">
        <v>65</v>
      </c>
    </row>
    <row r="123" spans="1:29">
      <c r="A123" t="s">
        <v>234</v>
      </c>
      <c r="B123" t="s">
        <v>244</v>
      </c>
      <c r="C123">
        <v>5</v>
      </c>
      <c r="D123" t="s">
        <v>119</v>
      </c>
      <c r="E123" s="1">
        <v>74</v>
      </c>
      <c r="F123">
        <v>218</v>
      </c>
      <c r="G123" s="1">
        <v>18</v>
      </c>
      <c r="H123" t="s">
        <v>41</v>
      </c>
      <c r="I123" t="s">
        <v>44</v>
      </c>
      <c r="J123" s="2">
        <v>65</v>
      </c>
      <c r="K123" s="23">
        <v>62.808510638297875</v>
      </c>
      <c r="L123" s="23">
        <v>41.87234042553191</v>
      </c>
      <c r="M123" s="23">
        <v>118.63829787234043</v>
      </c>
      <c r="N123" s="5" t="s">
        <v>599</v>
      </c>
      <c r="O123" s="2" t="s">
        <v>651</v>
      </c>
      <c r="P123" s="23">
        <v>130.73309608540924</v>
      </c>
      <c r="Q123" s="14">
        <v>19.059459459459458</v>
      </c>
      <c r="R123" s="14">
        <v>20.980180180180177</v>
      </c>
      <c r="S123" s="14">
        <v>40.039639639639638</v>
      </c>
      <c r="T123" s="14">
        <v>38.56216216216216</v>
      </c>
      <c r="U123" s="14">
        <v>157.87188612099644</v>
      </c>
      <c r="V123" s="24"/>
      <c r="W123" s="14">
        <f>S123+T123/2+U123+P123</f>
        <v>347.92570292712639</v>
      </c>
      <c r="Y123">
        <v>0</v>
      </c>
      <c r="Z123" t="s">
        <v>650</v>
      </c>
      <c r="AA123">
        <v>896</v>
      </c>
      <c r="AB123">
        <v>562</v>
      </c>
      <c r="AC123">
        <v>1082</v>
      </c>
    </row>
    <row r="124" spans="1:29">
      <c r="A124" t="s">
        <v>510</v>
      </c>
      <c r="B124" t="s">
        <v>517</v>
      </c>
      <c r="C124">
        <v>66</v>
      </c>
      <c r="D124" t="s">
        <v>35</v>
      </c>
      <c r="E124" s="1">
        <v>76</v>
      </c>
      <c r="F124">
        <v>212</v>
      </c>
      <c r="G124" s="1">
        <v>18</v>
      </c>
      <c r="H124" t="s">
        <v>42</v>
      </c>
      <c r="I124" t="s">
        <v>44</v>
      </c>
      <c r="J124" s="2">
        <v>73</v>
      </c>
      <c r="K124" s="23">
        <v>17.446808510638299</v>
      </c>
      <c r="L124" s="23">
        <v>45.361702127659576</v>
      </c>
      <c r="M124" s="23">
        <v>247.74468085106383</v>
      </c>
      <c r="N124" s="3" t="s">
        <v>599</v>
      </c>
      <c r="O124" s="2" t="s">
        <v>651</v>
      </c>
      <c r="P124" s="23">
        <v>208.76235294117646</v>
      </c>
      <c r="Q124" s="14">
        <v>3.5142857142857142</v>
      </c>
      <c r="R124" s="14">
        <v>13.276190476190477</v>
      </c>
      <c r="S124" s="14">
        <v>16.790476190476191</v>
      </c>
      <c r="T124" s="14">
        <v>68.919047619047618</v>
      </c>
      <c r="U124" s="14">
        <v>86.051764705882348</v>
      </c>
      <c r="V124" s="24">
        <v>0.14352941176470588</v>
      </c>
      <c r="W124" s="14">
        <f>S124+T124/2+U124+P124</f>
        <v>346.06411764705882</v>
      </c>
      <c r="X124" s="22">
        <v>-15</v>
      </c>
      <c r="Y124">
        <v>0</v>
      </c>
      <c r="Z124" t="s">
        <v>650</v>
      </c>
      <c r="AA124">
        <v>1082</v>
      </c>
      <c r="AB124">
        <v>425</v>
      </c>
      <c r="AC124">
        <v>446</v>
      </c>
    </row>
    <row r="125" spans="1:29">
      <c r="A125" t="s">
        <v>354</v>
      </c>
      <c r="B125" t="s">
        <v>338</v>
      </c>
      <c r="C125">
        <v>112</v>
      </c>
      <c r="D125" t="s">
        <v>65</v>
      </c>
      <c r="E125" s="1">
        <v>69</v>
      </c>
      <c r="F125">
        <v>180</v>
      </c>
      <c r="G125" s="1">
        <v>21</v>
      </c>
      <c r="H125" t="s">
        <v>41</v>
      </c>
      <c r="I125" t="s">
        <v>43</v>
      </c>
      <c r="J125" s="2">
        <v>56</v>
      </c>
      <c r="K125" s="23">
        <v>27.914893617021274</v>
      </c>
      <c r="L125" s="23">
        <v>41.87234042553191</v>
      </c>
      <c r="M125" s="23">
        <v>109.91489361702128</v>
      </c>
      <c r="N125" s="3" t="s">
        <v>618</v>
      </c>
      <c r="O125" s="2" t="s">
        <v>651</v>
      </c>
      <c r="P125" s="23">
        <v>31.16</v>
      </c>
      <c r="Q125" s="14">
        <v>29.618729096989966</v>
      </c>
      <c r="R125" s="14">
        <v>25.23076923076923</v>
      </c>
      <c r="S125" s="14">
        <v>54.849498327759193</v>
      </c>
      <c r="T125" s="14">
        <v>35.37792642140468</v>
      </c>
      <c r="U125" s="14">
        <v>242.17333333333332</v>
      </c>
      <c r="V125" s="24"/>
      <c r="W125" s="14">
        <f>S125+T125/2+U125+P125</f>
        <v>345.87179487179486</v>
      </c>
      <c r="Y125">
        <v>1</v>
      </c>
      <c r="Z125" t="s">
        <v>650</v>
      </c>
      <c r="AA125">
        <v>114</v>
      </c>
      <c r="AB125">
        <v>300</v>
      </c>
      <c r="AC125">
        <v>886</v>
      </c>
    </row>
    <row r="126" spans="1:29">
      <c r="A126" s="6" t="s">
        <v>69</v>
      </c>
      <c r="B126" t="s">
        <v>77</v>
      </c>
      <c r="C126">
        <v>151</v>
      </c>
      <c r="D126" t="s">
        <v>35</v>
      </c>
      <c r="E126" s="1">
        <v>73</v>
      </c>
      <c r="F126">
        <v>196</v>
      </c>
      <c r="G126" s="1">
        <v>20</v>
      </c>
      <c r="H126" t="s">
        <v>42</v>
      </c>
      <c r="I126" t="s">
        <v>43</v>
      </c>
      <c r="J126" s="2">
        <v>54</v>
      </c>
      <c r="K126" s="23">
        <v>13.957446808510637</v>
      </c>
      <c r="L126" s="23">
        <v>34.893617021276597</v>
      </c>
      <c r="M126" s="23">
        <v>137.82978723404256</v>
      </c>
      <c r="N126" s="5" t="s">
        <v>600</v>
      </c>
      <c r="O126" s="2" t="s">
        <v>651</v>
      </c>
      <c r="P126" s="23">
        <v>135.66176470588235</v>
      </c>
      <c r="Q126" s="14">
        <v>6.7313432835820892</v>
      </c>
      <c r="R126" s="14">
        <v>24.783582089552237</v>
      </c>
      <c r="S126" s="14">
        <v>31.514925373134329</v>
      </c>
      <c r="T126" s="14">
        <v>60.276119402985074</v>
      </c>
      <c r="U126" s="14">
        <v>146.81617647058823</v>
      </c>
      <c r="V126" s="24">
        <v>-2.2058823529411766E-2</v>
      </c>
      <c r="W126" s="14">
        <f>S126+T126/2+U126+P126</f>
        <v>344.13092625109743</v>
      </c>
      <c r="X126" s="22">
        <v>19</v>
      </c>
      <c r="Y126">
        <v>0</v>
      </c>
      <c r="Z126" t="s">
        <v>651</v>
      </c>
      <c r="AA126">
        <v>450</v>
      </c>
      <c r="AB126">
        <v>272</v>
      </c>
      <c r="AC126">
        <v>487</v>
      </c>
    </row>
    <row r="127" spans="1:29">
      <c r="A127" s="6" t="s">
        <v>69</v>
      </c>
      <c r="B127" t="s">
        <v>80</v>
      </c>
      <c r="C127">
        <v>7</v>
      </c>
      <c r="D127" t="s">
        <v>34</v>
      </c>
      <c r="E127" s="1">
        <v>72</v>
      </c>
      <c r="F127">
        <v>220</v>
      </c>
      <c r="G127" s="1">
        <v>18</v>
      </c>
      <c r="H127" t="s">
        <v>41</v>
      </c>
      <c r="I127" t="s">
        <v>43</v>
      </c>
      <c r="J127" s="2">
        <v>50</v>
      </c>
      <c r="K127" s="23">
        <v>47.10638297872341</v>
      </c>
      <c r="L127" s="23">
        <v>54.085106382978722</v>
      </c>
      <c r="M127" s="23">
        <v>97.702127659574458</v>
      </c>
      <c r="N127" s="5" t="s">
        <v>608</v>
      </c>
      <c r="O127" s="2" t="s">
        <v>651</v>
      </c>
      <c r="P127" s="23">
        <v>72.485006518904825</v>
      </c>
      <c r="Q127" s="14">
        <v>20.099087353324641</v>
      </c>
      <c r="R127" s="14">
        <v>32.500651890482402</v>
      </c>
      <c r="S127" s="14">
        <v>52.599739243807043</v>
      </c>
      <c r="T127" s="14">
        <v>46.29204693611473</v>
      </c>
      <c r="U127" s="14">
        <v>195.53846153846155</v>
      </c>
      <c r="V127" s="24"/>
      <c r="W127" s="14">
        <f>S127+T127/2+U127+P127</f>
        <v>343.76923076923077</v>
      </c>
      <c r="Y127">
        <v>1</v>
      </c>
      <c r="Z127" t="s">
        <v>650</v>
      </c>
      <c r="AA127">
        <v>678</v>
      </c>
      <c r="AB127">
        <v>767</v>
      </c>
      <c r="AC127">
        <v>1829</v>
      </c>
    </row>
    <row r="128" spans="1:29">
      <c r="A128" t="s">
        <v>266</v>
      </c>
      <c r="B128" t="s">
        <v>279</v>
      </c>
      <c r="C128">
        <v>28</v>
      </c>
      <c r="D128" t="s">
        <v>34</v>
      </c>
      <c r="E128" s="1">
        <v>75</v>
      </c>
      <c r="F128">
        <v>214</v>
      </c>
      <c r="G128" s="1">
        <v>18</v>
      </c>
      <c r="H128" t="s">
        <v>42</v>
      </c>
      <c r="I128" t="s">
        <v>44</v>
      </c>
      <c r="J128" s="2">
        <v>24</v>
      </c>
      <c r="K128" s="23">
        <v>5.2340425531914887</v>
      </c>
      <c r="L128" s="23">
        <v>15.702127659574469</v>
      </c>
      <c r="M128" s="23">
        <v>20.936170212765955</v>
      </c>
      <c r="N128" s="5" t="s">
        <v>608</v>
      </c>
      <c r="O128" s="2" t="s">
        <v>651</v>
      </c>
      <c r="P128" s="23">
        <v>151.33823529411765</v>
      </c>
      <c r="Q128" s="14">
        <v>5.879245283018868</v>
      </c>
      <c r="R128" s="14">
        <v>23.516981132075472</v>
      </c>
      <c r="S128" s="14">
        <v>29.39622641509434</v>
      </c>
      <c r="T128" s="14">
        <v>44.249056603773582</v>
      </c>
      <c r="U128" s="14">
        <v>140.18382352941177</v>
      </c>
      <c r="V128" s="24">
        <v>-6.985294117647059E-2</v>
      </c>
      <c r="W128" s="14">
        <f>S128+T128/2+U128+P128</f>
        <v>343.04281354051056</v>
      </c>
      <c r="X128" s="22">
        <v>10</v>
      </c>
      <c r="Y128">
        <v>0</v>
      </c>
      <c r="Z128" t="s">
        <v>651</v>
      </c>
      <c r="AA128">
        <v>502</v>
      </c>
      <c r="AB128">
        <v>272</v>
      </c>
      <c r="AC128">
        <v>465</v>
      </c>
    </row>
    <row r="129" spans="1:29">
      <c r="A129" t="s">
        <v>525</v>
      </c>
      <c r="B129" t="s">
        <v>530</v>
      </c>
      <c r="C129">
        <v>53</v>
      </c>
      <c r="D129" t="s">
        <v>35</v>
      </c>
      <c r="E129" s="1">
        <v>74</v>
      </c>
      <c r="F129">
        <v>205</v>
      </c>
      <c r="G129" s="1">
        <v>18</v>
      </c>
      <c r="H129" t="s">
        <v>42</v>
      </c>
      <c r="I129" t="s">
        <v>43</v>
      </c>
      <c r="J129" s="2">
        <v>68</v>
      </c>
      <c r="K129" s="23">
        <v>10.468085106382977</v>
      </c>
      <c r="L129" s="23">
        <v>33.148936170212764</v>
      </c>
      <c r="M129" s="23">
        <v>186.68085106382981</v>
      </c>
      <c r="N129" s="5" t="s">
        <v>599</v>
      </c>
      <c r="O129" s="2" t="s">
        <v>651</v>
      </c>
      <c r="P129" s="23">
        <v>134.56065573770491</v>
      </c>
      <c r="Q129" s="14">
        <v>4.7049180327868854</v>
      </c>
      <c r="R129" s="14">
        <v>19.491803278688522</v>
      </c>
      <c r="S129" s="14">
        <v>24.196721311475407</v>
      </c>
      <c r="T129" s="14">
        <v>78.101639344262296</v>
      </c>
      <c r="U129" s="14">
        <v>145.18032786885246</v>
      </c>
      <c r="V129" s="24">
        <v>-3.2786885245901639E-3</v>
      </c>
      <c r="W129" s="14">
        <f>S129+T129/2+U129+P129</f>
        <v>342.98852459016393</v>
      </c>
      <c r="X129" s="22">
        <v>0</v>
      </c>
      <c r="Y129">
        <v>0</v>
      </c>
      <c r="Z129" t="s">
        <v>651</v>
      </c>
      <c r="AA129">
        <v>1001</v>
      </c>
      <c r="AB129">
        <v>610</v>
      </c>
      <c r="AC129">
        <v>1080</v>
      </c>
    </row>
    <row r="130" spans="1:29">
      <c r="A130" t="s">
        <v>354</v>
      </c>
      <c r="B130" t="s">
        <v>347</v>
      </c>
      <c r="C130">
        <v>4</v>
      </c>
      <c r="D130" t="s">
        <v>35</v>
      </c>
      <c r="E130" s="1">
        <v>75</v>
      </c>
      <c r="F130">
        <v>218</v>
      </c>
      <c r="G130" s="1">
        <v>18</v>
      </c>
      <c r="H130" t="s">
        <v>41</v>
      </c>
      <c r="I130" t="s">
        <v>43</v>
      </c>
      <c r="J130" s="2">
        <v>71</v>
      </c>
      <c r="K130" s="23">
        <v>43.617021276595743</v>
      </c>
      <c r="L130" s="23">
        <v>76.765957446808514</v>
      </c>
      <c r="M130" s="23">
        <v>92.468085106382972</v>
      </c>
      <c r="N130" s="3" t="s">
        <v>599</v>
      </c>
      <c r="O130" s="2" t="s">
        <v>651</v>
      </c>
      <c r="P130" s="23">
        <v>93.127625201938613</v>
      </c>
      <c r="Q130" s="14">
        <v>17.791190864600324</v>
      </c>
      <c r="R130" s="14">
        <v>38.525285481239806</v>
      </c>
      <c r="S130" s="14">
        <v>56.31647634584013</v>
      </c>
      <c r="T130" s="14">
        <v>50.029363784665577</v>
      </c>
      <c r="U130" s="14">
        <v>167.84168012924073</v>
      </c>
      <c r="V130" s="24"/>
      <c r="W130" s="14">
        <f>S130+T130/2+U130+P130</f>
        <v>342.30046356935225</v>
      </c>
      <c r="Y130">
        <v>1</v>
      </c>
      <c r="Z130" t="s">
        <v>650</v>
      </c>
      <c r="AA130">
        <v>703</v>
      </c>
      <c r="AB130">
        <v>619</v>
      </c>
      <c r="AC130">
        <v>1267</v>
      </c>
    </row>
    <row r="131" spans="1:29">
      <c r="A131" t="s">
        <v>220</v>
      </c>
      <c r="B131" t="s">
        <v>228</v>
      </c>
      <c r="C131">
        <v>7</v>
      </c>
      <c r="D131" t="s">
        <v>66</v>
      </c>
      <c r="E131" s="1">
        <v>73</v>
      </c>
      <c r="F131">
        <v>201</v>
      </c>
      <c r="G131" s="1">
        <v>18</v>
      </c>
      <c r="H131" t="s">
        <v>42</v>
      </c>
      <c r="I131" t="s">
        <v>44</v>
      </c>
      <c r="J131" s="2">
        <v>79</v>
      </c>
      <c r="K131" s="23">
        <v>26.170212765957448</v>
      </c>
      <c r="L131" s="23">
        <v>90.723404255319153</v>
      </c>
      <c r="M131" s="23">
        <v>73.276595744680847</v>
      </c>
      <c r="N131" s="5" t="s">
        <v>599</v>
      </c>
      <c r="O131" s="2" t="s">
        <v>651</v>
      </c>
      <c r="P131" s="23">
        <v>123</v>
      </c>
      <c r="Q131" s="14">
        <v>10.441947565543071</v>
      </c>
      <c r="R131" s="14">
        <v>23.340823970037452</v>
      </c>
      <c r="S131" s="14">
        <v>33.782771535580522</v>
      </c>
      <c r="T131" s="14">
        <v>29.483146067415728</v>
      </c>
      <c r="U131" s="14">
        <v>170.28467153284672</v>
      </c>
      <c r="V131" s="24">
        <v>-7.2992700729927005E-3</v>
      </c>
      <c r="W131" s="14">
        <f>S131+T131/2+U131+P131</f>
        <v>341.8090161021351</v>
      </c>
      <c r="X131" s="22">
        <v>22</v>
      </c>
      <c r="Y131">
        <v>0</v>
      </c>
      <c r="Z131" t="s">
        <v>651</v>
      </c>
      <c r="AA131">
        <v>411</v>
      </c>
      <c r="AB131">
        <v>274</v>
      </c>
      <c r="AC131">
        <v>569</v>
      </c>
    </row>
    <row r="132" spans="1:29">
      <c r="A132" t="s">
        <v>354</v>
      </c>
      <c r="B132" t="s">
        <v>398</v>
      </c>
      <c r="C132">
        <v>38</v>
      </c>
      <c r="D132" t="s">
        <v>119</v>
      </c>
      <c r="E132" s="1">
        <v>73</v>
      </c>
      <c r="F132">
        <v>201</v>
      </c>
      <c r="G132" s="1">
        <v>18</v>
      </c>
      <c r="H132" t="s">
        <v>42</v>
      </c>
      <c r="I132" t="s">
        <v>44</v>
      </c>
      <c r="J132" s="2">
        <f>5+35+6+6</f>
        <v>52</v>
      </c>
      <c r="K132" s="23">
        <v>8.7234042553191493</v>
      </c>
      <c r="L132" s="23">
        <v>20.936170212765955</v>
      </c>
      <c r="M132" s="23">
        <v>38.382978723404257</v>
      </c>
      <c r="N132" s="3" t="s">
        <v>628</v>
      </c>
      <c r="O132" s="2" t="s">
        <v>650</v>
      </c>
      <c r="P132" s="23">
        <v>57.816949152542371</v>
      </c>
      <c r="Q132" s="14">
        <v>14.04109589041096</v>
      </c>
      <c r="R132" s="14">
        <v>37.770547945205479</v>
      </c>
      <c r="S132" s="14">
        <v>51.811643835616444</v>
      </c>
      <c r="T132" s="14">
        <v>29.767123287671232</v>
      </c>
      <c r="U132" s="14">
        <v>217.23050847457625</v>
      </c>
      <c r="V132" s="24">
        <v>8.6440677966101692E-2</v>
      </c>
      <c r="W132" s="14">
        <f>S132+T132/2+U132+P132</f>
        <v>341.74266310657066</v>
      </c>
      <c r="X132" s="22">
        <v>134</v>
      </c>
      <c r="Y132">
        <v>1</v>
      </c>
      <c r="Z132" t="s">
        <v>650</v>
      </c>
      <c r="AA132">
        <v>416</v>
      </c>
      <c r="AB132">
        <v>590</v>
      </c>
      <c r="AC132">
        <v>1563</v>
      </c>
    </row>
    <row r="133" spans="1:29">
      <c r="A133" t="s">
        <v>576</v>
      </c>
      <c r="B133" t="s">
        <v>591</v>
      </c>
      <c r="C133">
        <v>99</v>
      </c>
      <c r="D133" t="s">
        <v>35</v>
      </c>
      <c r="E133" s="1">
        <v>73</v>
      </c>
      <c r="F133">
        <v>185</v>
      </c>
      <c r="G133" s="1">
        <v>18</v>
      </c>
      <c r="H133" t="s">
        <v>41</v>
      </c>
      <c r="I133" t="s">
        <v>44</v>
      </c>
      <c r="J133" s="2">
        <v>61</v>
      </c>
      <c r="K133" s="23">
        <v>34.893617021276597</v>
      </c>
      <c r="L133" s="23">
        <v>33.148936170212764</v>
      </c>
      <c r="M133" s="23">
        <v>92.468085106382972</v>
      </c>
      <c r="N133" s="5" t="s">
        <v>599</v>
      </c>
      <c r="O133" s="2" t="s">
        <v>651</v>
      </c>
      <c r="P133" s="23">
        <v>189.44827586206895</v>
      </c>
      <c r="Q133" s="14">
        <v>14.17283950617284</v>
      </c>
      <c r="R133" s="14">
        <v>11.135802469135804</v>
      </c>
      <c r="S133" s="14">
        <v>25.308641975308642</v>
      </c>
      <c r="T133" s="14">
        <v>29.358024691358025</v>
      </c>
      <c r="U133" s="14">
        <v>112.16091954022988</v>
      </c>
      <c r="V133" s="24"/>
      <c r="W133" s="14">
        <f>S133+T133/2+U133+P133</f>
        <v>341.59684972328648</v>
      </c>
      <c r="Y133">
        <v>0</v>
      </c>
      <c r="Z133" t="s">
        <v>650</v>
      </c>
      <c r="AA133">
        <v>201</v>
      </c>
      <c r="AB133">
        <v>87</v>
      </c>
      <c r="AC133">
        <v>119</v>
      </c>
    </row>
    <row r="134" spans="1:29">
      <c r="A134" t="s">
        <v>576</v>
      </c>
      <c r="B134" t="s">
        <v>590</v>
      </c>
      <c r="C134">
        <v>47</v>
      </c>
      <c r="D134" t="s">
        <v>35</v>
      </c>
      <c r="E134" s="1">
        <v>72</v>
      </c>
      <c r="F134">
        <v>197</v>
      </c>
      <c r="G134" s="1">
        <v>18</v>
      </c>
      <c r="H134" t="s">
        <v>41</v>
      </c>
      <c r="I134" t="s">
        <v>43</v>
      </c>
      <c r="J134" s="2">
        <v>65</v>
      </c>
      <c r="K134" s="23">
        <v>64.553191489361708</v>
      </c>
      <c r="L134" s="23">
        <v>73.276595744680847</v>
      </c>
      <c r="M134" s="23">
        <v>94.21276595744682</v>
      </c>
      <c r="N134" s="3" t="s">
        <v>600</v>
      </c>
      <c r="O134" s="2" t="s">
        <v>651</v>
      </c>
      <c r="P134" s="23">
        <v>67.628865979381445</v>
      </c>
      <c r="Q134" s="14">
        <v>21.741127348643005</v>
      </c>
      <c r="R134" s="14">
        <v>24.137787056367429</v>
      </c>
      <c r="S134" s="14">
        <v>45.878914405010434</v>
      </c>
      <c r="T134" s="14">
        <v>23.281837160751564</v>
      </c>
      <c r="U134" s="14">
        <v>215.22886597938145</v>
      </c>
      <c r="V134" s="24"/>
      <c r="W134" s="14">
        <f>S134+T134/2+U134+P134</f>
        <v>340.37756494414907</v>
      </c>
      <c r="Y134">
        <v>1</v>
      </c>
      <c r="Z134" t="s">
        <v>650</v>
      </c>
      <c r="AA134">
        <v>400</v>
      </c>
      <c r="AB134">
        <v>485</v>
      </c>
      <c r="AC134">
        <v>1273</v>
      </c>
    </row>
    <row r="135" spans="1:29">
      <c r="A135" s="6" t="s">
        <v>17</v>
      </c>
      <c r="B135" t="s">
        <v>30</v>
      </c>
      <c r="C135">
        <v>133</v>
      </c>
      <c r="D135" t="s">
        <v>34</v>
      </c>
      <c r="E135" s="1">
        <v>74</v>
      </c>
      <c r="F135">
        <v>213</v>
      </c>
      <c r="G135" s="1">
        <v>18</v>
      </c>
      <c r="H135" t="s">
        <v>41</v>
      </c>
      <c r="I135" t="s">
        <v>44</v>
      </c>
      <c r="J135" s="2">
        <v>51</v>
      </c>
      <c r="K135" s="23">
        <v>13.957446808510637</v>
      </c>
      <c r="L135" s="23">
        <v>36.638297872340424</v>
      </c>
      <c r="M135" s="23">
        <v>78.510638297872347</v>
      </c>
      <c r="N135" s="5" t="s">
        <v>608</v>
      </c>
      <c r="O135" s="2" t="s">
        <v>651</v>
      </c>
      <c r="P135" s="23">
        <v>153.1868131868132</v>
      </c>
      <c r="Q135" s="14">
        <v>7.0285714285714285</v>
      </c>
      <c r="R135" s="14">
        <v>11.714285714285715</v>
      </c>
      <c r="S135" s="14">
        <v>18.742857142857144</v>
      </c>
      <c r="T135" s="14">
        <v>42.171428571428571</v>
      </c>
      <c r="U135" s="14">
        <v>146.87912087912088</v>
      </c>
      <c r="V135" s="24"/>
      <c r="W135" s="14">
        <f>S135+T135/2+U135+P135</f>
        <v>339.89450549450549</v>
      </c>
      <c r="Y135">
        <v>0</v>
      </c>
      <c r="Z135" t="s">
        <v>650</v>
      </c>
      <c r="AA135">
        <v>340</v>
      </c>
      <c r="AB135">
        <v>182</v>
      </c>
      <c r="AC135">
        <v>326</v>
      </c>
    </row>
    <row r="136" spans="1:29">
      <c r="A136" t="s">
        <v>220</v>
      </c>
      <c r="B136" t="s">
        <v>230</v>
      </c>
      <c r="C136">
        <v>18</v>
      </c>
      <c r="D136" t="s">
        <v>35</v>
      </c>
      <c r="E136" s="1">
        <v>74</v>
      </c>
      <c r="F136">
        <v>239</v>
      </c>
      <c r="G136" s="1">
        <v>19</v>
      </c>
      <c r="H136" t="s">
        <v>41</v>
      </c>
      <c r="I136" t="s">
        <v>43</v>
      </c>
      <c r="J136" s="2">
        <v>62</v>
      </c>
      <c r="K136" s="23">
        <v>64.553191489361708</v>
      </c>
      <c r="L136" s="23">
        <v>87.234042553191486</v>
      </c>
      <c r="M136" s="23">
        <v>205.87234042553189</v>
      </c>
      <c r="N136" s="3" t="s">
        <v>600</v>
      </c>
      <c r="O136" s="2" t="s">
        <v>651</v>
      </c>
      <c r="P136" s="23">
        <v>99.987897125567315</v>
      </c>
      <c r="Q136" s="14">
        <v>19.84871406959153</v>
      </c>
      <c r="R136" s="14">
        <v>20.096822995461423</v>
      </c>
      <c r="S136" s="14">
        <v>39.945537065052953</v>
      </c>
      <c r="T136" s="14">
        <v>91.924357034795761</v>
      </c>
      <c r="U136" s="14">
        <v>153.70347957639942</v>
      </c>
      <c r="V136" s="24"/>
      <c r="W136" s="14">
        <f>S136+T136/2+U136+P136</f>
        <v>339.59909228441757</v>
      </c>
      <c r="Y136">
        <v>0</v>
      </c>
      <c r="Z136" t="s">
        <v>650</v>
      </c>
      <c r="AA136">
        <v>806</v>
      </c>
      <c r="AB136">
        <v>661</v>
      </c>
      <c r="AC136">
        <v>1239</v>
      </c>
    </row>
    <row r="137" spans="1:29">
      <c r="A137" t="s">
        <v>354</v>
      </c>
      <c r="B137" t="s">
        <v>350</v>
      </c>
      <c r="C137">
        <v>98</v>
      </c>
      <c r="D137" t="s">
        <v>34</v>
      </c>
      <c r="E137" s="1">
        <v>73</v>
      </c>
      <c r="F137">
        <v>208</v>
      </c>
      <c r="G137" s="1">
        <v>20</v>
      </c>
      <c r="H137" t="s">
        <v>41</v>
      </c>
      <c r="I137" t="s">
        <v>43</v>
      </c>
      <c r="J137" s="2">
        <v>54</v>
      </c>
      <c r="K137" s="23">
        <v>48.851063829787229</v>
      </c>
      <c r="L137" s="23">
        <v>83.744680851063819</v>
      </c>
      <c r="M137" s="23">
        <v>188.42553191489364</v>
      </c>
      <c r="N137" s="3" t="s">
        <v>608</v>
      </c>
      <c r="O137" s="2" t="s">
        <v>651</v>
      </c>
      <c r="P137" s="23">
        <v>73.256865912762521</v>
      </c>
      <c r="Q137" s="14">
        <v>19.530179445350733</v>
      </c>
      <c r="R137" s="14">
        <v>21.402936378466556</v>
      </c>
      <c r="S137" s="14">
        <v>40.933115823817289</v>
      </c>
      <c r="T137" s="14">
        <v>32.104404567699838</v>
      </c>
      <c r="U137" s="14">
        <v>208.77544426494345</v>
      </c>
      <c r="V137" s="24"/>
      <c r="W137" s="14">
        <f>S137+T137/2+U137+P137</f>
        <v>339.01762828537318</v>
      </c>
      <c r="Y137">
        <v>0</v>
      </c>
      <c r="Z137" t="s">
        <v>650</v>
      </c>
      <c r="AA137">
        <v>553</v>
      </c>
      <c r="AB137">
        <v>619</v>
      </c>
      <c r="AC137">
        <v>1576</v>
      </c>
    </row>
    <row r="138" spans="1:29">
      <c r="A138" t="s">
        <v>510</v>
      </c>
      <c r="B138" t="s">
        <v>523</v>
      </c>
      <c r="C138">
        <v>18</v>
      </c>
      <c r="D138" t="s">
        <v>34</v>
      </c>
      <c r="E138" s="1">
        <v>76</v>
      </c>
      <c r="F138">
        <v>222</v>
      </c>
      <c r="G138" s="1">
        <v>18</v>
      </c>
      <c r="H138" t="s">
        <v>41</v>
      </c>
      <c r="I138" t="s">
        <v>43</v>
      </c>
      <c r="J138" s="2">
        <f>26+7+61</f>
        <v>94</v>
      </c>
      <c r="K138" s="23">
        <v>73.276595744680847</v>
      </c>
      <c r="L138" s="23">
        <v>99.446808510638306</v>
      </c>
      <c r="M138" s="23">
        <v>209.36170212765958</v>
      </c>
      <c r="N138" s="5" t="s">
        <v>608</v>
      </c>
      <c r="O138" s="2" t="s">
        <v>651</v>
      </c>
      <c r="P138" s="23">
        <v>99.742690058479525</v>
      </c>
      <c r="Q138" s="14">
        <v>17.783132530120483</v>
      </c>
      <c r="R138" s="14">
        <v>27.168674698795179</v>
      </c>
      <c r="S138" s="14">
        <v>44.951807228915662</v>
      </c>
      <c r="T138" s="14">
        <v>17.289156626506024</v>
      </c>
      <c r="U138" s="14">
        <v>185.57894736842104</v>
      </c>
      <c r="V138" s="24"/>
      <c r="W138" s="14">
        <f>S138+T138/2+U138+P138</f>
        <v>338.91802296906923</v>
      </c>
      <c r="Y138">
        <v>1</v>
      </c>
      <c r="Z138" t="s">
        <v>650</v>
      </c>
      <c r="AA138">
        <v>208</v>
      </c>
      <c r="AB138">
        <v>171</v>
      </c>
      <c r="AC138">
        <v>387</v>
      </c>
    </row>
    <row r="139" spans="1:29">
      <c r="A139" t="s">
        <v>397</v>
      </c>
      <c r="B139" t="s">
        <v>409</v>
      </c>
      <c r="C139">
        <v>15</v>
      </c>
      <c r="D139" t="s">
        <v>66</v>
      </c>
      <c r="E139" s="1">
        <v>73</v>
      </c>
      <c r="F139">
        <v>205</v>
      </c>
      <c r="G139" s="1">
        <v>18</v>
      </c>
      <c r="H139" t="s">
        <v>41</v>
      </c>
      <c r="I139" t="s">
        <v>44</v>
      </c>
      <c r="J139" s="2">
        <v>49</v>
      </c>
      <c r="K139" s="23">
        <v>29.659574468085108</v>
      </c>
      <c r="L139" s="23">
        <v>36.638297872340424</v>
      </c>
      <c r="M139" s="23">
        <v>184.93617021276594</v>
      </c>
      <c r="N139" s="5" t="s">
        <v>66</v>
      </c>
      <c r="O139" s="2" t="s">
        <v>651</v>
      </c>
      <c r="P139" s="23">
        <v>56.462287104622874</v>
      </c>
      <c r="Q139" s="14">
        <v>25.71358024691358</v>
      </c>
      <c r="R139" s="14">
        <v>37.254320987654324</v>
      </c>
      <c r="S139" s="14">
        <v>62.967901234567904</v>
      </c>
      <c r="T139" s="14">
        <v>57.906172839506176</v>
      </c>
      <c r="U139" s="14">
        <v>189.53771289537713</v>
      </c>
      <c r="V139" s="24"/>
      <c r="W139" s="14">
        <f>S139+T139/2+U139+P139</f>
        <v>337.92098765432098</v>
      </c>
      <c r="Y139">
        <v>1</v>
      </c>
      <c r="Z139" t="s">
        <v>650</v>
      </c>
      <c r="AA139">
        <v>283</v>
      </c>
      <c r="AB139">
        <v>411</v>
      </c>
      <c r="AC139">
        <v>950</v>
      </c>
    </row>
    <row r="140" spans="1:29">
      <c r="A140" s="6" t="s">
        <v>148</v>
      </c>
      <c r="B140" t="s">
        <v>159</v>
      </c>
      <c r="C140">
        <v>132</v>
      </c>
      <c r="D140" t="s">
        <v>35</v>
      </c>
      <c r="E140" s="1">
        <v>72</v>
      </c>
      <c r="F140">
        <v>192</v>
      </c>
      <c r="G140" s="1">
        <v>18</v>
      </c>
      <c r="H140" t="s">
        <v>41</v>
      </c>
      <c r="I140" t="s">
        <v>44</v>
      </c>
      <c r="J140" s="2">
        <v>72</v>
      </c>
      <c r="K140" s="23">
        <v>17.446808510638299</v>
      </c>
      <c r="L140" s="23">
        <v>24.425531914893615</v>
      </c>
      <c r="M140" s="23">
        <v>47.10638297872341</v>
      </c>
      <c r="N140" s="3" t="s">
        <v>599</v>
      </c>
      <c r="O140" s="2" t="s">
        <v>651</v>
      </c>
      <c r="P140" s="23">
        <v>131.84802431610942</v>
      </c>
      <c r="Q140" s="14">
        <v>13.079754601226993</v>
      </c>
      <c r="R140" s="14">
        <v>16.223926380368098</v>
      </c>
      <c r="S140" s="14">
        <v>29.30368098159509</v>
      </c>
      <c r="T140" s="14">
        <v>26.662576687116562</v>
      </c>
      <c r="U140" s="14">
        <v>161.88145896656533</v>
      </c>
      <c r="V140" s="24"/>
      <c r="W140" s="14">
        <f>S140+T140/2+U140+P140</f>
        <v>336.36445260782813</v>
      </c>
      <c r="Y140">
        <v>0</v>
      </c>
      <c r="Z140" t="s">
        <v>650</v>
      </c>
      <c r="AA140">
        <v>1058</v>
      </c>
      <c r="AB140">
        <v>658</v>
      </c>
      <c r="AC140">
        <v>1299</v>
      </c>
    </row>
    <row r="141" spans="1:29">
      <c r="A141" t="s">
        <v>169</v>
      </c>
      <c r="B141" t="s">
        <v>170</v>
      </c>
      <c r="C141">
        <v>4</v>
      </c>
      <c r="D141" t="s">
        <v>65</v>
      </c>
      <c r="E141" s="1">
        <v>73</v>
      </c>
      <c r="F141">
        <v>210</v>
      </c>
      <c r="G141" s="1">
        <v>19</v>
      </c>
      <c r="H141" t="s">
        <v>41</v>
      </c>
      <c r="I141" t="s">
        <v>44</v>
      </c>
      <c r="J141" s="2">
        <f>46+46+4</f>
        <v>96</v>
      </c>
      <c r="K141" s="23">
        <v>34.893617021276597</v>
      </c>
      <c r="L141" s="23">
        <v>55.829787234042549</v>
      </c>
      <c r="M141" s="23">
        <v>104.68085106382979</v>
      </c>
      <c r="N141" s="5" t="s">
        <v>605</v>
      </c>
      <c r="O141" s="2" t="s">
        <v>650</v>
      </c>
      <c r="P141" s="23">
        <v>61.008714596949886</v>
      </c>
      <c r="Q141" s="14">
        <v>20.99128540305011</v>
      </c>
      <c r="R141" s="14">
        <v>58.596949891067545</v>
      </c>
      <c r="S141" s="14">
        <v>79.588235294117652</v>
      </c>
      <c r="T141" s="14">
        <v>40.196078431372555</v>
      </c>
      <c r="U141" s="14">
        <v>174.718954248366</v>
      </c>
      <c r="V141" s="24"/>
      <c r="W141" s="14">
        <f>S141+T141/2+U141+P141</f>
        <v>335.41394335511984</v>
      </c>
      <c r="Y141">
        <v>1</v>
      </c>
      <c r="Z141" t="s">
        <v>650</v>
      </c>
      <c r="AA141">
        <v>683</v>
      </c>
      <c r="AB141">
        <v>918</v>
      </c>
      <c r="AC141">
        <v>1956</v>
      </c>
    </row>
    <row r="142" spans="1:29">
      <c r="A142" t="s">
        <v>234</v>
      </c>
      <c r="B142" t="s">
        <v>237</v>
      </c>
      <c r="C142">
        <v>46</v>
      </c>
      <c r="D142" t="s">
        <v>35</v>
      </c>
      <c r="E142" s="1">
        <v>76</v>
      </c>
      <c r="F142">
        <v>215</v>
      </c>
      <c r="G142" s="1">
        <v>18</v>
      </c>
      <c r="H142" t="s">
        <v>42</v>
      </c>
      <c r="I142" t="s">
        <v>44</v>
      </c>
      <c r="J142" s="2">
        <v>71</v>
      </c>
      <c r="K142" s="23">
        <v>3.4893617021276593</v>
      </c>
      <c r="L142" s="23">
        <v>31.404255319148938</v>
      </c>
      <c r="M142" s="23">
        <v>165.74468085106383</v>
      </c>
      <c r="N142" s="5" t="s">
        <v>599</v>
      </c>
      <c r="O142" s="2" t="s">
        <v>651</v>
      </c>
      <c r="P142" s="23">
        <v>158.20202020202021</v>
      </c>
      <c r="Q142" s="14">
        <v>4.2268041237113403</v>
      </c>
      <c r="R142" s="14">
        <v>12.398625429553265</v>
      </c>
      <c r="S142" s="14">
        <v>16.625429553264606</v>
      </c>
      <c r="T142" s="14">
        <v>79.745704467353946</v>
      </c>
      <c r="U142" s="14">
        <v>120.37710437710437</v>
      </c>
      <c r="V142" s="24">
        <v>7.7441077441077436E-2</v>
      </c>
      <c r="W142" s="14">
        <f>S142+T142/2+U142+P142</f>
        <v>335.07740636606616</v>
      </c>
      <c r="X142" s="22">
        <v>-17</v>
      </c>
      <c r="Y142">
        <v>0</v>
      </c>
      <c r="Z142" t="s">
        <v>650</v>
      </c>
      <c r="AA142">
        <v>573</v>
      </c>
      <c r="AB142">
        <v>297</v>
      </c>
      <c r="AC142">
        <v>436</v>
      </c>
    </row>
    <row r="143" spans="1:29">
      <c r="A143" t="s">
        <v>397</v>
      </c>
      <c r="B143" t="s">
        <v>640</v>
      </c>
      <c r="C143">
        <v>80</v>
      </c>
      <c r="D143" t="s">
        <v>37</v>
      </c>
      <c r="E143" s="1">
        <v>74</v>
      </c>
      <c r="F143">
        <v>240</v>
      </c>
      <c r="G143" s="1">
        <v>18</v>
      </c>
      <c r="H143" t="s">
        <v>42</v>
      </c>
      <c r="I143" t="s">
        <v>43</v>
      </c>
      <c r="J143" s="2">
        <v>59</v>
      </c>
      <c r="K143" s="23">
        <v>6.9787234042553186</v>
      </c>
      <c r="L143" s="23">
        <v>13.957446808510637</v>
      </c>
      <c r="M143" s="23">
        <v>97.702127659574458</v>
      </c>
      <c r="N143" s="5" t="s">
        <v>607</v>
      </c>
      <c r="O143" s="2" t="s">
        <v>651</v>
      </c>
      <c r="P143" s="23">
        <v>205.58193548387098</v>
      </c>
      <c r="Q143" s="14">
        <v>2.7688311688311686</v>
      </c>
      <c r="R143" s="14">
        <v>11.820779220779221</v>
      </c>
      <c r="S143" s="14">
        <v>14.589610389610389</v>
      </c>
      <c r="T143" s="14">
        <v>65.919480519480516</v>
      </c>
      <c r="U143" s="14">
        <v>81.470967741935482</v>
      </c>
      <c r="V143" s="24">
        <v>-1.2903225806451613E-3</v>
      </c>
      <c r="W143" s="14">
        <f>S143+T143/2+U143+P143</f>
        <v>334.60225387515709</v>
      </c>
      <c r="X143" s="22">
        <v>-25</v>
      </c>
      <c r="Y143">
        <v>0</v>
      </c>
      <c r="Z143" t="s">
        <v>651</v>
      </c>
      <c r="AA143">
        <v>1943</v>
      </c>
      <c r="AB143">
        <v>775</v>
      </c>
      <c r="AC143">
        <v>770</v>
      </c>
    </row>
    <row r="144" spans="1:29">
      <c r="A144" t="s">
        <v>354</v>
      </c>
      <c r="B144" t="s">
        <v>352</v>
      </c>
      <c r="C144">
        <v>18</v>
      </c>
      <c r="D144" t="s">
        <v>34</v>
      </c>
      <c r="E144" s="1">
        <v>76</v>
      </c>
      <c r="F144">
        <v>204</v>
      </c>
      <c r="G144" s="1">
        <v>18</v>
      </c>
      <c r="H144" t="s">
        <v>41</v>
      </c>
      <c r="I144" t="s">
        <v>43</v>
      </c>
      <c r="J144" s="2">
        <v>59</v>
      </c>
      <c r="K144" s="23">
        <v>38.382978723404257</v>
      </c>
      <c r="L144" s="23">
        <v>61.063829787234042</v>
      </c>
      <c r="M144" s="23">
        <v>95.957446808510639</v>
      </c>
      <c r="N144" s="5" t="s">
        <v>600</v>
      </c>
      <c r="O144" s="2" t="s">
        <v>651</v>
      </c>
      <c r="P144" s="23">
        <v>169.2714285714286</v>
      </c>
      <c r="Q144" s="14">
        <v>9.8759124087591257</v>
      </c>
      <c r="R144" s="14">
        <v>10.773722627737227</v>
      </c>
      <c r="S144" s="14">
        <v>20.649635036496353</v>
      </c>
      <c r="T144" s="14">
        <v>91.875912408759135</v>
      </c>
      <c r="U144" s="14">
        <v>98.692857142857136</v>
      </c>
      <c r="V144" s="24"/>
      <c r="W144" s="14">
        <f>S144+T144/2+U144+P144</f>
        <v>334.55187695516167</v>
      </c>
      <c r="Y144">
        <v>0</v>
      </c>
      <c r="Z144" t="s">
        <v>650</v>
      </c>
      <c r="AA144">
        <v>578</v>
      </c>
      <c r="AB144">
        <v>280</v>
      </c>
      <c r="AC144">
        <v>337</v>
      </c>
    </row>
    <row r="145" spans="1:29">
      <c r="A145" s="6" t="s">
        <v>102</v>
      </c>
      <c r="B145" t="s">
        <v>109</v>
      </c>
      <c r="C145">
        <v>3</v>
      </c>
      <c r="D145" t="s">
        <v>35</v>
      </c>
      <c r="E145" s="1">
        <v>73</v>
      </c>
      <c r="F145">
        <v>200</v>
      </c>
      <c r="G145" s="1">
        <v>18</v>
      </c>
      <c r="H145" t="s">
        <v>41</v>
      </c>
      <c r="I145" t="s">
        <v>44</v>
      </c>
      <c r="J145" s="2">
        <v>67</v>
      </c>
      <c r="K145" s="23">
        <v>75.021276595744681</v>
      </c>
      <c r="L145" s="23">
        <v>108.17021276595744</v>
      </c>
      <c r="M145" s="23">
        <v>153.53191489361703</v>
      </c>
      <c r="N145" s="3" t="s">
        <v>614</v>
      </c>
      <c r="O145" s="2" t="s">
        <v>651</v>
      </c>
      <c r="P145" s="23">
        <v>60.255060728744937</v>
      </c>
      <c r="Q145" s="14">
        <v>22.684426229508194</v>
      </c>
      <c r="R145" s="14">
        <v>42.344262295081968</v>
      </c>
      <c r="S145" s="14">
        <v>65.028688524590166</v>
      </c>
      <c r="T145" s="14">
        <v>38.815573770491802</v>
      </c>
      <c r="U145" s="14">
        <v>189.72874493927125</v>
      </c>
      <c r="V145" s="24"/>
      <c r="W145" s="14">
        <f>S145+T145/2+U145+P145</f>
        <v>334.42028107785222</v>
      </c>
      <c r="Y145">
        <v>1</v>
      </c>
      <c r="Z145" t="s">
        <v>650</v>
      </c>
      <c r="AA145">
        <v>363</v>
      </c>
      <c r="AB145">
        <v>494</v>
      </c>
      <c r="AC145">
        <v>1143</v>
      </c>
    </row>
    <row r="146" spans="1:29">
      <c r="A146" s="6" t="s">
        <v>148</v>
      </c>
      <c r="B146" t="s">
        <v>155</v>
      </c>
      <c r="C146">
        <v>33</v>
      </c>
      <c r="D146" t="s">
        <v>34</v>
      </c>
      <c r="E146" s="1">
        <v>73</v>
      </c>
      <c r="F146">
        <v>214</v>
      </c>
      <c r="G146" s="1">
        <v>18</v>
      </c>
      <c r="H146" t="s">
        <v>41</v>
      </c>
      <c r="I146" t="s">
        <v>44</v>
      </c>
      <c r="J146" s="2">
        <v>72</v>
      </c>
      <c r="K146" s="23">
        <v>57.574468085106382</v>
      </c>
      <c r="L146" s="23">
        <v>78.510638297872347</v>
      </c>
      <c r="M146" s="23">
        <v>116.8936170212766</v>
      </c>
      <c r="N146" s="5" t="s">
        <v>614</v>
      </c>
      <c r="O146" s="2" t="s">
        <v>651</v>
      </c>
      <c r="P146" s="23">
        <v>193.54411764705884</v>
      </c>
      <c r="Q146" s="14">
        <v>8.0757575757575761</v>
      </c>
      <c r="R146" s="14">
        <v>8.6969696969696972</v>
      </c>
      <c r="S146" s="14">
        <v>16.772727272727273</v>
      </c>
      <c r="T146" s="14">
        <v>48.454545454545453</v>
      </c>
      <c r="U146" s="14">
        <v>99.485294117647058</v>
      </c>
      <c r="V146" s="24"/>
      <c r="W146" s="14">
        <f>S146+T146/2+U146+P146</f>
        <v>334.02941176470591</v>
      </c>
      <c r="Y146">
        <v>0</v>
      </c>
      <c r="Z146" t="s">
        <v>650</v>
      </c>
      <c r="AA146">
        <v>321</v>
      </c>
      <c r="AB146">
        <v>136</v>
      </c>
      <c r="AC146">
        <v>165</v>
      </c>
    </row>
    <row r="147" spans="1:29">
      <c r="A147" s="6" t="s">
        <v>17</v>
      </c>
      <c r="B147" t="s">
        <v>32</v>
      </c>
      <c r="C147">
        <v>14</v>
      </c>
      <c r="D147" t="s">
        <v>34</v>
      </c>
      <c r="E147" s="1">
        <v>72</v>
      </c>
      <c r="F147">
        <v>208</v>
      </c>
      <c r="G147" s="1">
        <v>19</v>
      </c>
      <c r="H147" t="s">
        <v>42</v>
      </c>
      <c r="I147" t="s">
        <v>43</v>
      </c>
      <c r="J147" s="2">
        <v>44</v>
      </c>
      <c r="K147" s="23">
        <v>5.2340425531914887</v>
      </c>
      <c r="L147" s="23">
        <v>38.382978723404257</v>
      </c>
      <c r="M147" s="23">
        <v>97.702127659574458</v>
      </c>
      <c r="N147" s="3" t="s">
        <v>611</v>
      </c>
      <c r="O147" s="2" t="s">
        <v>651</v>
      </c>
      <c r="P147" s="23">
        <v>157.77931034482759</v>
      </c>
      <c r="Q147" s="14">
        <v>8.3188405797101446</v>
      </c>
      <c r="R147" s="14">
        <v>31.492753623188406</v>
      </c>
      <c r="S147" s="14">
        <v>39.811594202898547</v>
      </c>
      <c r="T147" s="14">
        <v>62.985507246376812</v>
      </c>
      <c r="U147" s="14">
        <v>104.62068965517243</v>
      </c>
      <c r="V147" s="24">
        <v>0.30344827586206896</v>
      </c>
      <c r="W147" s="14">
        <f>S147+T147/2+U147+P147</f>
        <v>333.70434782608697</v>
      </c>
      <c r="X147" s="22">
        <v>48</v>
      </c>
      <c r="Y147">
        <v>0</v>
      </c>
      <c r="Z147" t="s">
        <v>650</v>
      </c>
      <c r="AA147">
        <v>279</v>
      </c>
      <c r="AB147">
        <v>145</v>
      </c>
      <c r="AC147">
        <v>185</v>
      </c>
    </row>
    <row r="148" spans="1:29">
      <c r="A148" t="s">
        <v>539</v>
      </c>
      <c r="B148" t="s">
        <v>546</v>
      </c>
      <c r="C148">
        <v>17</v>
      </c>
      <c r="D148" t="s">
        <v>37</v>
      </c>
      <c r="E148" s="1">
        <v>74</v>
      </c>
      <c r="F148">
        <v>215</v>
      </c>
      <c r="G148" s="1">
        <v>19</v>
      </c>
      <c r="H148" t="s">
        <v>41</v>
      </c>
      <c r="I148" t="s">
        <v>44</v>
      </c>
      <c r="J148" s="2">
        <v>38</v>
      </c>
      <c r="K148" s="23">
        <v>20.936170212765955</v>
      </c>
      <c r="L148" s="23">
        <v>22.680851063829788</v>
      </c>
      <c r="M148" s="23">
        <v>38.382978723404257</v>
      </c>
      <c r="N148" s="5" t="s">
        <v>607</v>
      </c>
      <c r="O148" s="2" t="s">
        <v>651</v>
      </c>
      <c r="P148" s="23">
        <v>88.483720930232565</v>
      </c>
      <c r="Q148" s="14">
        <v>24.196721311475407</v>
      </c>
      <c r="R148" s="14">
        <v>26.693208430913348</v>
      </c>
      <c r="S148" s="14">
        <v>50.889929742388759</v>
      </c>
      <c r="T148" s="14">
        <v>25.156908665105384</v>
      </c>
      <c r="U148" s="14">
        <v>181.54418604651164</v>
      </c>
      <c r="V148" s="24"/>
      <c r="W148" s="14">
        <f>S148+T148/2+U148+P148</f>
        <v>333.49629105168566</v>
      </c>
      <c r="Y148">
        <v>1</v>
      </c>
      <c r="Z148" t="s">
        <v>650</v>
      </c>
      <c r="AA148">
        <v>464</v>
      </c>
      <c r="AB148">
        <v>430</v>
      </c>
      <c r="AC148">
        <v>952</v>
      </c>
    </row>
    <row r="149" spans="1:29">
      <c r="A149" s="6" t="s">
        <v>121</v>
      </c>
      <c r="B149" t="s">
        <v>125</v>
      </c>
      <c r="C149">
        <v>2</v>
      </c>
      <c r="D149" t="s">
        <v>65</v>
      </c>
      <c r="E149" s="1">
        <v>78</v>
      </c>
      <c r="F149">
        <v>223</v>
      </c>
      <c r="G149" s="1">
        <v>19</v>
      </c>
      <c r="H149" t="s">
        <v>42</v>
      </c>
      <c r="I149" t="s">
        <v>44</v>
      </c>
      <c r="J149" s="2">
        <f>43+2+43+6</f>
        <v>94</v>
      </c>
      <c r="K149" s="23">
        <v>24.425531914893615</v>
      </c>
      <c r="L149" s="23">
        <v>55.829787234042549</v>
      </c>
      <c r="M149" s="23">
        <v>209.36170212765958</v>
      </c>
      <c r="N149" s="5" t="s">
        <v>605</v>
      </c>
      <c r="O149" s="2" t="s">
        <v>650</v>
      </c>
      <c r="P149" s="23">
        <v>89.184979137691244</v>
      </c>
      <c r="Q149" s="14">
        <v>11.286516853932584</v>
      </c>
      <c r="R149" s="14">
        <v>38.811797752808992</v>
      </c>
      <c r="S149" s="14">
        <v>50.098314606741575</v>
      </c>
      <c r="T149" s="14">
        <v>62.651685393258433</v>
      </c>
      <c r="U149" s="14">
        <v>162.51738525730181</v>
      </c>
      <c r="V149" s="24">
        <v>0.11961057023643949</v>
      </c>
      <c r="W149" s="14">
        <f>S149+T149/2+U149+P149</f>
        <v>333.12652169836383</v>
      </c>
      <c r="X149" s="22">
        <v>96</v>
      </c>
      <c r="Y149">
        <v>1</v>
      </c>
      <c r="Z149" t="s">
        <v>650</v>
      </c>
      <c r="AA149">
        <v>782</v>
      </c>
      <c r="AB149">
        <v>719</v>
      </c>
      <c r="AC149">
        <v>1425</v>
      </c>
    </row>
    <row r="150" spans="1:29">
      <c r="A150" t="s">
        <v>445</v>
      </c>
      <c r="B150" t="s">
        <v>458</v>
      </c>
      <c r="C150">
        <v>59</v>
      </c>
      <c r="D150" t="s">
        <v>34</v>
      </c>
      <c r="E150" s="1">
        <v>71</v>
      </c>
      <c r="F150">
        <v>183</v>
      </c>
      <c r="G150" s="1">
        <v>18</v>
      </c>
      <c r="H150" t="s">
        <v>41</v>
      </c>
      <c r="I150" t="s">
        <v>44</v>
      </c>
      <c r="J150" s="2">
        <f>22+38+7+7</f>
        <v>74</v>
      </c>
      <c r="K150" s="23">
        <v>61.063829787234042</v>
      </c>
      <c r="L150" s="23">
        <v>47.10638297872341</v>
      </c>
      <c r="M150" s="23">
        <v>88.978723404255305</v>
      </c>
      <c r="N150" s="5" t="s">
        <v>608</v>
      </c>
      <c r="O150" s="2" t="s">
        <v>651</v>
      </c>
      <c r="P150" s="23">
        <v>83.120728929384967</v>
      </c>
      <c r="Q150" s="14">
        <v>23.672055427251731</v>
      </c>
      <c r="R150" s="14">
        <v>19.695150115473439</v>
      </c>
      <c r="S150" s="14">
        <v>43.367205542725173</v>
      </c>
      <c r="T150" s="14">
        <v>30.300230946882216</v>
      </c>
      <c r="U150" s="14">
        <v>191.45785876993168</v>
      </c>
      <c r="V150" s="24"/>
      <c r="W150" s="14">
        <f>S150+T150/2+U150+P150</f>
        <v>333.09590871548289</v>
      </c>
      <c r="Y150">
        <v>0</v>
      </c>
      <c r="Z150" t="s">
        <v>650</v>
      </c>
      <c r="AA150">
        <v>445</v>
      </c>
      <c r="AB150">
        <v>439</v>
      </c>
      <c r="AC150">
        <v>1025</v>
      </c>
    </row>
    <row r="151" spans="1:29">
      <c r="A151" s="6" t="s">
        <v>49</v>
      </c>
      <c r="B151" t="s">
        <v>57</v>
      </c>
      <c r="C151">
        <v>4</v>
      </c>
      <c r="D151" t="s">
        <v>35</v>
      </c>
      <c r="E151" s="1">
        <v>72</v>
      </c>
      <c r="F151">
        <v>175</v>
      </c>
      <c r="G151" s="1">
        <v>18</v>
      </c>
      <c r="H151" t="s">
        <v>41</v>
      </c>
      <c r="I151" t="s">
        <v>43</v>
      </c>
      <c r="J151" s="2">
        <f>1+3+5+63</f>
        <v>72</v>
      </c>
      <c r="K151" s="23">
        <v>82</v>
      </c>
      <c r="L151" s="23">
        <v>158.7659574468085</v>
      </c>
      <c r="M151" s="23">
        <v>102.93617021276594</v>
      </c>
      <c r="N151" s="5" t="s">
        <v>600</v>
      </c>
      <c r="O151" s="2" t="s">
        <v>650</v>
      </c>
      <c r="P151" s="23">
        <v>34.692307692307693</v>
      </c>
      <c r="Q151" s="14">
        <v>22.478764478764479</v>
      </c>
      <c r="R151" s="14">
        <v>54.138996138996134</v>
      </c>
      <c r="S151" s="14">
        <v>76.617760617760609</v>
      </c>
      <c r="T151" s="14">
        <v>28.494208494208493</v>
      </c>
      <c r="U151" s="14">
        <v>205.94615384615383</v>
      </c>
      <c r="V151" s="24"/>
      <c r="W151" s="14">
        <f>S151+T151/2+U151+P151</f>
        <v>331.50332640332635</v>
      </c>
      <c r="Y151">
        <v>1</v>
      </c>
      <c r="Z151" t="s">
        <v>650</v>
      </c>
      <c r="AA151">
        <v>110</v>
      </c>
      <c r="AB151">
        <v>260</v>
      </c>
      <c r="AC151">
        <v>653</v>
      </c>
    </row>
    <row r="152" spans="1:29">
      <c r="A152" t="s">
        <v>498</v>
      </c>
      <c r="B152" t="s">
        <v>504</v>
      </c>
      <c r="C152">
        <v>15</v>
      </c>
      <c r="D152" t="s">
        <v>34</v>
      </c>
      <c r="E152" s="1">
        <v>73</v>
      </c>
      <c r="F152">
        <v>218</v>
      </c>
      <c r="G152" s="1">
        <v>18</v>
      </c>
      <c r="H152" t="s">
        <v>41</v>
      </c>
      <c r="I152" t="s">
        <v>44</v>
      </c>
      <c r="J152" s="2">
        <f>21+35+6</f>
        <v>62</v>
      </c>
      <c r="K152" s="23">
        <v>33.148936170212764</v>
      </c>
      <c r="L152" s="23">
        <v>76.765957446808514</v>
      </c>
      <c r="M152" s="23">
        <v>160.51063829787233</v>
      </c>
      <c r="N152" s="3" t="s">
        <v>608</v>
      </c>
      <c r="O152" s="2" t="s">
        <v>651</v>
      </c>
      <c r="P152" s="23">
        <v>130.77586206896552</v>
      </c>
      <c r="Q152" s="14">
        <v>18.620087336244541</v>
      </c>
      <c r="R152" s="14">
        <v>27.751091703056769</v>
      </c>
      <c r="S152" s="14">
        <v>46.37117903930131</v>
      </c>
      <c r="T152" s="14">
        <v>35.807860262008731</v>
      </c>
      <c r="U152" s="14">
        <v>136.25431034482759</v>
      </c>
      <c r="V152" s="24"/>
      <c r="W152" s="14">
        <f>S152+T152/2+U152+P152</f>
        <v>331.30528158409879</v>
      </c>
      <c r="Y152">
        <v>1</v>
      </c>
      <c r="Z152" t="s">
        <v>650</v>
      </c>
      <c r="AA152">
        <v>740</v>
      </c>
      <c r="AB152">
        <v>464</v>
      </c>
      <c r="AC152">
        <v>771</v>
      </c>
    </row>
    <row r="153" spans="1:29">
      <c r="A153" t="s">
        <v>220</v>
      </c>
      <c r="B153" t="s">
        <v>225</v>
      </c>
      <c r="C153">
        <v>24</v>
      </c>
      <c r="D153" t="s">
        <v>35</v>
      </c>
      <c r="E153" s="1">
        <v>70</v>
      </c>
      <c r="F153">
        <v>175</v>
      </c>
      <c r="G153" s="1">
        <v>18</v>
      </c>
      <c r="H153" t="s">
        <v>41</v>
      </c>
      <c r="I153" t="s">
        <v>43</v>
      </c>
      <c r="J153" s="2">
        <f>1+5+3+60</f>
        <v>69</v>
      </c>
      <c r="K153" s="23">
        <v>61.063829787234042</v>
      </c>
      <c r="L153" s="23">
        <v>71.531914893617028</v>
      </c>
      <c r="M153" s="23">
        <v>62.808510638297875</v>
      </c>
      <c r="N153" s="5" t="s">
        <v>600</v>
      </c>
      <c r="O153" s="2" t="s">
        <v>651</v>
      </c>
      <c r="P153" s="23">
        <v>87.340996168582379</v>
      </c>
      <c r="Q153" s="14">
        <v>21.629921259842519</v>
      </c>
      <c r="R153" s="14">
        <v>24.858267716535433</v>
      </c>
      <c r="S153" s="14">
        <v>46.488188976377948</v>
      </c>
      <c r="T153" s="14">
        <v>44.874015748031496</v>
      </c>
      <c r="U153" s="14">
        <v>174.36781609195404</v>
      </c>
      <c r="V153" s="24"/>
      <c r="W153" s="14">
        <f>S153+T153/2+U153+P153</f>
        <v>330.63400911093009</v>
      </c>
      <c r="Y153">
        <v>1</v>
      </c>
      <c r="Z153" t="s">
        <v>650</v>
      </c>
      <c r="AA153">
        <v>278</v>
      </c>
      <c r="AB153">
        <v>261</v>
      </c>
      <c r="AC153">
        <v>555</v>
      </c>
    </row>
    <row r="154" spans="1:29">
      <c r="A154" t="s">
        <v>413</v>
      </c>
      <c r="B154" t="s">
        <v>425</v>
      </c>
      <c r="C154">
        <v>7</v>
      </c>
      <c r="D154" t="s">
        <v>35</v>
      </c>
      <c r="E154" s="1">
        <v>75</v>
      </c>
      <c r="F154">
        <v>207</v>
      </c>
      <c r="G154" s="1">
        <v>18</v>
      </c>
      <c r="H154" t="s">
        <v>41</v>
      </c>
      <c r="I154" t="s">
        <v>43</v>
      </c>
      <c r="J154" s="2">
        <v>73</v>
      </c>
      <c r="K154" s="23">
        <v>48.851063829787229</v>
      </c>
      <c r="L154" s="23">
        <v>95.957446808510639</v>
      </c>
      <c r="M154" s="23">
        <v>64.553191489361708</v>
      </c>
      <c r="N154" s="5" t="s">
        <v>600</v>
      </c>
      <c r="O154" s="2" t="s">
        <v>650</v>
      </c>
      <c r="P154" s="23">
        <v>69.079831932773104</v>
      </c>
      <c r="Q154" s="14">
        <v>27.68152866242038</v>
      </c>
      <c r="R154" s="14">
        <v>40.738853503184714</v>
      </c>
      <c r="S154" s="14">
        <v>68.420382165605091</v>
      </c>
      <c r="T154" s="14">
        <v>32.382165605095537</v>
      </c>
      <c r="U154" s="14">
        <v>175.88655462184875</v>
      </c>
      <c r="V154" s="24"/>
      <c r="W154" s="14">
        <f>S154+T154/2+U154+P154</f>
        <v>329.57785152277472</v>
      </c>
      <c r="Y154">
        <v>1</v>
      </c>
      <c r="Z154" t="s">
        <v>650</v>
      </c>
      <c r="AA154">
        <v>401</v>
      </c>
      <c r="AB154">
        <v>476</v>
      </c>
      <c r="AC154">
        <v>1021</v>
      </c>
    </row>
    <row r="155" spans="1:29">
      <c r="A155" s="6" t="s">
        <v>87</v>
      </c>
      <c r="B155" t="s">
        <v>92</v>
      </c>
      <c r="C155">
        <v>55</v>
      </c>
      <c r="D155" t="s">
        <v>38</v>
      </c>
      <c r="E155" s="1">
        <v>72</v>
      </c>
      <c r="F155">
        <v>177</v>
      </c>
      <c r="G155" s="1">
        <v>18</v>
      </c>
      <c r="H155" t="s">
        <v>41</v>
      </c>
      <c r="I155" t="s">
        <v>44</v>
      </c>
      <c r="J155" s="2">
        <f>19+7+45+7+6</f>
        <v>84</v>
      </c>
      <c r="K155" s="23">
        <v>59.319148936170215</v>
      </c>
      <c r="L155" s="23">
        <v>62.808510638297875</v>
      </c>
      <c r="M155" s="23">
        <v>90.723404255319153</v>
      </c>
      <c r="N155" s="5" t="s">
        <v>618</v>
      </c>
      <c r="O155" s="2" t="s">
        <v>651</v>
      </c>
      <c r="P155" s="23">
        <v>104.06425702811245</v>
      </c>
      <c r="Q155" s="14">
        <v>14.847736625514404</v>
      </c>
      <c r="R155" s="14">
        <v>14.847736625514404</v>
      </c>
      <c r="S155" s="14">
        <v>29.695473251028808</v>
      </c>
      <c r="T155" s="14">
        <v>24.971193415637863</v>
      </c>
      <c r="U155" s="14">
        <v>183.10040160642569</v>
      </c>
      <c r="V155" s="24"/>
      <c r="W155" s="14">
        <f>S155+T155/2+U155+P155</f>
        <v>329.34572859338584</v>
      </c>
      <c r="Y155">
        <v>0</v>
      </c>
      <c r="Z155" t="s">
        <v>650</v>
      </c>
      <c r="AA155">
        <v>316</v>
      </c>
      <c r="AB155">
        <v>249</v>
      </c>
      <c r="AC155">
        <v>556</v>
      </c>
    </row>
    <row r="156" spans="1:29">
      <c r="A156" t="s">
        <v>461</v>
      </c>
      <c r="B156" t="s">
        <v>471</v>
      </c>
      <c r="C156">
        <v>4</v>
      </c>
      <c r="D156" t="s">
        <v>65</v>
      </c>
      <c r="E156" s="1">
        <v>75</v>
      </c>
      <c r="F156">
        <v>208</v>
      </c>
      <c r="G156" s="1">
        <v>19</v>
      </c>
      <c r="H156" t="s">
        <v>42</v>
      </c>
      <c r="I156" t="s">
        <v>43</v>
      </c>
      <c r="J156" s="2">
        <v>37</v>
      </c>
      <c r="K156" s="23">
        <v>1.7446808510638296</v>
      </c>
      <c r="L156" s="23">
        <v>13.957446808510637</v>
      </c>
      <c r="M156" s="23">
        <v>71.531914893617028</v>
      </c>
      <c r="N156" s="5" t="s">
        <v>605</v>
      </c>
      <c r="O156" s="2" t="s">
        <v>651</v>
      </c>
      <c r="P156" s="23">
        <v>192.35968379446641</v>
      </c>
      <c r="Q156" s="14">
        <v>3.2800000000000002</v>
      </c>
      <c r="R156" s="14">
        <v>16.564</v>
      </c>
      <c r="S156" s="14">
        <v>19.844000000000001</v>
      </c>
      <c r="T156" s="14">
        <v>47.231999999999999</v>
      </c>
      <c r="U156" s="14">
        <v>93.505928853754952</v>
      </c>
      <c r="V156" s="24">
        <v>2.9702970297029702E-2</v>
      </c>
      <c r="W156" s="14">
        <f>S156+T156/2+U156+P156</f>
        <v>329.32561264822135</v>
      </c>
      <c r="X156" s="22">
        <v>-4</v>
      </c>
      <c r="Y156">
        <v>0</v>
      </c>
      <c r="Z156" t="s">
        <v>650</v>
      </c>
      <c r="AA156">
        <v>1187</v>
      </c>
      <c r="AB156">
        <v>506</v>
      </c>
      <c r="AC156">
        <v>577</v>
      </c>
    </row>
    <row r="157" spans="1:29">
      <c r="A157" t="s">
        <v>445</v>
      </c>
      <c r="B157" t="s">
        <v>459</v>
      </c>
      <c r="C157">
        <v>20</v>
      </c>
      <c r="D157" t="s">
        <v>65</v>
      </c>
      <c r="E157" s="1">
        <v>73</v>
      </c>
      <c r="F157">
        <v>208</v>
      </c>
      <c r="G157" s="1">
        <v>18</v>
      </c>
      <c r="H157" t="s">
        <v>41</v>
      </c>
      <c r="I157" t="s">
        <v>44</v>
      </c>
      <c r="J157" s="2">
        <f>19+5+5+25+34+1</f>
        <v>89</v>
      </c>
      <c r="K157" s="23">
        <v>83.744680851063819</v>
      </c>
      <c r="L157" s="23">
        <v>38.382978723404257</v>
      </c>
      <c r="M157" s="23">
        <v>62.808510638297875</v>
      </c>
      <c r="N157" s="5" t="s">
        <v>618</v>
      </c>
      <c r="O157" s="2" t="s">
        <v>651</v>
      </c>
      <c r="P157" s="23">
        <v>154.99421965317919</v>
      </c>
      <c r="Q157" s="14">
        <v>8.3473053892215567</v>
      </c>
      <c r="R157" s="14">
        <v>13.748502994011975</v>
      </c>
      <c r="S157" s="14">
        <v>22.095808383233532</v>
      </c>
      <c r="T157" s="14">
        <v>23.568862275449099</v>
      </c>
      <c r="U157" s="14">
        <v>139.35260115606937</v>
      </c>
      <c r="V157" s="24"/>
      <c r="W157" s="14">
        <f>S157+T157/2+U157+P157</f>
        <v>328.22706033020665</v>
      </c>
      <c r="Y157">
        <v>0</v>
      </c>
      <c r="Z157" t="s">
        <v>650</v>
      </c>
      <c r="AA157">
        <v>327</v>
      </c>
      <c r="AB157">
        <v>173</v>
      </c>
      <c r="AC157">
        <v>294</v>
      </c>
    </row>
    <row r="158" spans="1:29">
      <c r="A158" t="s">
        <v>525</v>
      </c>
      <c r="B158" t="s">
        <v>537</v>
      </c>
      <c r="C158">
        <v>69</v>
      </c>
      <c r="D158" t="s">
        <v>35</v>
      </c>
      <c r="E158" s="1">
        <v>75</v>
      </c>
      <c r="F158">
        <v>210</v>
      </c>
      <c r="G158" s="1">
        <v>18</v>
      </c>
      <c r="H158" t="s">
        <v>42</v>
      </c>
      <c r="I158" t="s">
        <v>43</v>
      </c>
      <c r="J158" s="2">
        <v>71</v>
      </c>
      <c r="K158" s="23">
        <v>17.446808510638299</v>
      </c>
      <c r="L158" s="23">
        <v>43.617021276595743</v>
      </c>
      <c r="M158" s="23">
        <v>48.851063829787229</v>
      </c>
      <c r="N158" s="5" t="s">
        <v>599</v>
      </c>
      <c r="O158" s="2" t="s">
        <v>651</v>
      </c>
      <c r="P158" s="23">
        <v>158.58149779735683</v>
      </c>
      <c r="Q158" s="14">
        <v>5.454545454545455</v>
      </c>
      <c r="R158" s="14">
        <v>16.181818181818183</v>
      </c>
      <c r="S158" s="14">
        <v>21.636363636363637</v>
      </c>
      <c r="T158" s="14">
        <v>46.909090909090914</v>
      </c>
      <c r="U158" s="14">
        <v>123.54185022026431</v>
      </c>
      <c r="V158" s="24">
        <v>-0.10352422907488987</v>
      </c>
      <c r="W158" s="14">
        <f>S158+T158/2+U158+P158</f>
        <v>327.21425710853021</v>
      </c>
      <c r="X158" s="22">
        <v>-1</v>
      </c>
      <c r="Y158">
        <v>0</v>
      </c>
      <c r="Z158" t="s">
        <v>651</v>
      </c>
      <c r="AA158">
        <v>878</v>
      </c>
      <c r="AB158">
        <v>454</v>
      </c>
      <c r="AC158">
        <v>684</v>
      </c>
    </row>
    <row r="159" spans="1:29">
      <c r="A159" s="6" t="s">
        <v>148</v>
      </c>
      <c r="B159" t="s">
        <v>165</v>
      </c>
      <c r="C159">
        <v>53</v>
      </c>
      <c r="D159" t="s">
        <v>37</v>
      </c>
      <c r="E159" s="1">
        <v>72</v>
      </c>
      <c r="F159">
        <v>183</v>
      </c>
      <c r="G159" s="1">
        <v>19</v>
      </c>
      <c r="H159" t="s">
        <v>42</v>
      </c>
      <c r="I159" t="s">
        <v>43</v>
      </c>
      <c r="J159" s="2">
        <v>65</v>
      </c>
      <c r="K159" s="23">
        <v>10.468085106382977</v>
      </c>
      <c r="L159" s="23">
        <v>31.404255319148938</v>
      </c>
      <c r="M159" s="23">
        <v>90.723404255319153</v>
      </c>
      <c r="N159" s="3" t="s">
        <v>607</v>
      </c>
      <c r="O159" s="2" t="s">
        <v>651</v>
      </c>
      <c r="P159" s="23">
        <v>110.81081081081081</v>
      </c>
      <c r="Q159" s="14">
        <v>12.058823529411764</v>
      </c>
      <c r="R159" s="14">
        <v>31.352941176470587</v>
      </c>
      <c r="S159" s="14">
        <v>43.411764705882348</v>
      </c>
      <c r="T159" s="14">
        <v>47.029411764705877</v>
      </c>
      <c r="U159" s="14">
        <v>148.48648648648648</v>
      </c>
      <c r="V159" s="24">
        <v>-0.3108108108108108</v>
      </c>
      <c r="W159" s="14">
        <f>S159+T159/2+U159+P159</f>
        <v>326.22376788553254</v>
      </c>
      <c r="X159" s="22">
        <v>51</v>
      </c>
      <c r="Y159">
        <v>0</v>
      </c>
      <c r="Z159" t="s">
        <v>651</v>
      </c>
      <c r="AA159">
        <v>100</v>
      </c>
      <c r="AB159">
        <v>74</v>
      </c>
      <c r="AC159">
        <v>134</v>
      </c>
    </row>
    <row r="160" spans="1:29">
      <c r="A160" t="s">
        <v>498</v>
      </c>
      <c r="B160" t="s">
        <v>506</v>
      </c>
      <c r="C160">
        <v>30</v>
      </c>
      <c r="D160" t="s">
        <v>35</v>
      </c>
      <c r="E160" s="1">
        <v>73</v>
      </c>
      <c r="F160">
        <v>201</v>
      </c>
      <c r="G160" s="1">
        <v>20</v>
      </c>
      <c r="H160" t="s">
        <v>41</v>
      </c>
      <c r="I160" t="s">
        <v>44</v>
      </c>
      <c r="J160" s="2">
        <v>60</v>
      </c>
      <c r="K160" s="23">
        <v>64.553191489361708</v>
      </c>
      <c r="L160" s="23">
        <v>94.21276595744682</v>
      </c>
      <c r="M160" s="23">
        <v>64.553191489361708</v>
      </c>
      <c r="N160" s="5" t="s">
        <v>600</v>
      </c>
      <c r="O160" s="2" t="s">
        <v>651</v>
      </c>
      <c r="P160" s="23">
        <v>115.82254196642687</v>
      </c>
      <c r="Q160" s="14">
        <v>18.355231143552313</v>
      </c>
      <c r="R160" s="14">
        <v>17.956204379562045</v>
      </c>
      <c r="S160" s="14">
        <v>36.311435523114355</v>
      </c>
      <c r="T160" s="14">
        <v>22.145985401459853</v>
      </c>
      <c r="U160" s="14">
        <v>162.8201438848921</v>
      </c>
      <c r="V160" s="24"/>
      <c r="W160" s="14">
        <f>S160+T160/2+U160+P160</f>
        <v>326.02711407516324</v>
      </c>
      <c r="Y160">
        <v>0</v>
      </c>
      <c r="Z160" t="s">
        <v>650</v>
      </c>
      <c r="AA160">
        <v>589</v>
      </c>
      <c r="AB160">
        <v>417</v>
      </c>
      <c r="AC160">
        <v>828</v>
      </c>
    </row>
    <row r="161" spans="1:29">
      <c r="A161" t="s">
        <v>461</v>
      </c>
      <c r="B161" t="s">
        <v>474</v>
      </c>
      <c r="C161">
        <v>1</v>
      </c>
      <c r="D161" t="s">
        <v>35</v>
      </c>
      <c r="E161" s="1">
        <v>72</v>
      </c>
      <c r="F161">
        <v>184</v>
      </c>
      <c r="G161" s="1">
        <v>18</v>
      </c>
      <c r="H161" t="s">
        <v>41</v>
      </c>
      <c r="I161" t="s">
        <v>44</v>
      </c>
      <c r="J161" s="2">
        <v>69</v>
      </c>
      <c r="K161" s="23">
        <v>54.085106382978722</v>
      </c>
      <c r="L161" s="23">
        <v>130.85106382978722</v>
      </c>
      <c r="M161" s="23">
        <v>88.978723404255305</v>
      </c>
      <c r="N161" s="3" t="s">
        <v>599</v>
      </c>
      <c r="O161" s="2" t="s">
        <v>651</v>
      </c>
      <c r="P161" s="23">
        <v>64.843971631205676</v>
      </c>
      <c r="Q161" s="14">
        <v>22.138543516873892</v>
      </c>
      <c r="R161" s="14">
        <v>35.683836589698046</v>
      </c>
      <c r="S161" s="14">
        <v>57.822380106571934</v>
      </c>
      <c r="T161" s="14">
        <v>26.21669626998224</v>
      </c>
      <c r="U161" s="14">
        <v>189.87943262411346</v>
      </c>
      <c r="V161" s="24"/>
      <c r="W161" s="14">
        <f>S161+T161/2+U161+P161</f>
        <v>325.6541324968822</v>
      </c>
      <c r="Y161">
        <v>1</v>
      </c>
      <c r="Z161" t="s">
        <v>650</v>
      </c>
      <c r="AA161">
        <v>446</v>
      </c>
      <c r="AB161">
        <v>564</v>
      </c>
      <c r="AC161">
        <v>1306</v>
      </c>
    </row>
    <row r="162" spans="1:29">
      <c r="A162" t="s">
        <v>461</v>
      </c>
      <c r="B162" t="s">
        <v>465</v>
      </c>
      <c r="C162">
        <v>3</v>
      </c>
      <c r="D162" t="s">
        <v>477</v>
      </c>
      <c r="E162" s="1">
        <v>74</v>
      </c>
      <c r="F162">
        <v>208</v>
      </c>
      <c r="G162" s="1">
        <v>19</v>
      </c>
      <c r="H162" t="s">
        <v>41</v>
      </c>
      <c r="I162" t="s">
        <v>44</v>
      </c>
      <c r="J162" s="2">
        <f>13+7+64+4</f>
        <v>88</v>
      </c>
      <c r="K162" s="23">
        <v>73.276595744680847</v>
      </c>
      <c r="L162" s="23">
        <v>137.82978723404256</v>
      </c>
      <c r="M162" s="23">
        <v>132.59574468085106</v>
      </c>
      <c r="N162" s="3" t="s">
        <v>599</v>
      </c>
      <c r="O162" s="2" t="s">
        <v>650</v>
      </c>
      <c r="P162" s="23">
        <v>45.412073490813647</v>
      </c>
      <c r="Q162" s="14">
        <v>30.832000000000001</v>
      </c>
      <c r="R162" s="14">
        <v>47.013333333333335</v>
      </c>
      <c r="S162" s="14">
        <v>77.845333333333343</v>
      </c>
      <c r="T162" s="14">
        <v>28.864000000000001</v>
      </c>
      <c r="U162" s="14">
        <v>187.67454068241472</v>
      </c>
      <c r="V162" s="24"/>
      <c r="W162" s="14">
        <f>S162+T162/2+U162+P162</f>
        <v>325.36394750656171</v>
      </c>
      <c r="Y162">
        <v>1</v>
      </c>
      <c r="Z162" t="s">
        <v>650</v>
      </c>
      <c r="AA162">
        <v>211</v>
      </c>
      <c r="AB162">
        <v>381</v>
      </c>
      <c r="AC162">
        <v>872</v>
      </c>
    </row>
    <row r="163" spans="1:29">
      <c r="A163" t="s">
        <v>220</v>
      </c>
      <c r="B163" t="s">
        <v>233</v>
      </c>
      <c r="C163">
        <v>7</v>
      </c>
      <c r="D163" t="s">
        <v>37</v>
      </c>
      <c r="E163" s="1">
        <v>74</v>
      </c>
      <c r="F163">
        <v>214</v>
      </c>
      <c r="G163" s="1">
        <v>18</v>
      </c>
      <c r="H163" t="s">
        <v>41</v>
      </c>
      <c r="I163" t="s">
        <v>44</v>
      </c>
      <c r="J163" s="2">
        <v>63</v>
      </c>
      <c r="K163" s="23">
        <v>41.87234042553191</v>
      </c>
      <c r="L163" s="23">
        <v>113.40425531914894</v>
      </c>
      <c r="M163" s="23">
        <v>48.851063829787229</v>
      </c>
      <c r="N163" s="3" t="s">
        <v>614</v>
      </c>
      <c r="O163" s="2" t="s">
        <v>651</v>
      </c>
      <c r="P163" s="23">
        <v>39.311212814645309</v>
      </c>
      <c r="Q163" s="14">
        <v>18.821222606689734</v>
      </c>
      <c r="R163" s="14">
        <v>42.844290657439444</v>
      </c>
      <c r="S163" s="14">
        <v>61.665513264129181</v>
      </c>
      <c r="T163" s="14">
        <v>41.614763552479815</v>
      </c>
      <c r="U163" s="14">
        <v>203.21739130434781</v>
      </c>
      <c r="V163" s="24"/>
      <c r="W163" s="14">
        <f>S163+T163/2+U163+P163</f>
        <v>325.00149915936225</v>
      </c>
      <c r="Y163">
        <v>1</v>
      </c>
      <c r="Z163" t="s">
        <v>650</v>
      </c>
      <c r="AA163">
        <v>419</v>
      </c>
      <c r="AB163">
        <v>874</v>
      </c>
      <c r="AC163">
        <v>2166</v>
      </c>
    </row>
    <row r="164" spans="1:29">
      <c r="A164" s="6" t="s">
        <v>87</v>
      </c>
      <c r="B164" t="s">
        <v>88</v>
      </c>
      <c r="C164">
        <v>16</v>
      </c>
      <c r="D164" t="s">
        <v>38</v>
      </c>
      <c r="E164" s="1">
        <v>76</v>
      </c>
      <c r="F164">
        <v>210</v>
      </c>
      <c r="G164" s="1">
        <v>18</v>
      </c>
      <c r="H164" t="s">
        <v>41</v>
      </c>
      <c r="I164" t="s">
        <v>43</v>
      </c>
      <c r="J164" s="2">
        <v>48</v>
      </c>
      <c r="K164" s="23">
        <v>31.404255319148938</v>
      </c>
      <c r="L164" s="23">
        <v>19.191489361702128</v>
      </c>
      <c r="M164" s="23">
        <v>41.87234042553191</v>
      </c>
      <c r="N164" s="3" t="s">
        <v>615</v>
      </c>
      <c r="O164" s="2" t="s">
        <v>651</v>
      </c>
      <c r="P164" s="23">
        <v>125.33840304182509</v>
      </c>
      <c r="Q164" s="14">
        <v>14.67704280155642</v>
      </c>
      <c r="R164" s="14">
        <v>14.67704280155642</v>
      </c>
      <c r="S164" s="14">
        <v>29.354085603112839</v>
      </c>
      <c r="T164" s="14">
        <v>22.334630350194551</v>
      </c>
      <c r="U164" s="14">
        <v>159.01140684410646</v>
      </c>
      <c r="V164" s="24"/>
      <c r="W164" s="14">
        <f>S164+T164/2+U164+P164</f>
        <v>324.87121066414164</v>
      </c>
      <c r="Y164">
        <v>0</v>
      </c>
      <c r="Z164" t="s">
        <v>650</v>
      </c>
      <c r="AA164">
        <v>402</v>
      </c>
      <c r="AB164">
        <v>263</v>
      </c>
      <c r="AC164">
        <v>510</v>
      </c>
    </row>
    <row r="165" spans="1:29">
      <c r="A165" t="s">
        <v>354</v>
      </c>
      <c r="B165" t="s">
        <v>340</v>
      </c>
      <c r="C165">
        <v>3</v>
      </c>
      <c r="D165" t="s">
        <v>35</v>
      </c>
      <c r="E165" s="1">
        <v>71</v>
      </c>
      <c r="F165">
        <v>195</v>
      </c>
      <c r="G165" s="1">
        <v>18</v>
      </c>
      <c r="H165" t="s">
        <v>41</v>
      </c>
      <c r="I165" t="s">
        <v>44</v>
      </c>
      <c r="J165" s="2">
        <v>57</v>
      </c>
      <c r="K165" s="23">
        <v>54.085106382978722</v>
      </c>
      <c r="L165" s="23">
        <v>83.744680851063819</v>
      </c>
      <c r="M165" s="23">
        <v>73.276595744680847</v>
      </c>
      <c r="N165" s="3" t="s">
        <v>600</v>
      </c>
      <c r="O165" s="2" t="s">
        <v>651</v>
      </c>
      <c r="P165" s="23">
        <v>52.162018592297478</v>
      </c>
      <c r="Q165" s="14">
        <v>26.125836680053549</v>
      </c>
      <c r="R165" s="14">
        <v>35.785809906291838</v>
      </c>
      <c r="S165" s="14">
        <v>61.911646586345384</v>
      </c>
      <c r="T165" s="14">
        <v>19.100401606425702</v>
      </c>
      <c r="U165" s="14">
        <v>201.02523240371846</v>
      </c>
      <c r="V165" s="24"/>
      <c r="W165" s="14">
        <f>S165+T165/2+U165+P165</f>
        <v>324.64909838557418</v>
      </c>
      <c r="Y165">
        <v>1</v>
      </c>
      <c r="Z165" t="s">
        <v>650</v>
      </c>
      <c r="AA165">
        <v>479</v>
      </c>
      <c r="AB165">
        <v>753</v>
      </c>
      <c r="AC165">
        <v>1846</v>
      </c>
    </row>
    <row r="166" spans="1:29">
      <c r="A166" s="6" t="s">
        <v>121</v>
      </c>
      <c r="B166" t="s">
        <v>132</v>
      </c>
      <c r="C166">
        <v>14</v>
      </c>
      <c r="D166" t="s">
        <v>34</v>
      </c>
      <c r="E166" s="1">
        <v>72</v>
      </c>
      <c r="F166">
        <v>206</v>
      </c>
      <c r="G166" s="1">
        <v>18</v>
      </c>
      <c r="H166" t="s">
        <v>42</v>
      </c>
      <c r="I166" t="s">
        <v>43</v>
      </c>
      <c r="J166" s="2">
        <v>64</v>
      </c>
      <c r="K166" s="23">
        <v>24.425531914893615</v>
      </c>
      <c r="L166" s="23">
        <v>54.085106382978722</v>
      </c>
      <c r="M166" s="23">
        <v>111.6595744680851</v>
      </c>
      <c r="N166" s="3" t="s">
        <v>608</v>
      </c>
      <c r="O166" s="2" t="s">
        <v>651</v>
      </c>
      <c r="P166" s="23">
        <v>79.542586750788644</v>
      </c>
      <c r="Q166" s="14">
        <v>10.462519936204146</v>
      </c>
      <c r="R166" s="14">
        <v>37.141945773524718</v>
      </c>
      <c r="S166" s="14">
        <v>47.604465709728863</v>
      </c>
      <c r="T166" s="14">
        <v>49.435406698564591</v>
      </c>
      <c r="U166" s="14">
        <v>172.66561514195581</v>
      </c>
      <c r="V166" s="24">
        <v>-4.7318611987381704E-3</v>
      </c>
      <c r="W166" s="14">
        <f>S166+T166/2+U166+P166</f>
        <v>324.53037095175563</v>
      </c>
      <c r="X166" s="22">
        <v>69</v>
      </c>
      <c r="Y166">
        <v>1</v>
      </c>
      <c r="Z166" t="s">
        <v>651</v>
      </c>
      <c r="AA166">
        <v>615</v>
      </c>
      <c r="AB166">
        <v>634</v>
      </c>
      <c r="AC166">
        <v>1335</v>
      </c>
    </row>
    <row r="167" spans="1:29">
      <c r="A167" s="6" t="s">
        <v>69</v>
      </c>
      <c r="B167" t="s">
        <v>70</v>
      </c>
      <c r="C167">
        <v>1</v>
      </c>
      <c r="D167" t="s">
        <v>65</v>
      </c>
      <c r="E167" s="1">
        <v>75</v>
      </c>
      <c r="F167">
        <v>186</v>
      </c>
      <c r="G167" s="1">
        <v>18</v>
      </c>
      <c r="H167" t="s">
        <v>42</v>
      </c>
      <c r="I167" t="s">
        <v>44</v>
      </c>
      <c r="J167" s="2">
        <f>10+2+5+1+41+7</f>
        <v>66</v>
      </c>
      <c r="K167" s="23">
        <v>13.957446808510637</v>
      </c>
      <c r="L167" s="23">
        <v>52.340425531914896</v>
      </c>
      <c r="M167" s="23">
        <v>62.808510638297875</v>
      </c>
      <c r="N167" s="3" t="s">
        <v>65</v>
      </c>
      <c r="O167" s="2" t="s">
        <v>651</v>
      </c>
      <c r="P167" s="23">
        <v>95.150943396226424</v>
      </c>
      <c r="Q167" s="14">
        <v>7.9611650485436893</v>
      </c>
      <c r="R167" s="14">
        <v>37.417475728155338</v>
      </c>
      <c r="S167" s="14">
        <v>45.378640776699029</v>
      </c>
      <c r="T167" s="14">
        <v>41.398058252427184</v>
      </c>
      <c r="U167" s="14">
        <v>162.45283018867926</v>
      </c>
      <c r="V167" s="24">
        <v>-0.10377358490566038</v>
      </c>
      <c r="W167" s="14">
        <f>S167+T167/2+U167+P167</f>
        <v>323.68144348781829</v>
      </c>
      <c r="X167" s="22">
        <v>69</v>
      </c>
      <c r="Y167">
        <v>1</v>
      </c>
      <c r="Z167" t="s">
        <v>651</v>
      </c>
      <c r="AA167">
        <v>123</v>
      </c>
      <c r="AB167">
        <v>106</v>
      </c>
      <c r="AC167">
        <v>210</v>
      </c>
    </row>
    <row r="168" spans="1:29">
      <c r="A168" s="6" t="s">
        <v>87</v>
      </c>
      <c r="B168" t="s">
        <v>97</v>
      </c>
      <c r="C168">
        <v>60</v>
      </c>
      <c r="D168" t="s">
        <v>85</v>
      </c>
      <c r="E168" s="1">
        <v>70</v>
      </c>
      <c r="F168">
        <v>182</v>
      </c>
      <c r="G168" s="1">
        <v>19</v>
      </c>
      <c r="H168" t="s">
        <v>41</v>
      </c>
      <c r="I168" t="s">
        <v>44</v>
      </c>
      <c r="J168" s="2">
        <f>48+1+48+7</f>
        <v>104</v>
      </c>
      <c r="K168" s="23">
        <v>38.382978723404257</v>
      </c>
      <c r="L168" s="23">
        <v>36.638297872340424</v>
      </c>
      <c r="M168" s="23">
        <v>80.255319148936167</v>
      </c>
      <c r="N168" s="5" t="s">
        <v>36</v>
      </c>
      <c r="O168" s="2" t="s">
        <v>651</v>
      </c>
      <c r="P168" s="23">
        <v>79.700934579439249</v>
      </c>
      <c r="Q168" s="14">
        <v>23.406427221172024</v>
      </c>
      <c r="R168" s="14">
        <v>24.026465028355389</v>
      </c>
      <c r="S168" s="14">
        <v>47.432892249527413</v>
      </c>
      <c r="T168" s="14">
        <v>31.001890359168243</v>
      </c>
      <c r="U168" s="14">
        <v>180.70654205607474</v>
      </c>
      <c r="V168" s="24"/>
      <c r="W168" s="14">
        <f>S168+T168/2+U168+P168</f>
        <v>323.34131406462552</v>
      </c>
      <c r="Y168">
        <v>1</v>
      </c>
      <c r="Z168" t="s">
        <v>650</v>
      </c>
      <c r="AA168">
        <v>520</v>
      </c>
      <c r="AB168">
        <v>535</v>
      </c>
      <c r="AC168">
        <v>1179</v>
      </c>
    </row>
    <row r="169" spans="1:29">
      <c r="A169" t="s">
        <v>498</v>
      </c>
      <c r="B169" t="s">
        <v>507</v>
      </c>
      <c r="C169">
        <v>5</v>
      </c>
      <c r="D169" t="s">
        <v>65</v>
      </c>
      <c r="E169" s="1">
        <v>74</v>
      </c>
      <c r="F169">
        <v>176</v>
      </c>
      <c r="G169" s="1">
        <v>19</v>
      </c>
      <c r="H169" t="s">
        <v>41</v>
      </c>
      <c r="I169" t="s">
        <v>44</v>
      </c>
      <c r="J169" s="2">
        <v>49</v>
      </c>
      <c r="K169" s="23">
        <v>33.148936170212764</v>
      </c>
      <c r="L169" s="23">
        <v>40.127659574468083</v>
      </c>
      <c r="M169" s="23">
        <v>24.425531914893615</v>
      </c>
      <c r="N169" s="5" t="s">
        <v>606</v>
      </c>
      <c r="O169" s="2" t="s">
        <v>650</v>
      </c>
      <c r="P169" s="23">
        <v>56.58</v>
      </c>
      <c r="Q169" s="14">
        <v>32.276595744680854</v>
      </c>
      <c r="R169" s="14">
        <v>49.723404255319153</v>
      </c>
      <c r="S169" s="14">
        <v>82</v>
      </c>
      <c r="T169" s="14">
        <v>13.957446808510639</v>
      </c>
      <c r="U169" s="14">
        <v>177.12</v>
      </c>
      <c r="V169" s="24"/>
      <c r="W169" s="14">
        <f>S169+T169/2+U169+P169</f>
        <v>322.67872340425532</v>
      </c>
      <c r="Y169">
        <v>1</v>
      </c>
      <c r="Z169" t="s">
        <v>650</v>
      </c>
      <c r="AA169">
        <v>69</v>
      </c>
      <c r="AB169">
        <v>100</v>
      </c>
      <c r="AC169">
        <v>216</v>
      </c>
    </row>
    <row r="170" spans="1:29">
      <c r="A170" t="s">
        <v>525</v>
      </c>
      <c r="B170" t="s">
        <v>533</v>
      </c>
      <c r="C170">
        <v>5</v>
      </c>
      <c r="D170" t="s">
        <v>65</v>
      </c>
      <c r="E170" s="1">
        <v>73</v>
      </c>
      <c r="F170">
        <v>195</v>
      </c>
      <c r="G170" s="1">
        <v>19</v>
      </c>
      <c r="H170" t="s">
        <v>41</v>
      </c>
      <c r="I170" t="s">
        <v>43</v>
      </c>
      <c r="J170" s="2">
        <v>48</v>
      </c>
      <c r="K170" s="23">
        <v>19.191489361702128</v>
      </c>
      <c r="L170" s="23">
        <v>33.148936170212764</v>
      </c>
      <c r="M170" s="23">
        <v>3.4893617021276593</v>
      </c>
      <c r="N170" s="3" t="s">
        <v>605</v>
      </c>
      <c r="O170" s="2" t="s">
        <v>651</v>
      </c>
      <c r="P170" s="23">
        <v>99.280991735537199</v>
      </c>
      <c r="Q170" s="14">
        <v>17.388773388773391</v>
      </c>
      <c r="R170" s="14">
        <v>31.027027027027028</v>
      </c>
      <c r="S170" s="14">
        <v>48.415800415800419</v>
      </c>
      <c r="T170" s="14">
        <v>18.752598752598754</v>
      </c>
      <c r="U170" s="14">
        <v>165.01652892561984</v>
      </c>
      <c r="V170" s="24"/>
      <c r="W170" s="14">
        <f>S170+T170/2+U170+P170</f>
        <v>322.08962045325683</v>
      </c>
      <c r="Y170">
        <v>1</v>
      </c>
      <c r="Z170" t="s">
        <v>650</v>
      </c>
      <c r="AA170">
        <v>586</v>
      </c>
      <c r="AB170">
        <v>484</v>
      </c>
      <c r="AC170">
        <v>974</v>
      </c>
    </row>
    <row r="171" spans="1:29">
      <c r="A171" t="s">
        <v>478</v>
      </c>
      <c r="B171" t="s">
        <v>495</v>
      </c>
      <c r="C171">
        <v>51</v>
      </c>
      <c r="D171" t="s">
        <v>34</v>
      </c>
      <c r="E171" s="1">
        <v>72</v>
      </c>
      <c r="F171">
        <v>196</v>
      </c>
      <c r="G171" s="1">
        <v>18</v>
      </c>
      <c r="H171" t="s">
        <v>41</v>
      </c>
      <c r="I171" t="s">
        <v>43</v>
      </c>
      <c r="J171" s="2">
        <v>60</v>
      </c>
      <c r="K171" s="23">
        <v>76.765957446808514</v>
      </c>
      <c r="L171" s="23">
        <v>116.8936170212766</v>
      </c>
      <c r="M171" s="23">
        <v>38.382978723404257</v>
      </c>
      <c r="N171" s="5" t="s">
        <v>603</v>
      </c>
      <c r="O171" s="2" t="s">
        <v>651</v>
      </c>
      <c r="P171" s="23">
        <v>61.088825214899707</v>
      </c>
      <c r="Q171" s="14">
        <v>19.078034682080926</v>
      </c>
      <c r="R171" s="14">
        <v>35.312138728323696</v>
      </c>
      <c r="S171" s="14">
        <v>54.390173410404621</v>
      </c>
      <c r="T171" s="14">
        <v>20.855491329479769</v>
      </c>
      <c r="U171" s="14">
        <v>195.13180515759311</v>
      </c>
      <c r="V171" s="24"/>
      <c r="W171" s="14">
        <f>S171+T171/2+U171+P171</f>
        <v>321.03854944763731</v>
      </c>
      <c r="Y171">
        <v>1</v>
      </c>
      <c r="Z171" t="s">
        <v>650</v>
      </c>
      <c r="AA171">
        <v>520</v>
      </c>
      <c r="AB171">
        <v>698</v>
      </c>
      <c r="AC171">
        <v>1661</v>
      </c>
    </row>
    <row r="172" spans="1:29">
      <c r="A172" t="s">
        <v>510</v>
      </c>
      <c r="B172" t="s">
        <v>521</v>
      </c>
      <c r="C172">
        <v>178</v>
      </c>
      <c r="D172" t="s">
        <v>35</v>
      </c>
      <c r="E172" s="1">
        <v>76</v>
      </c>
      <c r="F172">
        <v>219</v>
      </c>
      <c r="G172" s="1">
        <v>18</v>
      </c>
      <c r="H172" t="s">
        <v>41</v>
      </c>
      <c r="I172" t="s">
        <v>43</v>
      </c>
      <c r="J172" s="2">
        <v>39</v>
      </c>
      <c r="K172" s="23">
        <v>19.191489361702128</v>
      </c>
      <c r="L172" s="23">
        <v>29.659574468085108</v>
      </c>
      <c r="M172" s="23">
        <v>43.617021276595743</v>
      </c>
      <c r="N172" s="5" t="s">
        <v>599</v>
      </c>
      <c r="O172" s="2" t="s">
        <v>650</v>
      </c>
      <c r="P172" s="23">
        <v>62.589371980676326</v>
      </c>
      <c r="Q172" s="14">
        <v>27.667481662591687</v>
      </c>
      <c r="R172" s="14">
        <v>40.899755501222494</v>
      </c>
      <c r="S172" s="14">
        <v>68.567237163814184</v>
      </c>
      <c r="T172" s="14">
        <v>26.264058679706604</v>
      </c>
      <c r="U172" s="14">
        <v>176.47826086956519</v>
      </c>
      <c r="V172" s="24"/>
      <c r="W172" s="14">
        <f>S172+T172/2+U172+P172</f>
        <v>320.76689935390903</v>
      </c>
      <c r="Y172">
        <v>1</v>
      </c>
      <c r="Z172" t="s">
        <v>650</v>
      </c>
      <c r="AA172">
        <v>316</v>
      </c>
      <c r="AB172">
        <v>414</v>
      </c>
      <c r="AC172">
        <v>891</v>
      </c>
    </row>
    <row r="173" spans="1:29">
      <c r="A173" t="s">
        <v>445</v>
      </c>
      <c r="B173" t="s">
        <v>451</v>
      </c>
      <c r="C173">
        <v>15</v>
      </c>
      <c r="D173" t="s">
        <v>34</v>
      </c>
      <c r="E173" s="1">
        <v>72</v>
      </c>
      <c r="F173">
        <v>195</v>
      </c>
      <c r="G173" s="1">
        <v>19</v>
      </c>
      <c r="H173" t="s">
        <v>41</v>
      </c>
      <c r="I173" t="s">
        <v>43</v>
      </c>
      <c r="J173" s="2">
        <v>34</v>
      </c>
      <c r="K173" s="23">
        <v>33.148936170212764</v>
      </c>
      <c r="L173" s="23">
        <v>22.680851063829788</v>
      </c>
      <c r="M173" s="23">
        <v>59.319148936170215</v>
      </c>
      <c r="N173" s="3" t="s">
        <v>622</v>
      </c>
      <c r="O173" s="2" t="s">
        <v>651</v>
      </c>
      <c r="P173" s="23">
        <v>111.34736842105264</v>
      </c>
      <c r="Q173" s="14">
        <v>11.056179775280899</v>
      </c>
      <c r="R173" s="14">
        <v>15.662921348314608</v>
      </c>
      <c r="S173" s="14">
        <v>26.719101123595507</v>
      </c>
      <c r="T173" s="14">
        <v>54.359550561797754</v>
      </c>
      <c r="U173" s="14">
        <v>155.36842105263156</v>
      </c>
      <c r="V173" s="24"/>
      <c r="W173" s="14">
        <f>S173+T173/2+U173+P173</f>
        <v>320.61466587817858</v>
      </c>
      <c r="Y173">
        <v>0</v>
      </c>
      <c r="Z173" t="s">
        <v>650</v>
      </c>
      <c r="AA173">
        <v>129</v>
      </c>
      <c r="AB173">
        <v>95</v>
      </c>
      <c r="AC173">
        <v>180</v>
      </c>
    </row>
    <row r="174" spans="1:29">
      <c r="A174" t="s">
        <v>430</v>
      </c>
      <c r="B174" t="s">
        <v>432</v>
      </c>
      <c r="C174">
        <v>12</v>
      </c>
      <c r="D174" t="s">
        <v>35</v>
      </c>
      <c r="E174" s="1">
        <v>73</v>
      </c>
      <c r="F174">
        <v>195</v>
      </c>
      <c r="G174" s="1">
        <v>18</v>
      </c>
      <c r="H174" t="s">
        <v>42</v>
      </c>
      <c r="I174" t="s">
        <v>44</v>
      </c>
      <c r="J174" s="2">
        <v>74</v>
      </c>
      <c r="K174" s="23">
        <v>13.957446808510637</v>
      </c>
      <c r="L174" s="23">
        <v>106.42553191489361</v>
      </c>
      <c r="M174" s="23">
        <v>69.787234042553195</v>
      </c>
      <c r="N174" s="3" t="s">
        <v>600</v>
      </c>
      <c r="O174" s="2" t="s">
        <v>651</v>
      </c>
      <c r="P174" s="23">
        <v>169.90074441687344</v>
      </c>
      <c r="Q174" s="14">
        <v>2.8844221105527641</v>
      </c>
      <c r="R174" s="14">
        <v>17.512562814070353</v>
      </c>
      <c r="S174" s="14">
        <v>20.396984924623116</v>
      </c>
      <c r="T174" s="14">
        <v>29.668341708542712</v>
      </c>
      <c r="U174" s="14">
        <v>115.16625310173697</v>
      </c>
      <c r="V174" s="24">
        <v>8.4367245657568243E-2</v>
      </c>
      <c r="W174" s="14">
        <f>S174+T174/2+U174+P174</f>
        <v>320.29815329750488</v>
      </c>
      <c r="X174" s="22">
        <v>-3</v>
      </c>
      <c r="Y174">
        <v>0</v>
      </c>
      <c r="Z174" t="s">
        <v>650</v>
      </c>
      <c r="AA174">
        <v>835</v>
      </c>
      <c r="AB174">
        <v>403</v>
      </c>
      <c r="AC174">
        <v>566</v>
      </c>
    </row>
    <row r="175" spans="1:29">
      <c r="A175" t="s">
        <v>461</v>
      </c>
      <c r="B175" t="s">
        <v>462</v>
      </c>
      <c r="C175">
        <v>174</v>
      </c>
      <c r="D175" t="s">
        <v>35</v>
      </c>
      <c r="E175" s="1">
        <v>70</v>
      </c>
      <c r="F175">
        <v>176</v>
      </c>
      <c r="G175" s="1">
        <v>19</v>
      </c>
      <c r="H175" t="s">
        <v>41</v>
      </c>
      <c r="I175" t="s">
        <v>43</v>
      </c>
      <c r="J175" s="2">
        <v>46</v>
      </c>
      <c r="K175" s="23">
        <v>61.063829787234042</v>
      </c>
      <c r="L175" s="23">
        <v>92.468085106382972</v>
      </c>
      <c r="M175" s="23">
        <v>155.27659574468086</v>
      </c>
      <c r="N175" s="5" t="s">
        <v>603</v>
      </c>
      <c r="O175" s="2" t="s">
        <v>651</v>
      </c>
      <c r="P175" s="23">
        <v>189.40845070422534</v>
      </c>
      <c r="Q175" s="14">
        <v>12.058823529411764</v>
      </c>
      <c r="R175" s="14">
        <v>9.6470588235294112</v>
      </c>
      <c r="S175" s="14">
        <v>21.705882352941174</v>
      </c>
      <c r="T175" s="14">
        <v>27.735294117647058</v>
      </c>
      <c r="U175" s="14">
        <v>95.281690140845072</v>
      </c>
      <c r="V175" s="24"/>
      <c r="W175" s="14">
        <f>S175+T175/2+U175+P175</f>
        <v>320.2636702568351</v>
      </c>
      <c r="X175" s="22">
        <v>-1</v>
      </c>
      <c r="Y175">
        <v>0</v>
      </c>
      <c r="Z175" t="s">
        <v>650</v>
      </c>
      <c r="AA175">
        <v>328</v>
      </c>
      <c r="AB175">
        <v>142</v>
      </c>
      <c r="AC175">
        <v>165</v>
      </c>
    </row>
    <row r="176" spans="1:29">
      <c r="A176" t="s">
        <v>430</v>
      </c>
      <c r="B176" t="s">
        <v>433</v>
      </c>
      <c r="C176">
        <v>39</v>
      </c>
      <c r="D176" t="s">
        <v>34</v>
      </c>
      <c r="E176" s="1">
        <v>67</v>
      </c>
      <c r="F176">
        <v>165</v>
      </c>
      <c r="G176" s="1">
        <v>19</v>
      </c>
      <c r="H176" t="s">
        <v>41</v>
      </c>
      <c r="I176" t="s">
        <v>43</v>
      </c>
      <c r="J176" s="2">
        <v>65</v>
      </c>
      <c r="K176" s="23">
        <v>90.723404255319153</v>
      </c>
      <c r="L176" s="23">
        <v>87.234042553191486</v>
      </c>
      <c r="M176" s="23">
        <v>92.468085106382972</v>
      </c>
      <c r="N176" s="3" t="s">
        <v>600</v>
      </c>
      <c r="O176" s="2" t="s">
        <v>651</v>
      </c>
      <c r="P176" s="23">
        <v>45.078534031413611</v>
      </c>
      <c r="Q176" s="14">
        <v>32.623655913978496</v>
      </c>
      <c r="R176" s="14">
        <v>31.301075268817204</v>
      </c>
      <c r="S176" s="14">
        <v>63.924731182795696</v>
      </c>
      <c r="T176" s="14">
        <v>11.021505376344086</v>
      </c>
      <c r="U176" s="14">
        <v>205.21465968586389</v>
      </c>
      <c r="V176" s="24"/>
      <c r="W176" s="14">
        <f>S176+T176/2+U176+P176</f>
        <v>319.7286775882452</v>
      </c>
      <c r="Y176">
        <v>1</v>
      </c>
      <c r="Z176" t="s">
        <v>650</v>
      </c>
      <c r="AA176">
        <v>105</v>
      </c>
      <c r="AB176">
        <v>191</v>
      </c>
      <c r="AC176">
        <v>478</v>
      </c>
    </row>
    <row r="177" spans="1:29">
      <c r="A177" t="s">
        <v>169</v>
      </c>
      <c r="B177" t="s">
        <v>172</v>
      </c>
      <c r="C177">
        <v>27</v>
      </c>
      <c r="D177" t="s">
        <v>34</v>
      </c>
      <c r="E177" s="1">
        <v>75</v>
      </c>
      <c r="F177">
        <v>218</v>
      </c>
      <c r="G177" s="1">
        <v>18</v>
      </c>
      <c r="H177" t="s">
        <v>42</v>
      </c>
      <c r="I177" t="s">
        <v>43</v>
      </c>
      <c r="J177" s="2">
        <v>59</v>
      </c>
      <c r="K177" s="23">
        <v>20.936170212765955</v>
      </c>
      <c r="L177" s="23">
        <v>54.085106382978722</v>
      </c>
      <c r="M177" s="23">
        <v>125.61702127659575</v>
      </c>
      <c r="N177" s="5" t="s">
        <v>608</v>
      </c>
      <c r="O177" s="2" t="s">
        <v>650</v>
      </c>
      <c r="P177" s="23">
        <v>69.208913649025078</v>
      </c>
      <c r="Q177" s="14">
        <v>11.2865168539326</v>
      </c>
      <c r="R177" s="14">
        <v>39.272471910112358</v>
      </c>
      <c r="S177" s="14">
        <v>50.558988764044948</v>
      </c>
      <c r="T177" s="14">
        <v>27.410112359550563</v>
      </c>
      <c r="U177" s="14">
        <v>185.58495821727018</v>
      </c>
      <c r="V177" s="24">
        <v>0.13389121338912133</v>
      </c>
      <c r="W177" s="14">
        <f>S177+T177/2+U177+P177</f>
        <v>319.0579168101155</v>
      </c>
      <c r="X177" s="22">
        <v>97</v>
      </c>
      <c r="Y177">
        <v>1</v>
      </c>
      <c r="Z177" t="s">
        <v>650</v>
      </c>
      <c r="AA177">
        <v>606</v>
      </c>
      <c r="AB177">
        <v>718</v>
      </c>
      <c r="AC177">
        <v>1625</v>
      </c>
    </row>
    <row r="178" spans="1:29">
      <c r="A178" s="6" t="s">
        <v>69</v>
      </c>
      <c r="B178" t="s">
        <v>79</v>
      </c>
      <c r="C178">
        <v>55</v>
      </c>
      <c r="D178" t="s">
        <v>35</v>
      </c>
      <c r="E178" s="1">
        <v>72</v>
      </c>
      <c r="F178">
        <v>193</v>
      </c>
      <c r="G178" s="1">
        <v>20</v>
      </c>
      <c r="H178" t="s">
        <v>42</v>
      </c>
      <c r="I178" t="s">
        <v>43</v>
      </c>
      <c r="J178" s="2">
        <v>60</v>
      </c>
      <c r="K178" s="23">
        <v>24.425531914893615</v>
      </c>
      <c r="L178" s="23">
        <v>83.744680851063819</v>
      </c>
      <c r="M178" s="23">
        <v>62.808510638297875</v>
      </c>
      <c r="N178" s="3" t="s">
        <v>608</v>
      </c>
      <c r="O178" s="2" t="s">
        <v>651</v>
      </c>
      <c r="P178" s="23">
        <v>92.098522167487687</v>
      </c>
      <c r="Q178" s="14">
        <v>8.3673469387755102</v>
      </c>
      <c r="R178" s="14">
        <v>23.010204081632654</v>
      </c>
      <c r="S178" s="14">
        <v>31.377551020408166</v>
      </c>
      <c r="T178" s="14">
        <v>49.367346938775512</v>
      </c>
      <c r="U178" s="14">
        <v>170.86699507389162</v>
      </c>
      <c r="V178" s="24">
        <v>5.9113300492610835E-2</v>
      </c>
      <c r="W178" s="14">
        <f>S178+T178/2+U178+P178</f>
        <v>319.02674173117521</v>
      </c>
      <c r="X178" s="22">
        <v>19</v>
      </c>
      <c r="Y178">
        <v>0</v>
      </c>
      <c r="Z178" t="s">
        <v>650</v>
      </c>
      <c r="AA178">
        <v>228</v>
      </c>
      <c r="AB178">
        <v>203</v>
      </c>
      <c r="AC178">
        <v>423</v>
      </c>
    </row>
    <row r="179" spans="1:29">
      <c r="A179" t="s">
        <v>478</v>
      </c>
      <c r="B179" t="s">
        <v>479</v>
      </c>
      <c r="C179">
        <v>16</v>
      </c>
      <c r="D179" t="s">
        <v>34</v>
      </c>
      <c r="E179" s="1">
        <v>74</v>
      </c>
      <c r="F179">
        <v>210</v>
      </c>
      <c r="G179" s="1">
        <v>18</v>
      </c>
      <c r="H179" t="s">
        <v>42</v>
      </c>
      <c r="I179" t="s">
        <v>44</v>
      </c>
      <c r="J179" s="2">
        <v>70</v>
      </c>
      <c r="K179" s="23">
        <v>20.936170212765955</v>
      </c>
      <c r="L179" s="23">
        <v>71.531914893617028</v>
      </c>
      <c r="M179" s="23">
        <v>102.93617021276594</v>
      </c>
      <c r="N179" s="3" t="s">
        <v>600</v>
      </c>
      <c r="O179" s="2" t="s">
        <v>651</v>
      </c>
      <c r="P179" s="23">
        <v>119.31</v>
      </c>
      <c r="Q179" s="14">
        <v>8.8762886597938149</v>
      </c>
      <c r="R179" s="14">
        <v>17.329896907216494</v>
      </c>
      <c r="S179" s="14">
        <v>26.206185567010309</v>
      </c>
      <c r="T179" s="14">
        <v>43.536082474226802</v>
      </c>
      <c r="U179" s="14">
        <v>151.70000000000002</v>
      </c>
      <c r="V179" s="24">
        <v>-0.12</v>
      </c>
      <c r="W179" s="14">
        <f>S179+T179/2+U179+P179</f>
        <v>318.98422680412375</v>
      </c>
      <c r="X179" s="22">
        <v>3</v>
      </c>
      <c r="Y179">
        <v>0</v>
      </c>
      <c r="Z179" t="s">
        <v>651</v>
      </c>
      <c r="AA179">
        <v>291</v>
      </c>
      <c r="AB179">
        <v>200</v>
      </c>
      <c r="AC179">
        <v>370</v>
      </c>
    </row>
    <row r="180" spans="1:29">
      <c r="A180" t="s">
        <v>478</v>
      </c>
      <c r="B180" t="s">
        <v>484</v>
      </c>
      <c r="C180">
        <v>32</v>
      </c>
      <c r="D180" t="s">
        <v>34</v>
      </c>
      <c r="E180" s="1">
        <v>74</v>
      </c>
      <c r="F180">
        <v>214</v>
      </c>
      <c r="G180" s="1">
        <v>18</v>
      </c>
      <c r="H180" t="s">
        <v>41</v>
      </c>
      <c r="I180" t="s">
        <v>43</v>
      </c>
      <c r="J180" s="2">
        <f>25+7+66</f>
        <v>98</v>
      </c>
      <c r="K180" s="23">
        <v>82</v>
      </c>
      <c r="L180" s="23">
        <v>95.957446808510639</v>
      </c>
      <c r="M180" s="23">
        <v>55.829787234042549</v>
      </c>
      <c r="N180" s="5" t="s">
        <v>608</v>
      </c>
      <c r="O180" s="2" t="s">
        <v>651</v>
      </c>
      <c r="P180" s="23">
        <v>136.96216216216217</v>
      </c>
      <c r="Q180" s="14">
        <v>13.743016759776538</v>
      </c>
      <c r="R180" s="14">
        <v>11.910614525139666</v>
      </c>
      <c r="S180" s="14">
        <v>25.653631284916202</v>
      </c>
      <c r="T180" s="14">
        <v>20.614525139664806</v>
      </c>
      <c r="U180" s="14">
        <v>145.82702702702704</v>
      </c>
      <c r="V180" s="24"/>
      <c r="W180" s="14">
        <f>S180+T180/2+U180+P180</f>
        <v>318.75008304393782</v>
      </c>
      <c r="Y180">
        <v>0</v>
      </c>
      <c r="Z180" t="s">
        <v>650</v>
      </c>
      <c r="AA180">
        <v>309</v>
      </c>
      <c r="AB180">
        <v>185</v>
      </c>
      <c r="AC180">
        <v>329</v>
      </c>
    </row>
    <row r="181" spans="1:29">
      <c r="A181" t="s">
        <v>413</v>
      </c>
      <c r="B181" t="s">
        <v>417</v>
      </c>
      <c r="C181">
        <v>9</v>
      </c>
      <c r="D181" t="s">
        <v>219</v>
      </c>
      <c r="E181" s="1">
        <v>72</v>
      </c>
      <c r="F181">
        <v>172</v>
      </c>
      <c r="G181" s="1">
        <v>18</v>
      </c>
      <c r="H181" t="s">
        <v>41</v>
      </c>
      <c r="I181" t="s">
        <v>44</v>
      </c>
      <c r="J181" s="2">
        <v>63</v>
      </c>
      <c r="K181" s="23">
        <v>85.489361702127667</v>
      </c>
      <c r="L181" s="23">
        <v>95.957446808510639</v>
      </c>
      <c r="M181" s="23">
        <v>88.978723404255305</v>
      </c>
      <c r="N181" s="5" t="s">
        <v>614</v>
      </c>
      <c r="O181" s="2" t="s">
        <v>651</v>
      </c>
      <c r="P181" s="23">
        <v>37.478527607361968</v>
      </c>
      <c r="Q181" s="14">
        <v>25.545171339563861</v>
      </c>
      <c r="R181" s="14">
        <v>29.632398753894076</v>
      </c>
      <c r="S181" s="14">
        <v>55.177570093457938</v>
      </c>
      <c r="T181" s="14">
        <v>27.077881619937692</v>
      </c>
      <c r="U181" s="14">
        <v>212.29447852760737</v>
      </c>
      <c r="V181" s="24"/>
      <c r="W181" s="14">
        <f>S181+T181/2+U181+P181</f>
        <v>318.48951703839612</v>
      </c>
      <c r="Y181">
        <v>1</v>
      </c>
      <c r="Z181" t="s">
        <v>650</v>
      </c>
      <c r="AA181">
        <v>149</v>
      </c>
      <c r="AB181">
        <v>326</v>
      </c>
      <c r="AC181">
        <v>844</v>
      </c>
    </row>
    <row r="182" spans="1:29">
      <c r="A182" t="s">
        <v>251</v>
      </c>
      <c r="B182" t="s">
        <v>263</v>
      </c>
      <c r="C182">
        <v>94</v>
      </c>
      <c r="D182" t="s">
        <v>35</v>
      </c>
      <c r="E182" s="1">
        <v>74</v>
      </c>
      <c r="F182">
        <v>229</v>
      </c>
      <c r="G182" s="1">
        <v>19</v>
      </c>
      <c r="H182" t="s">
        <v>42</v>
      </c>
      <c r="I182" t="s">
        <v>43</v>
      </c>
      <c r="J182" s="2">
        <v>68</v>
      </c>
      <c r="K182" s="23">
        <v>15.702127659574469</v>
      </c>
      <c r="L182" s="23">
        <v>61.063829787234042</v>
      </c>
      <c r="M182" s="23">
        <v>57.574468085106382</v>
      </c>
      <c r="N182" s="3" t="s">
        <v>614</v>
      </c>
      <c r="O182" s="2" t="s">
        <v>651</v>
      </c>
      <c r="P182" s="23">
        <v>150.33333333333331</v>
      </c>
      <c r="Q182" s="14">
        <v>6.4440078585461693</v>
      </c>
      <c r="R182" s="14">
        <v>18.043222003929273</v>
      </c>
      <c r="S182" s="14">
        <v>24.487229862475441</v>
      </c>
      <c r="T182" s="14">
        <v>44.463654223968568</v>
      </c>
      <c r="U182" s="14">
        <v>121.41085271317829</v>
      </c>
      <c r="V182" s="24">
        <v>8.3333333333333329E-2</v>
      </c>
      <c r="W182" s="14">
        <f>S182+T182/2+U182+P182</f>
        <v>318.46324302097133</v>
      </c>
      <c r="X182" s="22">
        <v>1</v>
      </c>
      <c r="Y182">
        <v>0</v>
      </c>
      <c r="Z182" t="s">
        <v>650</v>
      </c>
      <c r="AA182">
        <v>946</v>
      </c>
      <c r="AB182">
        <v>516</v>
      </c>
      <c r="AC182">
        <v>764</v>
      </c>
    </row>
    <row r="183" spans="1:29">
      <c r="A183" t="s">
        <v>169</v>
      </c>
      <c r="B183" t="s">
        <v>178</v>
      </c>
      <c r="C183">
        <v>26</v>
      </c>
      <c r="D183" t="s">
        <v>66</v>
      </c>
      <c r="E183" s="1">
        <v>74</v>
      </c>
      <c r="F183">
        <v>204</v>
      </c>
      <c r="G183" s="1">
        <v>18</v>
      </c>
      <c r="H183" t="s">
        <v>41</v>
      </c>
      <c r="I183" t="s">
        <v>44</v>
      </c>
      <c r="J183" s="2">
        <v>35</v>
      </c>
      <c r="K183" s="23">
        <v>3.4893617021276593</v>
      </c>
      <c r="L183" s="23">
        <v>12.212765957446807</v>
      </c>
      <c r="M183" s="23">
        <v>17.446808510638299</v>
      </c>
      <c r="N183" s="5" t="s">
        <v>624</v>
      </c>
      <c r="O183" s="2" t="s">
        <v>651</v>
      </c>
      <c r="P183" s="23">
        <v>53.679458239277658</v>
      </c>
      <c r="Q183" s="14">
        <v>20.82837528604119</v>
      </c>
      <c r="R183" s="14">
        <v>46.535469107551492</v>
      </c>
      <c r="S183" s="14">
        <v>67.363844393592686</v>
      </c>
      <c r="T183" s="14">
        <v>40.906178489702519</v>
      </c>
      <c r="U183" s="14">
        <v>176.77200902934538</v>
      </c>
      <c r="V183" s="24"/>
      <c r="W183" s="14">
        <f>S183+T183/2+U183+P183</f>
        <v>318.26840090706696</v>
      </c>
      <c r="Y183">
        <v>1</v>
      </c>
      <c r="Z183" t="s">
        <v>650</v>
      </c>
      <c r="AA183">
        <v>290</v>
      </c>
      <c r="AB183">
        <v>443</v>
      </c>
      <c r="AC183">
        <v>955</v>
      </c>
    </row>
    <row r="184" spans="1:29">
      <c r="A184" s="6" t="s">
        <v>135</v>
      </c>
      <c r="B184" t="s">
        <v>139</v>
      </c>
      <c r="C184">
        <v>18</v>
      </c>
      <c r="D184" t="s">
        <v>35</v>
      </c>
      <c r="E184" s="1">
        <v>74</v>
      </c>
      <c r="F184">
        <v>196</v>
      </c>
      <c r="G184" s="1">
        <v>18</v>
      </c>
      <c r="H184" t="s">
        <v>42</v>
      </c>
      <c r="I184" t="s">
        <v>44</v>
      </c>
      <c r="J184" s="2">
        <v>73</v>
      </c>
      <c r="K184" s="23">
        <v>22.680851063829788</v>
      </c>
      <c r="L184" s="23">
        <v>57.574468085106382</v>
      </c>
      <c r="M184" s="23">
        <v>108.17021276595744</v>
      </c>
      <c r="N184" s="3" t="s">
        <v>614</v>
      </c>
      <c r="O184" s="2" t="s">
        <v>651</v>
      </c>
      <c r="P184" s="23">
        <v>75.460122699386503</v>
      </c>
      <c r="Q184" s="14">
        <v>12.615384615384617</v>
      </c>
      <c r="R184" s="14">
        <v>35.743589743589745</v>
      </c>
      <c r="S184" s="14">
        <v>48.358974358974358</v>
      </c>
      <c r="T184" s="14">
        <v>29.435897435897438</v>
      </c>
      <c r="U184" s="14">
        <v>179.09202453987729</v>
      </c>
      <c r="V184" s="24">
        <v>-0.20370370370370369</v>
      </c>
      <c r="W184" s="14">
        <f>S184+T184/2+U184+P184</f>
        <v>317.62907031618687</v>
      </c>
      <c r="X184" s="22">
        <v>88</v>
      </c>
      <c r="Y184">
        <v>1</v>
      </c>
      <c r="Z184" t="s">
        <v>651</v>
      </c>
      <c r="AA184">
        <v>150</v>
      </c>
      <c r="AB184">
        <v>163</v>
      </c>
      <c r="AC184">
        <v>356</v>
      </c>
    </row>
    <row r="185" spans="1:29">
      <c r="A185" s="6" t="s">
        <v>49</v>
      </c>
      <c r="B185" t="s">
        <v>63</v>
      </c>
      <c r="C185">
        <v>125</v>
      </c>
      <c r="D185" t="s">
        <v>67</v>
      </c>
      <c r="E185" s="1">
        <v>70</v>
      </c>
      <c r="F185">
        <v>192</v>
      </c>
      <c r="G185" s="1">
        <v>19</v>
      </c>
      <c r="H185" t="s">
        <v>41</v>
      </c>
      <c r="I185" t="s">
        <v>44</v>
      </c>
      <c r="J185" s="2">
        <f>66</f>
        <v>66</v>
      </c>
      <c r="K185" s="23">
        <v>33.148936170212764</v>
      </c>
      <c r="L185" s="23">
        <v>123.87234042553192</v>
      </c>
      <c r="M185" s="23">
        <v>94.21276595744682</v>
      </c>
      <c r="N185" s="5" t="s">
        <v>614</v>
      </c>
      <c r="O185" s="2" t="s">
        <v>651</v>
      </c>
      <c r="P185" s="23">
        <v>214.76190476190476</v>
      </c>
      <c r="Q185" s="14">
        <v>5.125</v>
      </c>
      <c r="R185" s="14">
        <v>15.375</v>
      </c>
      <c r="S185" s="14">
        <v>20.5</v>
      </c>
      <c r="T185" s="14">
        <v>30.75</v>
      </c>
      <c r="U185" s="14">
        <v>66.38095238095238</v>
      </c>
      <c r="V185" s="24"/>
      <c r="W185" s="14">
        <f>S185+T185/2+U185+P185</f>
        <v>317.01785714285711</v>
      </c>
      <c r="X185" s="22">
        <v>-2</v>
      </c>
      <c r="Y185">
        <v>0</v>
      </c>
      <c r="Z185" t="s">
        <v>650</v>
      </c>
      <c r="AA185">
        <v>55</v>
      </c>
      <c r="AB185">
        <v>21</v>
      </c>
      <c r="AC185">
        <v>17</v>
      </c>
    </row>
    <row r="186" spans="1:29">
      <c r="A186" s="6" t="s">
        <v>49</v>
      </c>
      <c r="B186" t="s">
        <v>61</v>
      </c>
      <c r="C186">
        <v>2</v>
      </c>
      <c r="D186" t="s">
        <v>35</v>
      </c>
      <c r="E186" s="1">
        <v>75</v>
      </c>
      <c r="F186">
        <v>215</v>
      </c>
      <c r="G186" s="1">
        <v>18</v>
      </c>
      <c r="H186" t="s">
        <v>41</v>
      </c>
      <c r="I186" t="s">
        <v>43</v>
      </c>
      <c r="J186" s="2">
        <v>63</v>
      </c>
      <c r="K186" s="23">
        <v>80.255319148936167</v>
      </c>
      <c r="L186" s="23">
        <v>132.59574468085106</v>
      </c>
      <c r="M186" s="23">
        <v>78.510638297872347</v>
      </c>
      <c r="N186" s="5" t="s">
        <v>600</v>
      </c>
      <c r="O186" s="2" t="s">
        <v>651</v>
      </c>
      <c r="P186" s="23">
        <v>19.636176772867419</v>
      </c>
      <c r="Q186" s="14">
        <v>25.482374768089052</v>
      </c>
      <c r="R186" s="14">
        <v>44.651205936920221</v>
      </c>
      <c r="S186" s="14">
        <v>70.133580705009265</v>
      </c>
      <c r="T186" s="14">
        <v>42.749536178107604</v>
      </c>
      <c r="U186" s="14">
        <v>205.21068859198354</v>
      </c>
      <c r="V186" s="24"/>
      <c r="W186" s="14">
        <f>S186+T186/2+U186+P186</f>
        <v>316.35521415891401</v>
      </c>
      <c r="Y186">
        <v>1</v>
      </c>
      <c r="Z186" t="s">
        <v>650</v>
      </c>
      <c r="AA186">
        <v>233</v>
      </c>
      <c r="AB186">
        <v>973</v>
      </c>
      <c r="AC186">
        <v>2435</v>
      </c>
    </row>
    <row r="187" spans="1:29">
      <c r="A187" t="s">
        <v>220</v>
      </c>
      <c r="B187" t="s">
        <v>231</v>
      </c>
      <c r="C187">
        <v>82</v>
      </c>
      <c r="D187" t="s">
        <v>35</v>
      </c>
      <c r="E187" s="1">
        <v>74</v>
      </c>
      <c r="F187">
        <v>198</v>
      </c>
      <c r="G187" s="1">
        <v>19</v>
      </c>
      <c r="H187" t="s">
        <v>41</v>
      </c>
      <c r="I187" t="s">
        <v>44</v>
      </c>
      <c r="J187" s="2">
        <v>67</v>
      </c>
      <c r="K187" s="23">
        <v>34.893617021276597</v>
      </c>
      <c r="L187" s="23">
        <v>43.617021276595743</v>
      </c>
      <c r="M187" s="23">
        <v>73.276595744680847</v>
      </c>
      <c r="N187" s="3" t="s">
        <v>599</v>
      </c>
      <c r="O187" s="2" t="s">
        <v>651</v>
      </c>
      <c r="P187" s="23">
        <v>222.57142857142858</v>
      </c>
      <c r="Q187" s="14">
        <v>5.8571428571428568</v>
      </c>
      <c r="R187" s="14">
        <v>0</v>
      </c>
      <c r="S187" s="14">
        <v>5.8571428571428568</v>
      </c>
      <c r="T187" s="14">
        <v>23.428571428571427</v>
      </c>
      <c r="U187" s="14">
        <v>76.142857142857139</v>
      </c>
      <c r="V187" s="24"/>
      <c r="W187" s="14">
        <f>S187+T187/2+U187+P187</f>
        <v>316.28571428571428</v>
      </c>
      <c r="Y187">
        <v>0</v>
      </c>
      <c r="Z187" t="s">
        <v>650</v>
      </c>
      <c r="AA187">
        <v>38</v>
      </c>
      <c r="AB187">
        <v>14</v>
      </c>
      <c r="AC187">
        <v>13</v>
      </c>
    </row>
    <row r="188" spans="1:29">
      <c r="A188" t="s">
        <v>169</v>
      </c>
      <c r="B188" t="s">
        <v>176</v>
      </c>
      <c r="C188">
        <v>168</v>
      </c>
      <c r="D188" t="s">
        <v>65</v>
      </c>
      <c r="E188" s="1">
        <v>72</v>
      </c>
      <c r="F188">
        <v>186</v>
      </c>
      <c r="G188" s="1">
        <v>19</v>
      </c>
      <c r="H188" t="s">
        <v>41</v>
      </c>
      <c r="I188" t="s">
        <v>44</v>
      </c>
      <c r="J188" s="2">
        <v>40</v>
      </c>
      <c r="K188" s="23">
        <v>41.87234042553191</v>
      </c>
      <c r="L188" s="23">
        <v>54.085106382978722</v>
      </c>
      <c r="M188" s="23">
        <v>73.276595744680847</v>
      </c>
      <c r="N188" s="5" t="s">
        <v>65</v>
      </c>
      <c r="O188" s="2" t="s">
        <v>651</v>
      </c>
      <c r="P188" s="23">
        <v>88.821238938053099</v>
      </c>
      <c r="Q188" s="14">
        <v>13.545293072824157</v>
      </c>
      <c r="R188" s="14">
        <v>22.284191829484904</v>
      </c>
      <c r="S188" s="14">
        <v>35.829484902309062</v>
      </c>
      <c r="T188" s="14">
        <v>34.955595026642982</v>
      </c>
      <c r="U188" s="14">
        <v>173.43362831858406</v>
      </c>
      <c r="V188" s="24"/>
      <c r="W188" s="14">
        <f>S188+T188/2+U188+P188</f>
        <v>315.56214967226771</v>
      </c>
      <c r="Y188">
        <v>0</v>
      </c>
      <c r="Z188" t="s">
        <v>650</v>
      </c>
      <c r="AA188">
        <v>612</v>
      </c>
      <c r="AB188">
        <v>565</v>
      </c>
      <c r="AC188">
        <v>1195</v>
      </c>
    </row>
    <row r="189" spans="1:29">
      <c r="A189" s="6" t="s">
        <v>87</v>
      </c>
      <c r="B189" t="s">
        <v>90</v>
      </c>
      <c r="C189">
        <v>87</v>
      </c>
      <c r="D189" t="s">
        <v>35</v>
      </c>
      <c r="E189" s="1">
        <v>73</v>
      </c>
      <c r="F189">
        <v>201</v>
      </c>
      <c r="G189" s="1">
        <v>19</v>
      </c>
      <c r="H189" t="s">
        <v>42</v>
      </c>
      <c r="I189" t="s">
        <v>43</v>
      </c>
      <c r="J189" s="2">
        <v>70</v>
      </c>
      <c r="K189" s="23">
        <v>19.191489361702128</v>
      </c>
      <c r="L189" s="23">
        <v>47.10638297872341</v>
      </c>
      <c r="M189" s="23">
        <v>116.8936170212766</v>
      </c>
      <c r="N189" s="5" t="s">
        <v>599</v>
      </c>
      <c r="O189" s="2" t="s">
        <v>651</v>
      </c>
      <c r="P189" s="23">
        <v>223.63636363636363</v>
      </c>
      <c r="Q189" s="14">
        <v>4.8235294117647056</v>
      </c>
      <c r="R189" s="14">
        <v>0</v>
      </c>
      <c r="S189" s="14">
        <v>4.8235294117647056</v>
      </c>
      <c r="T189" s="14">
        <v>9.6470588235294112</v>
      </c>
      <c r="U189" s="14">
        <v>82</v>
      </c>
      <c r="V189" s="24">
        <v>-0.27272727272727271</v>
      </c>
      <c r="W189" s="14">
        <f>S189+T189/2+U189+P189</f>
        <v>315.28342245989302</v>
      </c>
      <c r="X189" s="22">
        <v>-141</v>
      </c>
      <c r="Y189">
        <v>0</v>
      </c>
      <c r="Z189" t="s">
        <v>651</v>
      </c>
      <c r="AA189">
        <v>60</v>
      </c>
      <c r="AB189">
        <v>22</v>
      </c>
      <c r="AC189">
        <v>22</v>
      </c>
    </row>
    <row r="190" spans="1:29">
      <c r="A190" t="s">
        <v>306</v>
      </c>
      <c r="B190" t="s">
        <v>318</v>
      </c>
      <c r="C190">
        <v>14</v>
      </c>
      <c r="D190" t="s">
        <v>35</v>
      </c>
      <c r="E190" s="1">
        <v>70</v>
      </c>
      <c r="F190">
        <v>190</v>
      </c>
      <c r="G190" s="1">
        <v>18</v>
      </c>
      <c r="H190" t="s">
        <v>41</v>
      </c>
      <c r="I190" t="s">
        <v>44</v>
      </c>
      <c r="J190" s="2">
        <v>60</v>
      </c>
      <c r="K190" s="23">
        <v>57.574468085106382</v>
      </c>
      <c r="L190" s="23">
        <v>87.234042553191486</v>
      </c>
      <c r="M190" s="23">
        <v>31.404255319148938</v>
      </c>
      <c r="N190" s="5" t="s">
        <v>608</v>
      </c>
      <c r="O190" s="2" t="s">
        <v>651</v>
      </c>
      <c r="P190" s="23">
        <v>63.682672233820462</v>
      </c>
      <c r="Q190" s="14">
        <v>22.411016949152543</v>
      </c>
      <c r="R190" s="14">
        <v>33.877118644067799</v>
      </c>
      <c r="S190" s="14">
        <v>56.288135593220339</v>
      </c>
      <c r="T190" s="14">
        <v>21.021186440677969</v>
      </c>
      <c r="U190" s="14">
        <v>184.54279749478081</v>
      </c>
      <c r="V190" s="24"/>
      <c r="W190" s="14">
        <f>S190+T190/2+U190+P190</f>
        <v>315.0241985421606</v>
      </c>
      <c r="Y190">
        <v>1</v>
      </c>
      <c r="Z190" t="s">
        <v>650</v>
      </c>
      <c r="AA190">
        <v>372</v>
      </c>
      <c r="AB190">
        <v>479</v>
      </c>
      <c r="AC190">
        <v>1078</v>
      </c>
    </row>
    <row r="191" spans="1:29">
      <c r="A191" t="s">
        <v>283</v>
      </c>
      <c r="B191" t="s">
        <v>290</v>
      </c>
      <c r="C191">
        <v>74</v>
      </c>
      <c r="D191" t="s">
        <v>34</v>
      </c>
      <c r="E191" s="1">
        <v>75</v>
      </c>
      <c r="F191">
        <v>215</v>
      </c>
      <c r="G191" s="1">
        <v>18</v>
      </c>
      <c r="H191" t="s">
        <v>41</v>
      </c>
      <c r="I191" t="s">
        <v>43</v>
      </c>
      <c r="J191" s="2">
        <f>24+7+53</f>
        <v>84</v>
      </c>
      <c r="K191" s="23">
        <v>50.595744680851062</v>
      </c>
      <c r="L191" s="23">
        <v>47.10638297872341</v>
      </c>
      <c r="M191" s="23">
        <v>239.02127659574467</v>
      </c>
      <c r="N191" s="3" t="s">
        <v>608</v>
      </c>
      <c r="O191" s="2" t="s">
        <v>651</v>
      </c>
      <c r="P191" s="23">
        <v>185.82258064516128</v>
      </c>
      <c r="Q191" s="14">
        <v>5.3770491803278686</v>
      </c>
      <c r="R191" s="14">
        <v>9.4098360655737707</v>
      </c>
      <c r="S191" s="14">
        <v>14.786885245901638</v>
      </c>
      <c r="T191" s="14">
        <v>58.475409836065573</v>
      </c>
      <c r="U191" s="14">
        <v>84.645161290322577</v>
      </c>
      <c r="V191" s="24"/>
      <c r="W191" s="14">
        <f>S191+T191/2+U191+P191</f>
        <v>314.49233209941826</v>
      </c>
      <c r="Y191">
        <v>0</v>
      </c>
      <c r="Z191" t="s">
        <v>650</v>
      </c>
      <c r="AA191">
        <v>281</v>
      </c>
      <c r="AB191">
        <v>124</v>
      </c>
      <c r="AC191">
        <v>128</v>
      </c>
    </row>
    <row r="192" spans="1:29">
      <c r="A192" t="s">
        <v>204</v>
      </c>
      <c r="B192" t="s">
        <v>211</v>
      </c>
      <c r="C192">
        <v>113</v>
      </c>
      <c r="D192" t="s">
        <v>34</v>
      </c>
      <c r="E192" s="1">
        <v>73</v>
      </c>
      <c r="F192">
        <v>195</v>
      </c>
      <c r="G192" s="1">
        <v>19</v>
      </c>
      <c r="H192" t="s">
        <v>41</v>
      </c>
      <c r="I192" t="s">
        <v>43</v>
      </c>
      <c r="J192" s="2">
        <v>36</v>
      </c>
      <c r="K192" s="23">
        <v>40.127659574468083</v>
      </c>
      <c r="L192" s="23">
        <v>75.021276595744681</v>
      </c>
      <c r="M192" s="23">
        <v>3.4893617021276593</v>
      </c>
      <c r="N192" s="5" t="s">
        <v>631</v>
      </c>
      <c r="O192" s="2" t="s">
        <v>651</v>
      </c>
      <c r="P192" s="23">
        <v>144.47619047619048</v>
      </c>
      <c r="Q192" s="14">
        <v>17.571428571428569</v>
      </c>
      <c r="R192" s="14">
        <v>23.428571428571427</v>
      </c>
      <c r="S192" s="14">
        <v>41</v>
      </c>
      <c r="T192" s="14">
        <v>23.428571428571427</v>
      </c>
      <c r="U192" s="14">
        <v>117.14285714285714</v>
      </c>
      <c r="V192" s="24"/>
      <c r="W192" s="14">
        <f>S192+T192/2+U192+P192</f>
        <v>314.33333333333337</v>
      </c>
      <c r="Y192">
        <v>0</v>
      </c>
      <c r="Z192" t="s">
        <v>650</v>
      </c>
      <c r="AA192">
        <v>37</v>
      </c>
      <c r="AB192">
        <v>21</v>
      </c>
      <c r="AC192">
        <v>30</v>
      </c>
    </row>
    <row r="193" spans="1:29">
      <c r="A193" t="s">
        <v>220</v>
      </c>
      <c r="B193" t="s">
        <v>227</v>
      </c>
      <c r="C193">
        <v>28</v>
      </c>
      <c r="D193" t="s">
        <v>34</v>
      </c>
      <c r="E193" s="1">
        <v>73</v>
      </c>
      <c r="F193">
        <v>203</v>
      </c>
      <c r="G193" s="1">
        <v>19</v>
      </c>
      <c r="H193" t="s">
        <v>42</v>
      </c>
      <c r="I193" t="s">
        <v>43</v>
      </c>
      <c r="J193" s="2">
        <v>29</v>
      </c>
      <c r="K193" s="23">
        <v>47.10638297872341</v>
      </c>
      <c r="L193" s="23">
        <v>66.297872340425528</v>
      </c>
      <c r="M193" s="23">
        <v>59.319148936170215</v>
      </c>
      <c r="N193" s="3" t="s">
        <v>603</v>
      </c>
      <c r="O193" s="2" t="s">
        <v>651</v>
      </c>
      <c r="P193" s="23">
        <v>129.35973597359737</v>
      </c>
      <c r="Q193" s="14">
        <v>6</v>
      </c>
      <c r="R193" s="14">
        <v>24.181818181818183</v>
      </c>
      <c r="S193" s="14">
        <v>30.181818181818183</v>
      </c>
      <c r="T193" s="14">
        <v>43</v>
      </c>
      <c r="U193" s="14">
        <v>133.23872387238725</v>
      </c>
      <c r="V193" s="24">
        <v>0.10781078107810781</v>
      </c>
      <c r="W193" s="14">
        <f>S193+T193/2+U193+P193</f>
        <v>314.28027802780281</v>
      </c>
      <c r="X193" s="22">
        <v>14</v>
      </c>
      <c r="Y193">
        <v>0</v>
      </c>
      <c r="Z193" t="s">
        <v>650</v>
      </c>
      <c r="AA193">
        <v>1434</v>
      </c>
      <c r="AB193">
        <v>909</v>
      </c>
      <c r="AC193">
        <v>1477</v>
      </c>
    </row>
    <row r="194" spans="1:29">
      <c r="A194" t="s">
        <v>556</v>
      </c>
      <c r="B194" t="s">
        <v>571</v>
      </c>
      <c r="C194">
        <v>39</v>
      </c>
      <c r="D194" t="s">
        <v>65</v>
      </c>
      <c r="E194" s="1">
        <v>73</v>
      </c>
      <c r="F194">
        <v>204</v>
      </c>
      <c r="G194" s="1">
        <v>19</v>
      </c>
      <c r="H194" t="s">
        <v>41</v>
      </c>
      <c r="I194" t="s">
        <v>43</v>
      </c>
      <c r="J194" s="2">
        <f>16+30+16</f>
        <v>62</v>
      </c>
      <c r="K194" s="23">
        <v>34.893617021276597</v>
      </c>
      <c r="L194" s="23">
        <v>45.361702127659576</v>
      </c>
      <c r="M194" s="23">
        <v>17.446808510638299</v>
      </c>
      <c r="N194" s="5" t="s">
        <v>65</v>
      </c>
      <c r="O194" s="2" t="s">
        <v>651</v>
      </c>
      <c r="P194" s="23">
        <v>55.35</v>
      </c>
      <c r="Q194" s="14">
        <v>20.02325581395349</v>
      </c>
      <c r="R194" s="14">
        <v>22.88372093023256</v>
      </c>
      <c r="S194" s="14">
        <v>42.906976744186046</v>
      </c>
      <c r="T194" s="14">
        <v>24.472868217054263</v>
      </c>
      <c r="U194" s="14">
        <v>203.73846153846154</v>
      </c>
      <c r="V194" s="24"/>
      <c r="W194" s="14">
        <f>S194+T194/2+U194+P194</f>
        <v>314.23187239117476</v>
      </c>
      <c r="Y194">
        <v>0</v>
      </c>
      <c r="Z194" t="s">
        <v>650</v>
      </c>
      <c r="AA194">
        <v>351</v>
      </c>
      <c r="AB194">
        <v>520</v>
      </c>
      <c r="AC194">
        <v>1292</v>
      </c>
    </row>
    <row r="195" spans="1:29">
      <c r="A195" t="s">
        <v>445</v>
      </c>
      <c r="B195" t="s">
        <v>460</v>
      </c>
      <c r="C195">
        <v>6</v>
      </c>
      <c r="D195" t="s">
        <v>38</v>
      </c>
      <c r="E195" s="1">
        <v>75</v>
      </c>
      <c r="F195">
        <v>219</v>
      </c>
      <c r="G195" s="1">
        <v>18</v>
      </c>
      <c r="H195" t="s">
        <v>41</v>
      </c>
      <c r="I195" t="s">
        <v>44</v>
      </c>
      <c r="J195" s="2">
        <f>21+26+21+7+6</f>
        <v>81</v>
      </c>
      <c r="K195" s="23">
        <v>19.191489361702128</v>
      </c>
      <c r="L195" s="23">
        <v>76.765957446808514</v>
      </c>
      <c r="M195" s="23">
        <v>80.255319148936167</v>
      </c>
      <c r="N195" s="5" t="s">
        <v>615</v>
      </c>
      <c r="O195" s="2" t="s">
        <v>651</v>
      </c>
      <c r="P195" s="23">
        <v>49.23276723276723</v>
      </c>
      <c r="Q195" s="14">
        <v>16.729648241206029</v>
      </c>
      <c r="R195" s="14">
        <v>40.876381909547739</v>
      </c>
      <c r="S195" s="14">
        <v>57.606030150753767</v>
      </c>
      <c r="T195" s="14">
        <v>47.139698492462308</v>
      </c>
      <c r="U195" s="14">
        <v>183.66033966033964</v>
      </c>
      <c r="V195" s="24"/>
      <c r="W195" s="14">
        <f>S195+T195/2+U195+P195</f>
        <v>314.0689862900918</v>
      </c>
      <c r="Y195">
        <v>1</v>
      </c>
      <c r="Z195" t="s">
        <v>650</v>
      </c>
      <c r="AA195">
        <v>601</v>
      </c>
      <c r="AB195">
        <v>1001</v>
      </c>
      <c r="AC195">
        <v>2242</v>
      </c>
    </row>
    <row r="196" spans="1:29">
      <c r="A196" s="6" t="s">
        <v>69</v>
      </c>
      <c r="B196" t="s">
        <v>73</v>
      </c>
      <c r="C196">
        <v>14</v>
      </c>
      <c r="D196" t="s">
        <v>84</v>
      </c>
      <c r="E196" s="1">
        <v>74</v>
      </c>
      <c r="F196">
        <v>207</v>
      </c>
      <c r="G196" s="1">
        <v>18</v>
      </c>
      <c r="H196" t="s">
        <v>41</v>
      </c>
      <c r="I196" t="s">
        <v>44</v>
      </c>
      <c r="J196" s="2">
        <v>49</v>
      </c>
      <c r="K196" s="23">
        <v>41.87234042553191</v>
      </c>
      <c r="L196" s="23">
        <v>54.085106382978722</v>
      </c>
      <c r="M196" s="23">
        <v>120.38297872340425</v>
      </c>
      <c r="N196" s="3" t="s">
        <v>608</v>
      </c>
      <c r="O196" s="2" t="s">
        <v>651</v>
      </c>
      <c r="P196" s="23">
        <v>155.58035714285714</v>
      </c>
      <c r="Q196" s="14">
        <v>9.2970521541950113</v>
      </c>
      <c r="R196" s="14">
        <v>13.573696145124716</v>
      </c>
      <c r="S196" s="14">
        <v>22.870748299319729</v>
      </c>
      <c r="T196" s="14">
        <v>23.056689342403626</v>
      </c>
      <c r="U196" s="14">
        <v>123.18303571428571</v>
      </c>
      <c r="V196" s="24"/>
      <c r="W196" s="14">
        <f>S196+T196/2+U196+P196</f>
        <v>313.1624858276644</v>
      </c>
      <c r="Y196">
        <v>0</v>
      </c>
      <c r="Z196" t="s">
        <v>650</v>
      </c>
      <c r="AA196">
        <v>850</v>
      </c>
      <c r="AB196">
        <v>448</v>
      </c>
      <c r="AC196">
        <v>673</v>
      </c>
    </row>
    <row r="197" spans="1:29">
      <c r="A197" t="s">
        <v>306</v>
      </c>
      <c r="B197" t="s">
        <v>308</v>
      </c>
      <c r="C197">
        <v>78</v>
      </c>
      <c r="D197" t="s">
        <v>35</v>
      </c>
      <c r="E197" s="1">
        <v>76</v>
      </c>
      <c r="F197">
        <v>216</v>
      </c>
      <c r="G197" s="1">
        <v>18</v>
      </c>
      <c r="H197" t="s">
        <v>42</v>
      </c>
      <c r="I197" t="s">
        <v>43</v>
      </c>
      <c r="J197" s="2">
        <v>63</v>
      </c>
      <c r="K197" s="23">
        <v>3.4893617021276593</v>
      </c>
      <c r="L197" s="23">
        <v>20.936170212765955</v>
      </c>
      <c r="M197" s="23">
        <v>116.8936170212766</v>
      </c>
      <c r="N197" s="5" t="s">
        <v>600</v>
      </c>
      <c r="O197" s="2" t="s">
        <v>651</v>
      </c>
      <c r="P197" s="23">
        <v>171.79827089337178</v>
      </c>
      <c r="Q197" s="14">
        <v>3.327536231884058</v>
      </c>
      <c r="R197" s="14">
        <v>9.269565217391305</v>
      </c>
      <c r="S197" s="14">
        <v>12.597101449275362</v>
      </c>
      <c r="T197" s="14">
        <v>83.901449275362324</v>
      </c>
      <c r="U197" s="14">
        <v>86.726224783861667</v>
      </c>
      <c r="V197" s="24">
        <v>8.069164265129683E-2</v>
      </c>
      <c r="W197" s="14">
        <f>S197+T197/2+U197+P197</f>
        <v>313.07232176418995</v>
      </c>
      <c r="X197" s="22">
        <v>-39</v>
      </c>
      <c r="Y197">
        <v>0</v>
      </c>
      <c r="Z197" t="s">
        <v>650</v>
      </c>
      <c r="AA197">
        <v>727</v>
      </c>
      <c r="AB197">
        <v>347</v>
      </c>
      <c r="AC197">
        <v>367</v>
      </c>
    </row>
    <row r="198" spans="1:29">
      <c r="A198" s="6" t="s">
        <v>102</v>
      </c>
      <c r="B198" t="s">
        <v>103</v>
      </c>
      <c r="C198">
        <v>2</v>
      </c>
      <c r="D198" t="s">
        <v>38</v>
      </c>
      <c r="E198" s="1">
        <v>75</v>
      </c>
      <c r="F198">
        <v>213</v>
      </c>
      <c r="G198" s="1">
        <v>18</v>
      </c>
      <c r="H198" t="s">
        <v>41</v>
      </c>
      <c r="I198" t="s">
        <v>44</v>
      </c>
      <c r="J198" s="2">
        <v>53</v>
      </c>
      <c r="K198" s="23">
        <v>36.638297872340424</v>
      </c>
      <c r="L198" s="23">
        <v>47.10638297872341</v>
      </c>
      <c r="M198" s="23">
        <v>13.957446808510637</v>
      </c>
      <c r="N198" s="3" t="s">
        <v>615</v>
      </c>
      <c r="O198" s="2" t="s">
        <v>650</v>
      </c>
      <c r="P198" s="23">
        <v>37.272727272727273</v>
      </c>
      <c r="Q198" s="14">
        <v>26.829493087557601</v>
      </c>
      <c r="R198" s="14">
        <v>43.456221198156676</v>
      </c>
      <c r="S198" s="14">
        <v>70.285714285714278</v>
      </c>
      <c r="T198" s="14">
        <v>13.981566820276496</v>
      </c>
      <c r="U198" s="14">
        <v>198.29090909090908</v>
      </c>
      <c r="V198" s="24"/>
      <c r="W198" s="14">
        <f>S198+T198/2+U198+P198</f>
        <v>312.84013405948883</v>
      </c>
      <c r="Y198">
        <v>1</v>
      </c>
      <c r="Z198" t="s">
        <v>650</v>
      </c>
      <c r="AA198">
        <v>200</v>
      </c>
      <c r="AB198">
        <v>440</v>
      </c>
      <c r="AC198">
        <v>1064</v>
      </c>
    </row>
    <row r="199" spans="1:29">
      <c r="A199" t="s">
        <v>283</v>
      </c>
      <c r="B199" t="s">
        <v>291</v>
      </c>
      <c r="C199">
        <v>1</v>
      </c>
      <c r="D199" t="s">
        <v>119</v>
      </c>
      <c r="E199" s="1">
        <v>73</v>
      </c>
      <c r="F199">
        <v>175</v>
      </c>
      <c r="G199" s="1">
        <v>18</v>
      </c>
      <c r="H199" t="s">
        <v>41</v>
      </c>
      <c r="I199" t="s">
        <v>44</v>
      </c>
      <c r="J199" s="2">
        <v>67</v>
      </c>
      <c r="K199" s="23">
        <v>75.021276595744681</v>
      </c>
      <c r="L199" s="23">
        <v>97.702127659574458</v>
      </c>
      <c r="M199" s="23">
        <v>45.361702127659576</v>
      </c>
      <c r="N199" s="5" t="s">
        <v>614</v>
      </c>
      <c r="O199" s="2" t="s">
        <v>651</v>
      </c>
      <c r="P199" s="23">
        <v>62.897727272727273</v>
      </c>
      <c r="Q199" s="14">
        <v>19.408284023668639</v>
      </c>
      <c r="R199" s="14">
        <v>33.479289940828401</v>
      </c>
      <c r="S199" s="14">
        <v>52.887573964497037</v>
      </c>
      <c r="T199" s="14">
        <v>25.23076923076923</v>
      </c>
      <c r="U199" s="14">
        <v>184.03409090909091</v>
      </c>
      <c r="V199" s="24"/>
      <c r="W199" s="14">
        <f>S199+T199/2+U199+P199</f>
        <v>312.43477676169982</v>
      </c>
      <c r="Y199">
        <v>1</v>
      </c>
      <c r="Z199" t="s">
        <v>650</v>
      </c>
      <c r="AA199">
        <v>135</v>
      </c>
      <c r="AB199">
        <v>176</v>
      </c>
      <c r="AC199">
        <v>395</v>
      </c>
    </row>
    <row r="200" spans="1:29">
      <c r="A200" t="s">
        <v>204</v>
      </c>
      <c r="B200" t="s">
        <v>210</v>
      </c>
      <c r="C200">
        <v>3</v>
      </c>
      <c r="D200" t="s">
        <v>34</v>
      </c>
      <c r="E200" s="1">
        <v>73</v>
      </c>
      <c r="F200">
        <v>227</v>
      </c>
      <c r="G200" s="1">
        <v>18</v>
      </c>
      <c r="H200" t="s">
        <v>42</v>
      </c>
      <c r="I200" t="s">
        <v>44</v>
      </c>
      <c r="J200" s="2">
        <v>44</v>
      </c>
      <c r="K200" s="23">
        <v>20.936170212765955</v>
      </c>
      <c r="L200" s="23">
        <v>36.638297872340424</v>
      </c>
      <c r="M200" s="23">
        <v>310.55319148936172</v>
      </c>
      <c r="N200" s="3" t="s">
        <v>619</v>
      </c>
      <c r="O200" s="2" t="s">
        <v>651</v>
      </c>
      <c r="P200" s="23">
        <v>136.27008928571428</v>
      </c>
      <c r="Q200" s="14">
        <v>6.2651685393258427</v>
      </c>
      <c r="R200" s="14">
        <v>20.914606741573031</v>
      </c>
      <c r="S200" s="14">
        <v>27.179775280898873</v>
      </c>
      <c r="T200" s="14">
        <v>46.159550561797751</v>
      </c>
      <c r="U200" s="14">
        <v>125.74553571428571</v>
      </c>
      <c r="V200" s="24">
        <v>-0.11830357142857142</v>
      </c>
      <c r="W200" s="14">
        <f>S200+T200/2+U200+P200</f>
        <v>312.27517556179771</v>
      </c>
      <c r="X200" s="22">
        <v>7</v>
      </c>
      <c r="Y200">
        <v>0</v>
      </c>
      <c r="Z200" t="s">
        <v>651</v>
      </c>
      <c r="AA200">
        <v>1489</v>
      </c>
      <c r="AB200">
        <v>896</v>
      </c>
      <c r="AC200">
        <v>1374</v>
      </c>
    </row>
    <row r="201" spans="1:29">
      <c r="A201" s="6" t="s">
        <v>17</v>
      </c>
      <c r="B201" t="s">
        <v>68</v>
      </c>
      <c r="C201">
        <v>28</v>
      </c>
      <c r="D201" t="s">
        <v>34</v>
      </c>
      <c r="E201" s="1">
        <v>75</v>
      </c>
      <c r="F201">
        <v>200</v>
      </c>
      <c r="G201" s="1">
        <v>18</v>
      </c>
      <c r="H201" t="s">
        <v>41</v>
      </c>
      <c r="I201" t="s">
        <v>43</v>
      </c>
      <c r="J201" s="2">
        <v>46</v>
      </c>
      <c r="K201" s="23">
        <v>38.382978723404257</v>
      </c>
      <c r="L201" s="23">
        <v>73.276595744680847</v>
      </c>
      <c r="M201" s="23">
        <v>90.723404255319153</v>
      </c>
      <c r="N201" s="5" t="s">
        <v>632</v>
      </c>
      <c r="O201" s="2" t="s">
        <v>651</v>
      </c>
      <c r="P201" s="23">
        <v>110.26515151515152</v>
      </c>
      <c r="Q201" s="14">
        <v>15.26679462571977</v>
      </c>
      <c r="R201" s="14">
        <v>25.497120921305186</v>
      </c>
      <c r="S201" s="14">
        <v>40.763915547024958</v>
      </c>
      <c r="T201" s="14">
        <v>30.218809980806142</v>
      </c>
      <c r="U201" s="14">
        <v>145.05303030303031</v>
      </c>
      <c r="V201" s="24"/>
      <c r="W201" s="14">
        <f>S201+T201/2+U201+P201</f>
        <v>311.19150235560983</v>
      </c>
      <c r="Y201">
        <v>0</v>
      </c>
      <c r="Z201" t="s">
        <v>650</v>
      </c>
      <c r="AA201">
        <v>710</v>
      </c>
      <c r="AB201">
        <v>528</v>
      </c>
      <c r="AC201">
        <v>934</v>
      </c>
    </row>
    <row r="202" spans="1:29">
      <c r="A202" s="6" t="s">
        <v>121</v>
      </c>
      <c r="B202" t="s">
        <v>127</v>
      </c>
      <c r="C202">
        <v>77</v>
      </c>
      <c r="D202" t="s">
        <v>35</v>
      </c>
      <c r="E202" s="1">
        <v>73</v>
      </c>
      <c r="F202">
        <v>196</v>
      </c>
      <c r="G202" s="1">
        <v>18</v>
      </c>
      <c r="H202" t="s">
        <v>41</v>
      </c>
      <c r="I202" t="s">
        <v>44</v>
      </c>
      <c r="J202" s="2">
        <v>25</v>
      </c>
      <c r="K202" s="23">
        <v>31.404255319148938</v>
      </c>
      <c r="L202" s="23">
        <v>24.425531914893615</v>
      </c>
      <c r="M202" s="23">
        <v>0</v>
      </c>
      <c r="N202" s="3" t="s">
        <v>631</v>
      </c>
      <c r="O202" s="2" t="s">
        <v>651</v>
      </c>
      <c r="P202" s="23">
        <v>81.240740740740733</v>
      </c>
      <c r="Q202" s="14">
        <v>16.859813084112151</v>
      </c>
      <c r="R202" s="14">
        <v>25.136448598130841</v>
      </c>
      <c r="S202" s="14">
        <v>41.996261682242995</v>
      </c>
      <c r="T202" s="14">
        <v>48.280373831775705</v>
      </c>
      <c r="U202" s="14">
        <v>162.02592592592592</v>
      </c>
      <c r="V202" s="24"/>
      <c r="W202" s="14">
        <f>S202+T202/2+U202+P202</f>
        <v>309.40311526479752</v>
      </c>
      <c r="Y202">
        <v>0</v>
      </c>
      <c r="Z202" t="s">
        <v>650</v>
      </c>
      <c r="AA202">
        <v>535</v>
      </c>
      <c r="AB202">
        <v>540</v>
      </c>
      <c r="AC202">
        <v>1067</v>
      </c>
    </row>
    <row r="203" spans="1:29">
      <c r="A203" t="s">
        <v>430</v>
      </c>
      <c r="B203" t="s">
        <v>439</v>
      </c>
      <c r="C203">
        <v>43</v>
      </c>
      <c r="D203" t="s">
        <v>34</v>
      </c>
      <c r="E203" s="1">
        <v>73</v>
      </c>
      <c r="F203">
        <v>206</v>
      </c>
      <c r="G203" s="1">
        <v>19</v>
      </c>
      <c r="H203" t="s">
        <v>41</v>
      </c>
      <c r="I203" t="s">
        <v>44</v>
      </c>
      <c r="J203" s="2">
        <v>59</v>
      </c>
      <c r="K203" s="23">
        <v>47.10638297872341</v>
      </c>
      <c r="L203" s="23">
        <v>48.851063829787229</v>
      </c>
      <c r="M203" s="23">
        <v>82</v>
      </c>
      <c r="N203" s="3" t="s">
        <v>600</v>
      </c>
      <c r="O203" s="2" t="s">
        <v>651</v>
      </c>
      <c r="P203" s="23">
        <v>45.637342908438058</v>
      </c>
      <c r="Q203" s="14">
        <v>22.876811594202898</v>
      </c>
      <c r="R203" s="14">
        <v>25.69927536231884</v>
      </c>
      <c r="S203" s="14">
        <v>48.576086956521735</v>
      </c>
      <c r="T203" s="14">
        <v>14.855072463768115</v>
      </c>
      <c r="U203" s="14">
        <v>207.13464991023341</v>
      </c>
      <c r="V203" s="24"/>
      <c r="W203" s="14">
        <f>S203+T203/2+U203+P203</f>
        <v>308.77561600707725</v>
      </c>
      <c r="Y203">
        <v>1</v>
      </c>
      <c r="Z203" t="s">
        <v>650</v>
      </c>
      <c r="AA203">
        <v>310</v>
      </c>
      <c r="AB203">
        <v>557</v>
      </c>
      <c r="AC203">
        <v>1407</v>
      </c>
    </row>
    <row r="204" spans="1:29">
      <c r="A204" s="6" t="s">
        <v>69</v>
      </c>
      <c r="B204" t="s">
        <v>86</v>
      </c>
      <c r="C204">
        <v>106</v>
      </c>
      <c r="D204" t="s">
        <v>85</v>
      </c>
      <c r="E204" s="1">
        <v>70</v>
      </c>
      <c r="F204">
        <v>184</v>
      </c>
      <c r="G204" s="1">
        <v>18</v>
      </c>
      <c r="H204" t="s">
        <v>41</v>
      </c>
      <c r="I204" t="s">
        <v>44</v>
      </c>
      <c r="J204" s="2">
        <f>27+18+7+7</f>
        <v>59</v>
      </c>
      <c r="K204" s="23">
        <v>27.914893617021274</v>
      </c>
      <c r="L204" s="23">
        <v>38.382978723404257</v>
      </c>
      <c r="M204" s="23">
        <v>247.74468085106383</v>
      </c>
      <c r="N204" s="3" t="s">
        <v>607</v>
      </c>
      <c r="O204" s="2" t="s">
        <v>651</v>
      </c>
      <c r="P204" s="23">
        <v>147.39051094890513</v>
      </c>
      <c r="Q204" s="14">
        <v>7.9306569343065698</v>
      </c>
      <c r="R204" s="14">
        <v>17.656934306569344</v>
      </c>
      <c r="S204" s="14">
        <v>25.587591240875913</v>
      </c>
      <c r="T204" s="14">
        <v>54.167883211678834</v>
      </c>
      <c r="U204" s="14">
        <v>107.88686131386862</v>
      </c>
      <c r="V204" s="24"/>
      <c r="W204" s="14">
        <f>S204+T204/2+U204+P204</f>
        <v>307.94890510948909</v>
      </c>
      <c r="Y204">
        <v>0</v>
      </c>
      <c r="Z204" t="s">
        <v>650</v>
      </c>
      <c r="AA204">
        <v>985</v>
      </c>
      <c r="AB204">
        <v>548</v>
      </c>
      <c r="AC204">
        <v>721</v>
      </c>
    </row>
    <row r="205" spans="1:29">
      <c r="A205" t="s">
        <v>539</v>
      </c>
      <c r="B205" t="s">
        <v>552</v>
      </c>
      <c r="C205">
        <v>154</v>
      </c>
      <c r="D205" t="s">
        <v>35</v>
      </c>
      <c r="E205" s="1">
        <v>75</v>
      </c>
      <c r="F205">
        <v>215</v>
      </c>
      <c r="G205" s="1">
        <v>20</v>
      </c>
      <c r="H205" t="s">
        <v>42</v>
      </c>
      <c r="I205" t="s">
        <v>43</v>
      </c>
      <c r="J205" s="2">
        <v>63</v>
      </c>
      <c r="K205" s="23">
        <v>12.212765957446807</v>
      </c>
      <c r="L205" s="23">
        <v>24.425531914893615</v>
      </c>
      <c r="M205" s="23">
        <v>211.10638297872339</v>
      </c>
      <c r="N205" s="5" t="s">
        <v>600</v>
      </c>
      <c r="O205" s="2" t="s">
        <v>651</v>
      </c>
      <c r="P205" s="23">
        <v>170.83333333333334</v>
      </c>
      <c r="Q205" s="14">
        <v>2.1742424242424243</v>
      </c>
      <c r="R205" s="14">
        <v>9.6287878787878789</v>
      </c>
      <c r="S205" s="14">
        <v>11.803030303030303</v>
      </c>
      <c r="T205" s="14">
        <v>99.704545454545453</v>
      </c>
      <c r="U205" s="14">
        <v>74.856060606060609</v>
      </c>
      <c r="V205" s="24">
        <v>-4.924242424242424E-2</v>
      </c>
      <c r="W205" s="14">
        <f>S205+T205/2+U205+P205</f>
        <v>307.344696969697</v>
      </c>
      <c r="X205" s="22">
        <v>-42</v>
      </c>
      <c r="Y205">
        <v>0</v>
      </c>
      <c r="Z205" t="s">
        <v>651</v>
      </c>
      <c r="AA205">
        <v>550</v>
      </c>
      <c r="AB205">
        <v>264</v>
      </c>
      <c r="AC205">
        <v>241</v>
      </c>
    </row>
    <row r="206" spans="1:29">
      <c r="A206" t="s">
        <v>539</v>
      </c>
      <c r="B206" t="s">
        <v>554</v>
      </c>
      <c r="C206">
        <v>1</v>
      </c>
      <c r="D206" t="s">
        <v>35</v>
      </c>
      <c r="E206" s="1">
        <v>76</v>
      </c>
      <c r="F206">
        <v>220</v>
      </c>
      <c r="G206" s="1">
        <v>18</v>
      </c>
      <c r="H206" t="s">
        <v>41</v>
      </c>
      <c r="I206" t="s">
        <v>44</v>
      </c>
      <c r="J206" s="2">
        <f>59+7</f>
        <v>66</v>
      </c>
      <c r="K206" s="23">
        <v>75.021276595744681</v>
      </c>
      <c r="L206" s="23">
        <v>144.80851063829786</v>
      </c>
      <c r="M206" s="23">
        <v>214.59574468085108</v>
      </c>
      <c r="N206" s="3" t="s">
        <v>600</v>
      </c>
      <c r="O206" s="2" t="s">
        <v>651</v>
      </c>
      <c r="P206" s="23">
        <v>54.515653775322278</v>
      </c>
      <c r="Q206" s="14">
        <v>21.299371069182392</v>
      </c>
      <c r="R206" s="14">
        <v>55.285534591194974</v>
      </c>
      <c r="S206" s="14">
        <v>76.584905660377359</v>
      </c>
      <c r="T206" s="14">
        <v>63.537106918238997</v>
      </c>
      <c r="U206" s="14">
        <v>143.83977900552486</v>
      </c>
      <c r="V206" s="24"/>
      <c r="W206" s="14">
        <f>S206+T206/2+U206+P206</f>
        <v>306.70889190034399</v>
      </c>
      <c r="Y206">
        <v>1</v>
      </c>
      <c r="Z206" t="s">
        <v>650</v>
      </c>
      <c r="AA206">
        <v>722</v>
      </c>
      <c r="AB206">
        <v>1086</v>
      </c>
      <c r="AC206">
        <v>1905</v>
      </c>
    </row>
    <row r="207" spans="1:29">
      <c r="A207" t="s">
        <v>234</v>
      </c>
      <c r="B207" t="s">
        <v>235</v>
      </c>
      <c r="C207">
        <v>35</v>
      </c>
      <c r="D207" t="s">
        <v>38</v>
      </c>
      <c r="E207" s="1">
        <v>72</v>
      </c>
      <c r="F207">
        <v>176</v>
      </c>
      <c r="G207" s="1">
        <v>18</v>
      </c>
      <c r="H207" t="s">
        <v>41</v>
      </c>
      <c r="I207" t="s">
        <v>44</v>
      </c>
      <c r="J207" s="2">
        <f>30+22+10+7+5+1+4</f>
        <v>79</v>
      </c>
      <c r="K207" s="23">
        <v>33.148936170212764</v>
      </c>
      <c r="L207" s="23">
        <v>50.595744680851062</v>
      </c>
      <c r="M207" s="23">
        <v>45.361702127659576</v>
      </c>
      <c r="N207" s="3" t="s">
        <v>615</v>
      </c>
      <c r="O207" s="2" t="s">
        <v>650</v>
      </c>
      <c r="P207" s="23">
        <v>3.0370370370370368</v>
      </c>
      <c r="Q207" s="14">
        <v>28.99619771863118</v>
      </c>
      <c r="R207" s="14">
        <v>37.414448669201519</v>
      </c>
      <c r="S207" s="14">
        <v>66.410646387832699</v>
      </c>
      <c r="T207" s="14">
        <v>25.566539923954373</v>
      </c>
      <c r="U207" s="14">
        <v>224.43703703703702</v>
      </c>
      <c r="V207" s="24"/>
      <c r="W207" s="14">
        <f>S207+T207/2+U207+P207</f>
        <v>306.66799042388391</v>
      </c>
      <c r="Y207">
        <v>1</v>
      </c>
      <c r="Z207" t="s">
        <v>650</v>
      </c>
      <c r="AA207">
        <v>10</v>
      </c>
      <c r="AB207">
        <v>270</v>
      </c>
      <c r="AC207">
        <v>739</v>
      </c>
    </row>
    <row r="208" spans="1:29">
      <c r="A208" t="s">
        <v>525</v>
      </c>
      <c r="B208" t="s">
        <v>527</v>
      </c>
      <c r="C208">
        <v>24</v>
      </c>
      <c r="D208" t="s">
        <v>65</v>
      </c>
      <c r="E208" s="1">
        <v>72</v>
      </c>
      <c r="F208">
        <v>200</v>
      </c>
      <c r="G208" s="1">
        <v>18</v>
      </c>
      <c r="H208" t="s">
        <v>41</v>
      </c>
      <c r="I208" t="s">
        <v>44</v>
      </c>
      <c r="J208" s="2">
        <f>2+7+18+6</f>
        <v>33</v>
      </c>
      <c r="K208" s="23">
        <v>24.425531914893615</v>
      </c>
      <c r="L208" s="23">
        <v>13.957446808510637</v>
      </c>
      <c r="M208" s="23">
        <v>52.340425531914896</v>
      </c>
      <c r="N208" s="3" t="s">
        <v>606</v>
      </c>
      <c r="O208" s="2" t="s">
        <v>651</v>
      </c>
      <c r="P208" s="23">
        <v>57.235747303543917</v>
      </c>
      <c r="Q208" s="14">
        <v>16.755417956656345</v>
      </c>
      <c r="R208" s="14">
        <v>25.006191950464395</v>
      </c>
      <c r="S208" s="14">
        <v>41.761609907120743</v>
      </c>
      <c r="T208" s="14">
        <v>41.253869969040245</v>
      </c>
      <c r="U208" s="14">
        <v>186.61633281972263</v>
      </c>
      <c r="V208" s="24"/>
      <c r="W208" s="14">
        <f>S208+T208/2+U208+P208</f>
        <v>306.24062501490744</v>
      </c>
      <c r="Y208">
        <v>0</v>
      </c>
      <c r="Z208" t="s">
        <v>650</v>
      </c>
      <c r="AA208">
        <v>453</v>
      </c>
      <c r="AB208">
        <v>649</v>
      </c>
      <c r="AC208">
        <v>1477</v>
      </c>
    </row>
    <row r="209" spans="1:29">
      <c r="A209" t="s">
        <v>397</v>
      </c>
      <c r="B209" t="s">
        <v>405</v>
      </c>
      <c r="C209">
        <v>14</v>
      </c>
      <c r="D209" t="s">
        <v>35</v>
      </c>
      <c r="E209" s="1">
        <v>79</v>
      </c>
      <c r="F209">
        <v>255</v>
      </c>
      <c r="G209" s="1">
        <v>19</v>
      </c>
      <c r="H209" t="s">
        <v>42</v>
      </c>
      <c r="I209" t="s">
        <v>44</v>
      </c>
      <c r="J209" s="2">
        <v>38</v>
      </c>
      <c r="K209" s="23">
        <v>6.9787234042553186</v>
      </c>
      <c r="L209" s="23">
        <v>15.702127659574469</v>
      </c>
      <c r="M209" s="23">
        <v>99.446808510638306</v>
      </c>
      <c r="N209" s="3" t="s">
        <v>611</v>
      </c>
      <c r="O209" s="2" t="s">
        <v>651</v>
      </c>
      <c r="P209" s="23">
        <v>176.91575091575092</v>
      </c>
      <c r="Q209" s="14">
        <v>4.6067415730337071</v>
      </c>
      <c r="R209" s="14">
        <v>11.363295880149812</v>
      </c>
      <c r="S209" s="14">
        <v>15.970037453183519</v>
      </c>
      <c r="T209" s="14">
        <v>69.101123595505612</v>
      </c>
      <c r="U209" s="14">
        <v>78.695970695970701</v>
      </c>
      <c r="V209" s="24">
        <v>-1.4652014652014652E-2</v>
      </c>
      <c r="W209" s="14">
        <f>S209+T209/2+U209+P209</f>
        <v>306.13232086265793</v>
      </c>
      <c r="X209" s="22">
        <v>-19</v>
      </c>
      <c r="Y209">
        <v>0</v>
      </c>
      <c r="Z209" t="s">
        <v>651</v>
      </c>
      <c r="AA209">
        <v>589</v>
      </c>
      <c r="AB209">
        <v>273</v>
      </c>
      <c r="AC209">
        <v>262</v>
      </c>
    </row>
    <row r="210" spans="1:29">
      <c r="A210" t="s">
        <v>306</v>
      </c>
      <c r="B210" t="s">
        <v>315</v>
      </c>
      <c r="C210">
        <v>4</v>
      </c>
      <c r="D210" t="s">
        <v>35</v>
      </c>
      <c r="E210" s="1">
        <v>75</v>
      </c>
      <c r="F210">
        <v>210</v>
      </c>
      <c r="G210" s="1">
        <v>18</v>
      </c>
      <c r="H210" t="s">
        <v>42</v>
      </c>
      <c r="I210" t="s">
        <v>43</v>
      </c>
      <c r="J210" s="2">
        <v>60</v>
      </c>
      <c r="K210" s="23">
        <v>22.680851063829788</v>
      </c>
      <c r="L210" s="23">
        <v>69.787234042553195</v>
      </c>
      <c r="M210" s="23">
        <v>164</v>
      </c>
      <c r="N210" s="5" t="s">
        <v>600</v>
      </c>
      <c r="O210" s="2" t="s">
        <v>651</v>
      </c>
      <c r="P210" s="23">
        <v>55.047353760445681</v>
      </c>
      <c r="Q210" s="14">
        <v>11.417721518987342</v>
      </c>
      <c r="R210" s="14">
        <v>36.559774964838255</v>
      </c>
      <c r="S210" s="14">
        <v>47.977496483825597</v>
      </c>
      <c r="T210" s="14">
        <v>25.949367088607595</v>
      </c>
      <c r="U210" s="14">
        <v>189.92479108635098</v>
      </c>
      <c r="V210" s="24">
        <v>9.6234309623430964E-2</v>
      </c>
      <c r="W210" s="14">
        <f>S210+T210/2+U210+P210</f>
        <v>305.92432487492607</v>
      </c>
      <c r="X210" s="22">
        <v>84</v>
      </c>
      <c r="Y210">
        <v>1</v>
      </c>
      <c r="Z210" t="s">
        <v>650</v>
      </c>
      <c r="AA210">
        <v>482</v>
      </c>
      <c r="AB210">
        <v>718</v>
      </c>
      <c r="AC210">
        <v>1663</v>
      </c>
    </row>
    <row r="211" spans="1:29">
      <c r="A211" t="s">
        <v>322</v>
      </c>
      <c r="B211" t="s">
        <v>334</v>
      </c>
      <c r="C211">
        <v>4</v>
      </c>
      <c r="D211" t="s">
        <v>35</v>
      </c>
      <c r="E211" s="1">
        <v>71</v>
      </c>
      <c r="F211">
        <v>187</v>
      </c>
      <c r="G211" s="1">
        <v>19</v>
      </c>
      <c r="H211" t="s">
        <v>42</v>
      </c>
      <c r="I211" t="s">
        <v>43</v>
      </c>
      <c r="J211" s="2">
        <v>54</v>
      </c>
      <c r="K211" s="23">
        <v>41.87234042553191</v>
      </c>
      <c r="L211" s="23">
        <v>88.978723404255305</v>
      </c>
      <c r="M211" s="23">
        <v>31.404255319148938</v>
      </c>
      <c r="N211" s="5" t="s">
        <v>620</v>
      </c>
      <c r="O211" s="2" t="s">
        <v>651</v>
      </c>
      <c r="P211" s="23">
        <v>51.629629629629633</v>
      </c>
      <c r="Q211" s="14">
        <v>26.09090909090909</v>
      </c>
      <c r="R211" s="14">
        <v>67.090909090909093</v>
      </c>
      <c r="S211" s="14">
        <v>93.181818181818173</v>
      </c>
      <c r="T211" s="14">
        <v>0</v>
      </c>
      <c r="U211" s="14">
        <v>160.96296296296296</v>
      </c>
      <c r="V211" s="24">
        <v>0.38461538461538464</v>
      </c>
      <c r="W211" s="14">
        <f>S211+T211/2+U211+P211</f>
        <v>305.77441077441074</v>
      </c>
      <c r="X211" s="22">
        <v>278</v>
      </c>
      <c r="Y211">
        <v>1</v>
      </c>
      <c r="Z211" t="s">
        <v>650</v>
      </c>
      <c r="AA211">
        <v>17</v>
      </c>
      <c r="AB211">
        <v>27</v>
      </c>
      <c r="AC211">
        <v>53</v>
      </c>
    </row>
    <row r="212" spans="1:29">
      <c r="A212" t="s">
        <v>188</v>
      </c>
      <c r="B212" t="s">
        <v>196</v>
      </c>
      <c r="C212">
        <v>22</v>
      </c>
      <c r="D212" t="s">
        <v>35</v>
      </c>
      <c r="E212" s="1">
        <v>71</v>
      </c>
      <c r="F212">
        <v>187</v>
      </c>
      <c r="G212" s="1">
        <v>18</v>
      </c>
      <c r="H212" t="s">
        <v>41</v>
      </c>
      <c r="I212" t="s">
        <v>43</v>
      </c>
      <c r="J212" s="2">
        <v>77</v>
      </c>
      <c r="K212" s="23">
        <v>80.255319148936167</v>
      </c>
      <c r="L212" s="23">
        <v>68.042553191489361</v>
      </c>
      <c r="M212" s="23">
        <v>34.893617021276597</v>
      </c>
      <c r="N212" s="3" t="s">
        <v>599</v>
      </c>
      <c r="O212" s="2" t="s">
        <v>651</v>
      </c>
      <c r="P212" s="23">
        <v>43.524926686217007</v>
      </c>
      <c r="Q212" s="14">
        <v>25.389629629629631</v>
      </c>
      <c r="R212" s="14">
        <v>33.285925925925923</v>
      </c>
      <c r="S212" s="14">
        <v>58.675555555555555</v>
      </c>
      <c r="T212" s="14">
        <v>19.68</v>
      </c>
      <c r="U212" s="14">
        <v>193.69794721407627</v>
      </c>
      <c r="V212" s="24"/>
      <c r="W212" s="14">
        <f>S212+T212/2+U212+P212</f>
        <v>305.7384294558488</v>
      </c>
      <c r="Y212">
        <v>1</v>
      </c>
      <c r="Z212" t="s">
        <v>650</v>
      </c>
      <c r="AA212">
        <v>362</v>
      </c>
      <c r="AB212">
        <v>682</v>
      </c>
      <c r="AC212">
        <v>1611</v>
      </c>
    </row>
    <row r="213" spans="1:29">
      <c r="A213" s="6" t="s">
        <v>121</v>
      </c>
      <c r="B213" t="s">
        <v>130</v>
      </c>
      <c r="C213">
        <v>79</v>
      </c>
      <c r="D213" t="s">
        <v>35</v>
      </c>
      <c r="E213" s="1">
        <v>70</v>
      </c>
      <c r="F213">
        <v>166</v>
      </c>
      <c r="G213" s="1">
        <v>18</v>
      </c>
      <c r="H213" t="s">
        <v>41</v>
      </c>
      <c r="I213" t="s">
        <v>43</v>
      </c>
      <c r="J213" s="2">
        <v>81</v>
      </c>
      <c r="K213" s="23">
        <v>64.553191489361708</v>
      </c>
      <c r="L213" s="23">
        <v>104.68085106382979</v>
      </c>
      <c r="M213" s="23">
        <v>99.446808510638306</v>
      </c>
      <c r="N213" s="5" t="s">
        <v>599</v>
      </c>
      <c r="O213" s="2" t="s">
        <v>650</v>
      </c>
      <c r="P213" s="23">
        <v>34.629482071713149</v>
      </c>
      <c r="Q213" s="14">
        <v>31.92622950819672</v>
      </c>
      <c r="R213" s="14">
        <v>38.647540983606554</v>
      </c>
      <c r="S213" s="14">
        <v>70.573770491803273</v>
      </c>
      <c r="T213" s="14">
        <v>23.860655737704917</v>
      </c>
      <c r="U213" s="14">
        <v>188.50199203187253</v>
      </c>
      <c r="V213" s="24"/>
      <c r="W213" s="14">
        <f>S213+T213/2+U213+P213</f>
        <v>305.63557246424142</v>
      </c>
      <c r="Y213">
        <v>1</v>
      </c>
      <c r="Z213" t="s">
        <v>650</v>
      </c>
      <c r="AA213">
        <v>106</v>
      </c>
      <c r="AB213">
        <v>251</v>
      </c>
      <c r="AC213">
        <v>577</v>
      </c>
    </row>
    <row r="214" spans="1:29">
      <c r="A214" t="s">
        <v>510</v>
      </c>
      <c r="B214" t="s">
        <v>520</v>
      </c>
      <c r="C214">
        <v>44</v>
      </c>
      <c r="D214" t="s">
        <v>35</v>
      </c>
      <c r="E214" s="1">
        <v>72</v>
      </c>
      <c r="F214">
        <v>193</v>
      </c>
      <c r="G214" s="1">
        <v>20</v>
      </c>
      <c r="H214" t="s">
        <v>41</v>
      </c>
      <c r="I214" t="s">
        <v>44</v>
      </c>
      <c r="J214" s="2">
        <v>42</v>
      </c>
      <c r="K214" s="23">
        <v>29.659574468085108</v>
      </c>
      <c r="L214" s="23">
        <v>48.851063829787229</v>
      </c>
      <c r="M214" s="23">
        <v>52.340425531914896</v>
      </c>
      <c r="N214" s="3" t="s">
        <v>613</v>
      </c>
      <c r="O214" s="2" t="s">
        <v>651</v>
      </c>
      <c r="P214" s="23">
        <v>46.896017699115049</v>
      </c>
      <c r="Q214" s="14">
        <v>21.799777530589544</v>
      </c>
      <c r="R214" s="14">
        <v>41.866518353726363</v>
      </c>
      <c r="S214" s="14">
        <v>63.666295884315907</v>
      </c>
      <c r="T214" s="14">
        <v>38.856507230255843</v>
      </c>
      <c r="U214" s="14">
        <v>174.52212389380529</v>
      </c>
      <c r="V214" s="24"/>
      <c r="W214" s="14">
        <f>S214+T214/2+U214+P214</f>
        <v>304.51269109236421</v>
      </c>
      <c r="Y214">
        <v>1</v>
      </c>
      <c r="Z214" t="s">
        <v>650</v>
      </c>
      <c r="AA214">
        <v>517</v>
      </c>
      <c r="AB214">
        <v>904</v>
      </c>
      <c r="AC214">
        <v>1924</v>
      </c>
    </row>
    <row r="215" spans="1:29">
      <c r="A215" s="6" t="s">
        <v>17</v>
      </c>
      <c r="B215" t="s">
        <v>24</v>
      </c>
      <c r="C215">
        <v>133</v>
      </c>
      <c r="D215" t="s">
        <v>34</v>
      </c>
      <c r="E215" s="1">
        <v>71</v>
      </c>
      <c r="F215">
        <v>175</v>
      </c>
      <c r="G215" s="1">
        <v>18</v>
      </c>
      <c r="H215" t="s">
        <v>42</v>
      </c>
      <c r="I215" t="s">
        <v>43</v>
      </c>
      <c r="J215" s="2">
        <f>25+41+7</f>
        <v>73</v>
      </c>
      <c r="K215" s="23">
        <v>15.702127659574469</v>
      </c>
      <c r="L215" s="23">
        <v>26.170212765957448</v>
      </c>
      <c r="M215" s="23">
        <v>202.38297872340425</v>
      </c>
      <c r="N215" s="5" t="s">
        <v>608</v>
      </c>
      <c r="O215" s="2" t="s">
        <v>651</v>
      </c>
      <c r="P215" s="23">
        <v>204.04651162790697</v>
      </c>
      <c r="Q215" s="14">
        <v>4.2051282051282053</v>
      </c>
      <c r="R215" s="14">
        <v>2.1025641025641026</v>
      </c>
      <c r="S215" s="14">
        <v>6.3076923076923084</v>
      </c>
      <c r="T215" s="14">
        <v>35.743589743589745</v>
      </c>
      <c r="U215" s="14">
        <v>76.279069767441854</v>
      </c>
      <c r="V215" s="24">
        <v>0.23255813953488372</v>
      </c>
      <c r="W215" s="14">
        <f>S215+T215/2+U215+P215</f>
        <v>304.505068574836</v>
      </c>
      <c r="X215" s="22">
        <v>-109</v>
      </c>
      <c r="Y215">
        <v>0</v>
      </c>
      <c r="Z215" t="s">
        <v>650</v>
      </c>
      <c r="AA215">
        <v>107</v>
      </c>
      <c r="AB215">
        <v>43</v>
      </c>
      <c r="AC215">
        <v>40</v>
      </c>
    </row>
    <row r="216" spans="1:29">
      <c r="A216" t="s">
        <v>525</v>
      </c>
      <c r="B216" t="s">
        <v>529</v>
      </c>
      <c r="C216">
        <v>10</v>
      </c>
      <c r="D216" t="s">
        <v>37</v>
      </c>
      <c r="E216" s="1">
        <v>73</v>
      </c>
      <c r="F216">
        <v>190</v>
      </c>
      <c r="G216" s="1">
        <v>18</v>
      </c>
      <c r="H216" t="s">
        <v>41</v>
      </c>
      <c r="I216" t="s">
        <v>44</v>
      </c>
      <c r="J216" s="2">
        <v>51</v>
      </c>
      <c r="K216" s="23">
        <v>5.2340425531914887</v>
      </c>
      <c r="L216" s="23">
        <v>15.702127659574469</v>
      </c>
      <c r="M216" s="23">
        <v>55.829787234042549</v>
      </c>
      <c r="N216" s="3" t="s">
        <v>607</v>
      </c>
      <c r="O216" s="2" t="s">
        <v>651</v>
      </c>
      <c r="P216" s="23">
        <v>59</v>
      </c>
      <c r="Q216" s="14">
        <v>15.45654834761322</v>
      </c>
      <c r="R216" s="14">
        <v>21.980416156670746</v>
      </c>
      <c r="S216" s="14">
        <v>37.436964504283964</v>
      </c>
      <c r="T216" s="14">
        <v>30.611995104039167</v>
      </c>
      <c r="U216" s="14">
        <v>192.2</v>
      </c>
      <c r="V216" s="24"/>
      <c r="W216" s="14">
        <f>S216+T216/2+U216+P216</f>
        <v>303.94296205630354</v>
      </c>
      <c r="Y216">
        <v>0</v>
      </c>
      <c r="Z216" t="s">
        <v>650</v>
      </c>
      <c r="AA216">
        <v>590</v>
      </c>
      <c r="AB216">
        <v>820</v>
      </c>
      <c r="AC216">
        <v>1922</v>
      </c>
    </row>
    <row r="217" spans="1:29">
      <c r="A217" t="s">
        <v>283</v>
      </c>
      <c r="B217" t="s">
        <v>295</v>
      </c>
      <c r="C217">
        <v>106</v>
      </c>
      <c r="D217" t="s">
        <v>38</v>
      </c>
      <c r="E217" s="1">
        <v>70</v>
      </c>
      <c r="F217">
        <v>185</v>
      </c>
      <c r="G217" s="1">
        <v>18</v>
      </c>
      <c r="H217" t="s">
        <v>42</v>
      </c>
      <c r="I217" t="s">
        <v>43</v>
      </c>
      <c r="J217" s="2">
        <f>7+2+20+6</f>
        <v>35</v>
      </c>
      <c r="K217" s="23">
        <v>6.9787234042553186</v>
      </c>
      <c r="L217" s="23">
        <v>22.680851063829788</v>
      </c>
      <c r="M217" s="23">
        <v>66.297872340425528</v>
      </c>
      <c r="N217" s="3" t="s">
        <v>38</v>
      </c>
      <c r="O217" s="2" t="s">
        <v>651</v>
      </c>
      <c r="P217" s="23">
        <v>98</v>
      </c>
      <c r="Q217" s="14">
        <v>8.9528535980148884</v>
      </c>
      <c r="R217" s="14">
        <v>27.468982630272954</v>
      </c>
      <c r="S217" s="14">
        <v>36.421836228287845</v>
      </c>
      <c r="T217" s="14">
        <v>35.811414392059554</v>
      </c>
      <c r="U217" s="14">
        <v>151.4</v>
      </c>
      <c r="V217" s="24">
        <v>7.3170731707317077E-3</v>
      </c>
      <c r="W217" s="14">
        <f>S217+T217/2+U217+P217</f>
        <v>303.72754342431762</v>
      </c>
      <c r="X217" s="22">
        <v>34</v>
      </c>
      <c r="Y217">
        <v>0</v>
      </c>
      <c r="Z217" t="s">
        <v>650</v>
      </c>
      <c r="AA217">
        <v>490</v>
      </c>
      <c r="AB217">
        <v>410</v>
      </c>
      <c r="AC217">
        <v>757</v>
      </c>
    </row>
    <row r="218" spans="1:29">
      <c r="A218" s="6" t="s">
        <v>87</v>
      </c>
      <c r="B218" t="s">
        <v>89</v>
      </c>
      <c r="C218">
        <v>12</v>
      </c>
      <c r="D218" t="s">
        <v>35</v>
      </c>
      <c r="E218" s="1">
        <v>70</v>
      </c>
      <c r="F218">
        <v>193</v>
      </c>
      <c r="G218" s="1">
        <v>18</v>
      </c>
      <c r="H218" t="s">
        <v>41</v>
      </c>
      <c r="I218" t="s">
        <v>44</v>
      </c>
      <c r="J218" s="2">
        <v>64</v>
      </c>
      <c r="K218" s="23">
        <v>68.042553191489361</v>
      </c>
      <c r="L218" s="23">
        <v>83.744680851063819</v>
      </c>
      <c r="M218" s="23">
        <v>123.87234042553192</v>
      </c>
      <c r="N218" s="3" t="s">
        <v>600</v>
      </c>
      <c r="O218" s="2" t="s">
        <v>651</v>
      </c>
      <c r="P218" s="23">
        <v>43.46987951807229</v>
      </c>
      <c r="Q218" s="14">
        <v>17.104294478527606</v>
      </c>
      <c r="R218" s="14">
        <v>38.233128834355824</v>
      </c>
      <c r="S218" s="14">
        <v>55.337423312883431</v>
      </c>
      <c r="T218" s="14">
        <v>68.668711656441715</v>
      </c>
      <c r="U218" s="14">
        <v>170.17469879518072</v>
      </c>
      <c r="V218" s="24"/>
      <c r="W218" s="14">
        <f>S218+T218/2+U218+P218</f>
        <v>303.31635745435727</v>
      </c>
      <c r="Y218">
        <v>1</v>
      </c>
      <c r="Z218" t="s">
        <v>650</v>
      </c>
      <c r="AA218">
        <v>176</v>
      </c>
      <c r="AB218">
        <v>332</v>
      </c>
      <c r="AC218">
        <v>689</v>
      </c>
    </row>
    <row r="219" spans="1:29">
      <c r="A219" t="s">
        <v>188</v>
      </c>
      <c r="B219" t="s">
        <v>192</v>
      </c>
      <c r="C219">
        <v>92</v>
      </c>
      <c r="D219" t="s">
        <v>35</v>
      </c>
      <c r="E219" s="1">
        <v>71</v>
      </c>
      <c r="F219">
        <v>195</v>
      </c>
      <c r="G219" s="1">
        <v>18</v>
      </c>
      <c r="H219" t="s">
        <v>41</v>
      </c>
      <c r="I219" t="s">
        <v>44</v>
      </c>
      <c r="J219" s="2">
        <v>55</v>
      </c>
      <c r="K219" s="23">
        <v>27.914893617021274</v>
      </c>
      <c r="L219" s="23">
        <v>34.893617021276597</v>
      </c>
      <c r="M219" s="23">
        <v>68.042553191489361</v>
      </c>
      <c r="N219" s="5" t="s">
        <v>600</v>
      </c>
      <c r="O219" s="2" t="s">
        <v>651</v>
      </c>
      <c r="P219" s="23">
        <v>161.08875739644969</v>
      </c>
      <c r="Q219" s="14">
        <v>10.988000000000001</v>
      </c>
      <c r="R219" s="14">
        <v>15.744</v>
      </c>
      <c r="S219" s="14">
        <v>26.732000000000003</v>
      </c>
      <c r="T219" s="14">
        <v>33.620000000000005</v>
      </c>
      <c r="U219" s="14">
        <v>98.658777120315577</v>
      </c>
      <c r="V219" s="24"/>
      <c r="W219" s="14">
        <f>S219+T219/2+U219+P219</f>
        <v>303.28953451676529</v>
      </c>
      <c r="Y219">
        <v>0</v>
      </c>
      <c r="Z219" t="s">
        <v>650</v>
      </c>
      <c r="AA219">
        <v>996</v>
      </c>
      <c r="AB219">
        <v>507</v>
      </c>
      <c r="AC219">
        <v>610</v>
      </c>
    </row>
    <row r="220" spans="1:29">
      <c r="A220" s="6" t="s">
        <v>49</v>
      </c>
      <c r="B220" t="s">
        <v>55</v>
      </c>
      <c r="C220">
        <v>22</v>
      </c>
      <c r="D220" t="s">
        <v>38</v>
      </c>
      <c r="E220" s="1">
        <v>73</v>
      </c>
      <c r="F220">
        <v>192</v>
      </c>
      <c r="G220" s="1">
        <v>18</v>
      </c>
      <c r="H220" t="s">
        <v>41</v>
      </c>
      <c r="I220" t="s">
        <v>43</v>
      </c>
      <c r="J220" s="2">
        <f>47+2+5+6+10+5+5</f>
        <v>80</v>
      </c>
      <c r="K220" s="23">
        <v>34.893617021276597</v>
      </c>
      <c r="L220" s="23">
        <v>19.191489361702128</v>
      </c>
      <c r="M220" s="23">
        <v>45.361702127659576</v>
      </c>
      <c r="N220" s="5" t="s">
        <v>615</v>
      </c>
      <c r="O220" s="2" t="s">
        <v>651</v>
      </c>
      <c r="P220" s="23">
        <v>105.64417177914109</v>
      </c>
      <c r="Q220" s="14">
        <v>17.757961783439491</v>
      </c>
      <c r="R220" s="14">
        <v>16.713375796178344</v>
      </c>
      <c r="S220" s="14">
        <v>34.471337579617831</v>
      </c>
      <c r="T220" s="14">
        <v>19.32484076433121</v>
      </c>
      <c r="U220" s="14">
        <v>153.43558282208591</v>
      </c>
      <c r="V220" s="24"/>
      <c r="W220" s="14">
        <f>S220+T220/2+U220+P220</f>
        <v>303.21351256301045</v>
      </c>
      <c r="Y220">
        <v>0</v>
      </c>
      <c r="Z220" t="s">
        <v>650</v>
      </c>
      <c r="AA220">
        <v>210</v>
      </c>
      <c r="AB220">
        <v>163</v>
      </c>
      <c r="AC220">
        <v>305</v>
      </c>
    </row>
    <row r="221" spans="1:29">
      <c r="A221" s="6" t="s">
        <v>49</v>
      </c>
      <c r="B221" t="s">
        <v>50</v>
      </c>
      <c r="C221">
        <v>64</v>
      </c>
      <c r="D221" t="s">
        <v>35</v>
      </c>
      <c r="E221" s="1">
        <v>70</v>
      </c>
      <c r="F221">
        <v>190</v>
      </c>
      <c r="G221" s="1">
        <v>18</v>
      </c>
      <c r="H221" t="s">
        <v>42</v>
      </c>
      <c r="I221" t="s">
        <v>43</v>
      </c>
      <c r="J221" s="2">
        <v>68</v>
      </c>
      <c r="K221" s="23">
        <v>20.936170212765955</v>
      </c>
      <c r="L221" s="23">
        <v>69.787234042553195</v>
      </c>
      <c r="M221" s="23">
        <v>54.085106382978722</v>
      </c>
      <c r="N221" s="3" t="s">
        <v>599</v>
      </c>
      <c r="O221" s="2" t="s">
        <v>651</v>
      </c>
      <c r="P221" s="23">
        <v>56.315175097276267</v>
      </c>
      <c r="Q221" s="14">
        <v>12.1301775147929</v>
      </c>
      <c r="R221" s="14">
        <v>38.654832347140037</v>
      </c>
      <c r="S221" s="14">
        <v>50.785009861932934</v>
      </c>
      <c r="T221" s="14">
        <v>27.333333333333332</v>
      </c>
      <c r="U221" s="14">
        <v>182.34630350194553</v>
      </c>
      <c r="V221" s="24">
        <v>-0.13450292397660818</v>
      </c>
      <c r="W221" s="14">
        <f>S221+T221/2+U221+P221</f>
        <v>303.11315512782141</v>
      </c>
      <c r="X221" s="22">
        <v>98</v>
      </c>
      <c r="Y221">
        <v>1</v>
      </c>
      <c r="Z221" t="s">
        <v>651</v>
      </c>
      <c r="AA221">
        <v>353</v>
      </c>
      <c r="AB221">
        <v>514</v>
      </c>
      <c r="AC221">
        <v>1143</v>
      </c>
    </row>
    <row r="222" spans="1:29">
      <c r="A222" t="s">
        <v>354</v>
      </c>
      <c r="B222" t="s">
        <v>349</v>
      </c>
      <c r="C222">
        <v>52</v>
      </c>
      <c r="D222" t="s">
        <v>38</v>
      </c>
      <c r="E222" s="1">
        <v>71</v>
      </c>
      <c r="F222">
        <v>203</v>
      </c>
      <c r="G222" s="1">
        <v>18</v>
      </c>
      <c r="H222" t="s">
        <v>41</v>
      </c>
      <c r="I222" t="s">
        <v>44</v>
      </c>
      <c r="J222" s="2">
        <v>40</v>
      </c>
      <c r="K222" s="23">
        <v>6.9787234042553186</v>
      </c>
      <c r="L222" s="23">
        <v>10.468085106382977</v>
      </c>
      <c r="M222" s="23">
        <v>92.468085106382972</v>
      </c>
      <c r="N222" s="5" t="s">
        <v>615</v>
      </c>
      <c r="O222" s="2" t="s">
        <v>651</v>
      </c>
      <c r="P222" s="23">
        <v>186.58682634730539</v>
      </c>
      <c r="Q222" s="14">
        <v>5.8922155688622748</v>
      </c>
      <c r="R222" s="14">
        <v>7.365269461077844</v>
      </c>
      <c r="S222" s="14">
        <v>13.257485029940119</v>
      </c>
      <c r="T222" s="14">
        <v>37.317365269461078</v>
      </c>
      <c r="U222" s="14">
        <v>84.455089820359277</v>
      </c>
      <c r="V222" s="24"/>
      <c r="W222" s="14">
        <f>S222+T222/2+U222+P222</f>
        <v>302.95808383233532</v>
      </c>
      <c r="Y222">
        <v>0</v>
      </c>
      <c r="Z222" t="s">
        <v>650</v>
      </c>
      <c r="AA222">
        <v>380</v>
      </c>
      <c r="AB222">
        <v>167</v>
      </c>
      <c r="AC222">
        <v>172</v>
      </c>
    </row>
    <row r="223" spans="1:29">
      <c r="A223" t="s">
        <v>478</v>
      </c>
      <c r="B223" t="s">
        <v>485</v>
      </c>
      <c r="C223">
        <v>123</v>
      </c>
      <c r="D223" t="s">
        <v>34</v>
      </c>
      <c r="E223" s="1">
        <v>70</v>
      </c>
      <c r="F223">
        <v>165</v>
      </c>
      <c r="G223" s="1">
        <v>19</v>
      </c>
      <c r="H223" t="s">
        <v>41</v>
      </c>
      <c r="I223" t="s">
        <v>43</v>
      </c>
      <c r="J223" s="2">
        <v>67</v>
      </c>
      <c r="K223" s="23">
        <v>61.063829787234042</v>
      </c>
      <c r="L223" s="23">
        <v>164</v>
      </c>
      <c r="M223" s="23">
        <v>115.14893617021276</v>
      </c>
      <c r="N223" s="5" t="s">
        <v>614</v>
      </c>
      <c r="O223" s="2" t="s">
        <v>651</v>
      </c>
      <c r="P223" s="23">
        <v>49.631578947368418</v>
      </c>
      <c r="Q223" s="14">
        <v>26.942857142857143</v>
      </c>
      <c r="R223" s="14">
        <v>10.542857142857143</v>
      </c>
      <c r="S223" s="14">
        <v>37.485714285714288</v>
      </c>
      <c r="T223" s="14">
        <v>21.085714285714285</v>
      </c>
      <c r="U223" s="14">
        <v>205</v>
      </c>
      <c r="V223" s="24"/>
      <c r="W223" s="14">
        <f>S223+T223/2+U223+P223</f>
        <v>302.66015037593985</v>
      </c>
      <c r="Y223">
        <v>0</v>
      </c>
      <c r="Z223" t="s">
        <v>650</v>
      </c>
      <c r="AA223">
        <v>46</v>
      </c>
      <c r="AB223">
        <v>76</v>
      </c>
      <c r="AC223">
        <v>190</v>
      </c>
    </row>
    <row r="224" spans="1:29">
      <c r="A224" s="6" t="s">
        <v>17</v>
      </c>
      <c r="B224" t="s">
        <v>25</v>
      </c>
      <c r="C224">
        <v>14</v>
      </c>
      <c r="D224" t="s">
        <v>35</v>
      </c>
      <c r="E224" s="1">
        <v>72</v>
      </c>
      <c r="F224">
        <v>188</v>
      </c>
      <c r="G224" s="1">
        <v>19</v>
      </c>
      <c r="H224" t="s">
        <v>41</v>
      </c>
      <c r="I224" t="s">
        <v>44</v>
      </c>
      <c r="J224" s="2">
        <v>72</v>
      </c>
      <c r="K224" s="23">
        <v>73.276595744680847</v>
      </c>
      <c r="L224" s="23">
        <v>68.042553191489361</v>
      </c>
      <c r="M224" s="23">
        <v>69.787234042553195</v>
      </c>
      <c r="N224" s="3" t="s">
        <v>599</v>
      </c>
      <c r="O224" s="2" t="s">
        <v>651</v>
      </c>
      <c r="P224" s="23">
        <v>63.664596273291927</v>
      </c>
      <c r="Q224" s="14">
        <v>24.493506493506491</v>
      </c>
      <c r="R224" s="14">
        <v>23.961038961038959</v>
      </c>
      <c r="S224" s="14">
        <v>48.454545454545453</v>
      </c>
      <c r="T224" s="14">
        <v>21.831168831168828</v>
      </c>
      <c r="U224" s="14">
        <v>179.27950310559007</v>
      </c>
      <c r="V224" s="24"/>
      <c r="W224" s="14">
        <f>S224+T224/2+U224+P224</f>
        <v>302.31422924901187</v>
      </c>
      <c r="Y224">
        <v>1</v>
      </c>
      <c r="Z224" t="s">
        <v>650</v>
      </c>
      <c r="AA224">
        <v>125</v>
      </c>
      <c r="AB224">
        <v>161</v>
      </c>
      <c r="AC224">
        <v>352</v>
      </c>
    </row>
    <row r="225" spans="1:29">
      <c r="A225" s="6" t="s">
        <v>102</v>
      </c>
      <c r="B225" t="s">
        <v>116</v>
      </c>
      <c r="C225">
        <v>206</v>
      </c>
      <c r="D225" t="s">
        <v>35</v>
      </c>
      <c r="E225" s="1">
        <v>72</v>
      </c>
      <c r="F225">
        <v>200</v>
      </c>
      <c r="G225" s="1">
        <v>19</v>
      </c>
      <c r="H225" t="s">
        <v>42</v>
      </c>
      <c r="I225" t="s">
        <v>43</v>
      </c>
      <c r="J225" s="2">
        <v>66</v>
      </c>
      <c r="K225" s="23">
        <v>13.957446808510637</v>
      </c>
      <c r="L225" s="23">
        <v>69.787234042553195</v>
      </c>
      <c r="M225" s="23">
        <v>108.17021276595744</v>
      </c>
      <c r="N225" s="3" t="s">
        <v>614</v>
      </c>
      <c r="O225" s="2" t="s">
        <v>651</v>
      </c>
      <c r="P225" s="23">
        <v>151.64383561643837</v>
      </c>
      <c r="Q225" s="14">
        <v>5.125</v>
      </c>
      <c r="R225" s="14">
        <v>13.666666666666666</v>
      </c>
      <c r="S225" s="14">
        <v>18.791666666666664</v>
      </c>
      <c r="T225" s="14">
        <v>64.347222222222214</v>
      </c>
      <c r="U225" s="14">
        <v>99.410958904109592</v>
      </c>
      <c r="V225" s="24">
        <v>1.3698630136986301E-2</v>
      </c>
      <c r="W225" s="14">
        <f>S225+T225/2+U225+P225</f>
        <v>302.02007229832572</v>
      </c>
      <c r="X225" s="22">
        <v>-7</v>
      </c>
      <c r="Y225">
        <v>0</v>
      </c>
      <c r="Z225" t="s">
        <v>650</v>
      </c>
      <c r="AA225">
        <v>270</v>
      </c>
      <c r="AB225">
        <v>146</v>
      </c>
      <c r="AC225">
        <v>177</v>
      </c>
    </row>
    <row r="226" spans="1:29">
      <c r="A226" s="6" t="s">
        <v>148</v>
      </c>
      <c r="B226" t="s">
        <v>151</v>
      </c>
      <c r="C226">
        <v>58</v>
      </c>
      <c r="D226" t="s">
        <v>35</v>
      </c>
      <c r="E226" s="1">
        <v>73</v>
      </c>
      <c r="F226">
        <v>199</v>
      </c>
      <c r="G226" s="1">
        <v>18</v>
      </c>
      <c r="H226" t="s">
        <v>41</v>
      </c>
      <c r="I226" t="s">
        <v>44</v>
      </c>
      <c r="J226" s="2">
        <v>43</v>
      </c>
      <c r="K226" s="23">
        <v>22.680851063829788</v>
      </c>
      <c r="L226" s="23">
        <v>15.702127659574469</v>
      </c>
      <c r="M226" s="23">
        <v>118.63829787234043</v>
      </c>
      <c r="N226" s="3" t="s">
        <v>600</v>
      </c>
      <c r="O226" s="2" t="s">
        <v>651</v>
      </c>
      <c r="P226" s="23">
        <v>86.151898734177223</v>
      </c>
      <c r="Q226" s="14">
        <v>19.549668874172184</v>
      </c>
      <c r="R226" s="14">
        <v>29.867549668874172</v>
      </c>
      <c r="S226" s="14">
        <v>49.41721854304636</v>
      </c>
      <c r="T226" s="14">
        <v>43.986754966887418</v>
      </c>
      <c r="U226" s="14">
        <v>144.27848101265823</v>
      </c>
      <c r="V226" s="24"/>
      <c r="W226" s="14">
        <f>S226+T226/2+U226+P226</f>
        <v>301.84097577332551</v>
      </c>
      <c r="Y226">
        <v>1</v>
      </c>
      <c r="Z226" t="s">
        <v>650</v>
      </c>
      <c r="AA226">
        <v>166</v>
      </c>
      <c r="AB226">
        <v>158</v>
      </c>
      <c r="AC226">
        <v>278</v>
      </c>
    </row>
    <row r="227" spans="1:29">
      <c r="A227" s="6" t="s">
        <v>102</v>
      </c>
      <c r="B227" t="s">
        <v>105</v>
      </c>
      <c r="C227">
        <v>71</v>
      </c>
      <c r="D227" t="s">
        <v>66</v>
      </c>
      <c r="E227" s="1">
        <v>71</v>
      </c>
      <c r="F227">
        <v>185</v>
      </c>
      <c r="G227" s="1">
        <v>18</v>
      </c>
      <c r="H227" t="s">
        <v>41</v>
      </c>
      <c r="I227" t="s">
        <v>44</v>
      </c>
      <c r="J227" s="2">
        <v>35</v>
      </c>
      <c r="K227" s="23">
        <v>8.7234042553191493</v>
      </c>
      <c r="L227" s="23">
        <v>5.2340425531914887</v>
      </c>
      <c r="M227" s="23">
        <v>41.87234042553191</v>
      </c>
      <c r="N227" s="5" t="s">
        <v>66</v>
      </c>
      <c r="O227" s="2" t="s">
        <v>651</v>
      </c>
      <c r="P227" s="23">
        <v>47.54621848739496</v>
      </c>
      <c r="Q227" s="14">
        <v>26.746781115879827</v>
      </c>
      <c r="R227" s="14">
        <v>34.841201716738198</v>
      </c>
      <c r="S227" s="14">
        <v>61.587982832618025</v>
      </c>
      <c r="T227" s="14">
        <v>11.965665236051503</v>
      </c>
      <c r="U227" s="14">
        <v>184.67226890756302</v>
      </c>
      <c r="V227" s="24"/>
      <c r="W227" s="14">
        <f>S227+T227/2+U227+P227</f>
        <v>299.78930284560175</v>
      </c>
      <c r="Y227">
        <v>1</v>
      </c>
      <c r="Z227" t="s">
        <v>650</v>
      </c>
      <c r="AA227">
        <v>138</v>
      </c>
      <c r="AB227">
        <v>238</v>
      </c>
      <c r="AC227">
        <v>536</v>
      </c>
    </row>
    <row r="228" spans="1:29">
      <c r="A228" t="s">
        <v>220</v>
      </c>
      <c r="B228" t="s">
        <v>222</v>
      </c>
      <c r="C228">
        <v>8</v>
      </c>
      <c r="D228" t="s">
        <v>34</v>
      </c>
      <c r="E228" s="1">
        <v>75</v>
      </c>
      <c r="F228">
        <v>211</v>
      </c>
      <c r="G228" s="1">
        <v>19</v>
      </c>
      <c r="H228" t="s">
        <v>41</v>
      </c>
      <c r="I228" t="s">
        <v>44</v>
      </c>
      <c r="J228" s="2">
        <v>65</v>
      </c>
      <c r="K228" s="23">
        <v>66.297872340425528</v>
      </c>
      <c r="L228" s="23">
        <v>106.42553191489361</v>
      </c>
      <c r="M228" s="23">
        <v>62.808510638297875</v>
      </c>
      <c r="N228" s="5" t="s">
        <v>614</v>
      </c>
      <c r="O228" s="2" t="s">
        <v>651</v>
      </c>
      <c r="P228" s="23">
        <v>61.838283828382835</v>
      </c>
      <c r="Q228" s="14">
        <v>19.165275459098499</v>
      </c>
      <c r="R228" s="14">
        <v>29.843071786310521</v>
      </c>
      <c r="S228" s="14">
        <v>49.00834724540902</v>
      </c>
      <c r="T228" s="14">
        <v>32.4440734557596</v>
      </c>
      <c r="U228" s="14">
        <v>171.84818481848185</v>
      </c>
      <c r="V228" s="24"/>
      <c r="W228" s="14">
        <f>S228+T228/2+U228+P228</f>
        <v>298.91685262015352</v>
      </c>
      <c r="Y228">
        <v>1</v>
      </c>
      <c r="Z228" t="s">
        <v>650</v>
      </c>
      <c r="AA228">
        <v>457</v>
      </c>
      <c r="AB228">
        <v>606</v>
      </c>
      <c r="AC228">
        <v>1270</v>
      </c>
    </row>
    <row r="229" spans="1:29">
      <c r="A229" t="s">
        <v>556</v>
      </c>
      <c r="B229" t="s">
        <v>564</v>
      </c>
      <c r="C229">
        <v>111</v>
      </c>
      <c r="D229" t="s">
        <v>477</v>
      </c>
      <c r="E229" s="1">
        <v>75</v>
      </c>
      <c r="F229">
        <v>206</v>
      </c>
      <c r="G229" s="1">
        <v>18</v>
      </c>
      <c r="H229" t="s">
        <v>42</v>
      </c>
      <c r="I229" t="s">
        <v>43</v>
      </c>
      <c r="J229" s="2">
        <f>36+2+46</f>
        <v>84</v>
      </c>
      <c r="K229" s="23">
        <v>10.468085106382977</v>
      </c>
      <c r="L229" s="23">
        <v>12.212765957446807</v>
      </c>
      <c r="M229" s="23">
        <v>174.46808510638297</v>
      </c>
      <c r="N229" s="5" t="s">
        <v>641</v>
      </c>
      <c r="O229" s="2" t="s">
        <v>651</v>
      </c>
      <c r="P229" s="23">
        <v>201.60220994475137</v>
      </c>
      <c r="Q229" s="14">
        <v>2.3163841807909606</v>
      </c>
      <c r="R229" s="14">
        <v>8.8022598870056505</v>
      </c>
      <c r="S229" s="14">
        <v>11.118644067796611</v>
      </c>
      <c r="T229" s="14">
        <v>56.983050847457626</v>
      </c>
      <c r="U229" s="14">
        <v>57.535911602209943</v>
      </c>
      <c r="V229" s="24">
        <v>-7.18232044198895E-2</v>
      </c>
      <c r="W229" s="14">
        <f>S229+T229/2+U229+P229</f>
        <v>298.74829103848674</v>
      </c>
      <c r="X229" s="22">
        <v>-47</v>
      </c>
      <c r="Y229">
        <v>0</v>
      </c>
      <c r="Z229" t="s">
        <v>651</v>
      </c>
      <c r="AA229">
        <v>445</v>
      </c>
      <c r="AB229">
        <v>181</v>
      </c>
      <c r="AC229">
        <v>127</v>
      </c>
    </row>
    <row r="230" spans="1:29">
      <c r="A230" s="6" t="s">
        <v>135</v>
      </c>
      <c r="B230" t="s">
        <v>147</v>
      </c>
      <c r="C230">
        <v>26</v>
      </c>
      <c r="D230" t="s">
        <v>35</v>
      </c>
      <c r="E230" s="1">
        <v>69</v>
      </c>
      <c r="F230">
        <v>161</v>
      </c>
      <c r="G230" s="1">
        <v>19</v>
      </c>
      <c r="H230" t="s">
        <v>41</v>
      </c>
      <c r="I230" t="s">
        <v>44</v>
      </c>
      <c r="J230" s="2">
        <v>70</v>
      </c>
      <c r="K230" s="23">
        <v>75.021276595744681</v>
      </c>
      <c r="L230" s="23">
        <v>83.744680851063819</v>
      </c>
      <c r="M230" s="23">
        <v>73.276595744680847</v>
      </c>
      <c r="N230" s="3" t="s">
        <v>599</v>
      </c>
      <c r="O230" s="2" t="s">
        <v>651</v>
      </c>
      <c r="P230" s="23">
        <v>67.951048951048946</v>
      </c>
      <c r="Q230" s="14">
        <v>17.706194690265487</v>
      </c>
      <c r="R230" s="14">
        <v>23.801769911504426</v>
      </c>
      <c r="S230" s="14">
        <v>41.507964601769913</v>
      </c>
      <c r="T230" s="14">
        <v>27.865486725663715</v>
      </c>
      <c r="U230" s="14">
        <v>175.3251748251748</v>
      </c>
      <c r="V230" s="24"/>
      <c r="W230" s="14">
        <f>S230+T230/2+U230+P230</f>
        <v>298.71693174082554</v>
      </c>
      <c r="Y230">
        <v>0</v>
      </c>
      <c r="Z230" t="s">
        <v>650</v>
      </c>
      <c r="AA230">
        <v>474</v>
      </c>
      <c r="AB230">
        <v>572</v>
      </c>
      <c r="AC230">
        <v>1223</v>
      </c>
    </row>
    <row r="231" spans="1:29">
      <c r="A231" s="6" t="s">
        <v>102</v>
      </c>
      <c r="B231" t="s">
        <v>107</v>
      </c>
      <c r="C231">
        <v>32</v>
      </c>
      <c r="D231" t="s">
        <v>35</v>
      </c>
      <c r="E231" s="1">
        <v>71</v>
      </c>
      <c r="F231">
        <v>196</v>
      </c>
      <c r="G231" s="1">
        <v>18</v>
      </c>
      <c r="H231" t="s">
        <v>41</v>
      </c>
      <c r="I231" t="s">
        <v>43</v>
      </c>
      <c r="J231" s="2">
        <v>65</v>
      </c>
      <c r="K231" s="23">
        <v>41.87234042553191</v>
      </c>
      <c r="L231" s="23">
        <v>73.276595744680847</v>
      </c>
      <c r="M231" s="23">
        <v>94.21276595744682</v>
      </c>
      <c r="N231" s="5" t="s">
        <v>599</v>
      </c>
      <c r="O231" s="2" t="s">
        <v>651</v>
      </c>
      <c r="P231" s="23">
        <v>191.88</v>
      </c>
      <c r="Q231" s="14">
        <v>13.12</v>
      </c>
      <c r="R231" s="14">
        <v>11.479999999999999</v>
      </c>
      <c r="S231" s="14">
        <v>24.599999999999998</v>
      </c>
      <c r="T231" s="14">
        <v>32.799999999999997</v>
      </c>
      <c r="U231" s="14">
        <v>65.600000000000009</v>
      </c>
      <c r="V231" s="24"/>
      <c r="W231" s="14">
        <f>S231+T231/2+U231+P231</f>
        <v>298.48</v>
      </c>
      <c r="Y231">
        <v>0</v>
      </c>
      <c r="Z231" t="s">
        <v>650</v>
      </c>
      <c r="AA231">
        <v>117</v>
      </c>
      <c r="AB231">
        <v>50</v>
      </c>
      <c r="AC231">
        <v>40</v>
      </c>
    </row>
    <row r="232" spans="1:29">
      <c r="A232" t="s">
        <v>510</v>
      </c>
      <c r="B232" t="s">
        <v>513</v>
      </c>
      <c r="C232">
        <v>194</v>
      </c>
      <c r="D232" t="s">
        <v>35</v>
      </c>
      <c r="E232" s="1">
        <v>74</v>
      </c>
      <c r="F232">
        <v>214</v>
      </c>
      <c r="G232" s="1">
        <v>18</v>
      </c>
      <c r="H232" t="s">
        <v>42</v>
      </c>
      <c r="I232" t="s">
        <v>43</v>
      </c>
      <c r="J232" s="2">
        <v>55</v>
      </c>
      <c r="K232" s="23">
        <v>0</v>
      </c>
      <c r="L232" s="23">
        <v>8.7234042553191493</v>
      </c>
      <c r="M232" s="23">
        <v>108.17021276595744</v>
      </c>
      <c r="N232" s="5" t="s">
        <v>599</v>
      </c>
      <c r="O232" s="2" t="s">
        <v>651</v>
      </c>
      <c r="P232" s="23">
        <v>156.90262751159196</v>
      </c>
      <c r="Q232" s="14">
        <v>3.6982892690513225</v>
      </c>
      <c r="R232" s="14">
        <v>11.987558320373251</v>
      </c>
      <c r="S232" s="14">
        <v>15.685847589424574</v>
      </c>
      <c r="T232" s="14">
        <v>71.415241057542772</v>
      </c>
      <c r="U232" s="14">
        <v>89.604327666151477</v>
      </c>
      <c r="V232" s="24">
        <v>0</v>
      </c>
      <c r="W232" s="14">
        <f>S232+T232/2+U232+P232</f>
        <v>297.90042329593939</v>
      </c>
      <c r="X232" s="22">
        <v>-23</v>
      </c>
      <c r="Y232">
        <v>0</v>
      </c>
      <c r="Z232" t="s">
        <v>650</v>
      </c>
      <c r="AA232">
        <v>1238</v>
      </c>
      <c r="AB232">
        <v>647</v>
      </c>
      <c r="AC232">
        <v>707</v>
      </c>
    </row>
    <row r="233" spans="1:29">
      <c r="A233" t="s">
        <v>413</v>
      </c>
      <c r="B233" t="s">
        <v>415</v>
      </c>
      <c r="C233">
        <v>17</v>
      </c>
      <c r="D233" t="s">
        <v>34</v>
      </c>
      <c r="E233" s="1">
        <v>73</v>
      </c>
      <c r="F233">
        <v>182</v>
      </c>
      <c r="G233" s="1">
        <v>19</v>
      </c>
      <c r="H233" t="s">
        <v>41</v>
      </c>
      <c r="I233" t="s">
        <v>44</v>
      </c>
      <c r="J233" s="2">
        <v>60</v>
      </c>
      <c r="K233" s="23">
        <v>61.063829787234042</v>
      </c>
      <c r="L233" s="23">
        <v>82</v>
      </c>
      <c r="M233" s="23">
        <v>10.468085106382977</v>
      </c>
      <c r="N233" s="5" t="s">
        <v>608</v>
      </c>
      <c r="O233" s="2" t="s">
        <v>651</v>
      </c>
      <c r="P233" s="23">
        <v>14.728155339805825</v>
      </c>
      <c r="Q233" s="14">
        <v>30.597014925373131</v>
      </c>
      <c r="R233" s="14">
        <v>28.965174129353233</v>
      </c>
      <c r="S233" s="14">
        <v>59.562189054726367</v>
      </c>
      <c r="T233" s="14">
        <v>17.134328358208954</v>
      </c>
      <c r="U233" s="14">
        <v>214.95145631067962</v>
      </c>
      <c r="V233" s="24"/>
      <c r="W233" s="14">
        <f>S233+T233/2+U233+P233</f>
        <v>297.80896488431625</v>
      </c>
      <c r="Y233">
        <v>1</v>
      </c>
      <c r="Z233" t="s">
        <v>650</v>
      </c>
      <c r="AA233">
        <v>37</v>
      </c>
      <c r="AB233">
        <v>206</v>
      </c>
      <c r="AC233">
        <v>540</v>
      </c>
    </row>
    <row r="234" spans="1:29">
      <c r="A234" t="s">
        <v>266</v>
      </c>
      <c r="B234" t="s">
        <v>278</v>
      </c>
      <c r="C234">
        <v>49</v>
      </c>
      <c r="D234" t="s">
        <v>34</v>
      </c>
      <c r="E234" s="1">
        <v>72</v>
      </c>
      <c r="F234">
        <v>191</v>
      </c>
      <c r="G234" s="1">
        <v>18</v>
      </c>
      <c r="H234" t="s">
        <v>42</v>
      </c>
      <c r="I234" t="s">
        <v>44</v>
      </c>
      <c r="J234" s="2">
        <f>25+36+7</f>
        <v>68</v>
      </c>
      <c r="K234" s="23">
        <v>20.936170212765955</v>
      </c>
      <c r="L234" s="23">
        <v>52.340425531914896</v>
      </c>
      <c r="M234" s="23">
        <v>139.57446808510639</v>
      </c>
      <c r="N234" s="3" t="s">
        <v>608</v>
      </c>
      <c r="O234" s="2" t="s">
        <v>651</v>
      </c>
      <c r="P234" s="23">
        <v>136.66666666666669</v>
      </c>
      <c r="Q234" s="14">
        <v>5.8571428571428568</v>
      </c>
      <c r="R234" s="14">
        <v>17.571428571428569</v>
      </c>
      <c r="S234" s="14">
        <v>23.428571428571427</v>
      </c>
      <c r="T234" s="14">
        <v>93.714285714285708</v>
      </c>
      <c r="U234" s="14">
        <v>89.809523809523824</v>
      </c>
      <c r="V234" s="24">
        <v>-9.5238095238095233E-2</v>
      </c>
      <c r="W234" s="14">
        <f>S234+T234/2+U234+P234</f>
        <v>296.76190476190482</v>
      </c>
      <c r="X234" s="22">
        <v>0</v>
      </c>
      <c r="Y234">
        <v>0</v>
      </c>
      <c r="Z234" t="s">
        <v>651</v>
      </c>
      <c r="AA234">
        <v>35</v>
      </c>
      <c r="AB234">
        <v>21</v>
      </c>
      <c r="AC234">
        <v>23</v>
      </c>
    </row>
    <row r="235" spans="1:29">
      <c r="A235" t="s">
        <v>251</v>
      </c>
      <c r="B235" t="s">
        <v>262</v>
      </c>
      <c r="C235">
        <v>121</v>
      </c>
      <c r="D235" t="s">
        <v>65</v>
      </c>
      <c r="E235" s="1">
        <v>71</v>
      </c>
      <c r="F235">
        <v>179</v>
      </c>
      <c r="G235" s="1">
        <v>19</v>
      </c>
      <c r="H235" t="s">
        <v>41</v>
      </c>
      <c r="I235" t="s">
        <v>44</v>
      </c>
      <c r="J235" s="2">
        <v>24</v>
      </c>
      <c r="K235" s="23">
        <v>19.191489361702128</v>
      </c>
      <c r="L235" s="23">
        <v>34.893617021276597</v>
      </c>
      <c r="M235" s="23">
        <v>34.893617021276597</v>
      </c>
      <c r="N235" s="3" t="s">
        <v>65</v>
      </c>
      <c r="O235" s="2" t="s">
        <v>651</v>
      </c>
      <c r="P235" s="23">
        <v>45.745730550284627</v>
      </c>
      <c r="Q235" s="14">
        <v>21.130769230769229</v>
      </c>
      <c r="R235" s="14">
        <v>29.015384615384615</v>
      </c>
      <c r="S235" s="14">
        <v>50.146153846153844</v>
      </c>
      <c r="T235" s="14">
        <v>21.130769230769229</v>
      </c>
      <c r="U235" s="14">
        <v>190.14041745730552</v>
      </c>
      <c r="V235" s="24"/>
      <c r="W235" s="14">
        <f>S235+T235/2+U235+P235</f>
        <v>296.59768646912858</v>
      </c>
      <c r="Y235">
        <v>1</v>
      </c>
      <c r="Z235" t="s">
        <v>650</v>
      </c>
      <c r="AA235">
        <v>294</v>
      </c>
      <c r="AB235">
        <v>527</v>
      </c>
      <c r="AC235">
        <v>1222</v>
      </c>
    </row>
    <row r="236" spans="1:29">
      <c r="A236" t="s">
        <v>204</v>
      </c>
      <c r="B236" t="s">
        <v>208</v>
      </c>
      <c r="C236">
        <v>3</v>
      </c>
      <c r="D236" t="s">
        <v>34</v>
      </c>
      <c r="E236" s="1">
        <v>73</v>
      </c>
      <c r="F236">
        <v>207</v>
      </c>
      <c r="G236" s="1">
        <v>18</v>
      </c>
      <c r="H236" t="s">
        <v>41</v>
      </c>
      <c r="I236" t="s">
        <v>44</v>
      </c>
      <c r="J236" s="2">
        <v>2</v>
      </c>
      <c r="K236" s="23">
        <v>0</v>
      </c>
      <c r="L236" s="23">
        <v>0</v>
      </c>
      <c r="M236" s="23">
        <v>0</v>
      </c>
      <c r="N236" s="5" t="s">
        <v>600</v>
      </c>
      <c r="O236" s="2" t="s">
        <v>651</v>
      </c>
      <c r="P236" s="23">
        <v>59.768172888015712</v>
      </c>
      <c r="Q236" s="14">
        <v>20.703777335984096</v>
      </c>
      <c r="R236" s="14">
        <v>28.528827037773361</v>
      </c>
      <c r="S236" s="14">
        <v>49.232604373757454</v>
      </c>
      <c r="T236" s="14">
        <v>30.159045725646124</v>
      </c>
      <c r="U236" s="14">
        <v>172.05500982318273</v>
      </c>
      <c r="V236" s="24"/>
      <c r="W236" s="14">
        <f>S236+T236/2+U236+P236</f>
        <v>296.13530994777898</v>
      </c>
      <c r="Y236">
        <v>1</v>
      </c>
      <c r="Z236" t="s">
        <v>650</v>
      </c>
      <c r="AA236">
        <v>371</v>
      </c>
      <c r="AB236">
        <v>509</v>
      </c>
      <c r="AC236">
        <v>1068</v>
      </c>
    </row>
    <row r="237" spans="1:29">
      <c r="A237" t="s">
        <v>234</v>
      </c>
      <c r="B237" t="s">
        <v>242</v>
      </c>
      <c r="C237">
        <v>47</v>
      </c>
      <c r="D237" t="s">
        <v>35</v>
      </c>
      <c r="E237" s="1">
        <v>72</v>
      </c>
      <c r="F237">
        <v>187</v>
      </c>
      <c r="G237" s="1">
        <v>18</v>
      </c>
      <c r="H237" t="s">
        <v>41</v>
      </c>
      <c r="I237" t="s">
        <v>44</v>
      </c>
      <c r="J237" s="2">
        <v>33</v>
      </c>
      <c r="K237" s="23">
        <v>20.936170212765955</v>
      </c>
      <c r="L237" s="23">
        <v>10.468085106382977</v>
      </c>
      <c r="M237" s="23">
        <v>43.617021276595743</v>
      </c>
      <c r="N237" s="5" t="s">
        <v>600</v>
      </c>
      <c r="O237" s="2" t="s">
        <v>651</v>
      </c>
      <c r="P237" s="23">
        <v>129.73134328358208</v>
      </c>
      <c r="Q237" s="14">
        <v>11.938697318007662</v>
      </c>
      <c r="R237" s="14">
        <v>13.509578544061302</v>
      </c>
      <c r="S237" s="14">
        <v>25.448275862068964</v>
      </c>
      <c r="T237" s="14">
        <v>21.678160919540229</v>
      </c>
      <c r="U237" s="14">
        <v>130.03731343283582</v>
      </c>
      <c r="V237" s="24"/>
      <c r="W237" s="14">
        <f>S237+T237/2+U237+P237</f>
        <v>296.05601303825699</v>
      </c>
      <c r="Y237">
        <v>0</v>
      </c>
      <c r="Z237" t="s">
        <v>650</v>
      </c>
      <c r="AA237">
        <v>424</v>
      </c>
      <c r="AB237">
        <v>268</v>
      </c>
      <c r="AC237">
        <v>425</v>
      </c>
    </row>
    <row r="238" spans="1:29">
      <c r="A238" t="s">
        <v>188</v>
      </c>
      <c r="B238" t="s">
        <v>199</v>
      </c>
      <c r="C238">
        <v>30</v>
      </c>
      <c r="D238" t="s">
        <v>34</v>
      </c>
      <c r="E238" s="1">
        <v>75</v>
      </c>
      <c r="F238">
        <v>212</v>
      </c>
      <c r="G238" s="1">
        <v>19</v>
      </c>
      <c r="H238" t="s">
        <v>41</v>
      </c>
      <c r="I238" t="s">
        <v>44</v>
      </c>
      <c r="J238" s="2">
        <v>49</v>
      </c>
      <c r="K238" s="23">
        <v>76.765957446808514</v>
      </c>
      <c r="L238" s="23">
        <v>76.765957446808514</v>
      </c>
      <c r="M238" s="23">
        <v>66.297872340425528</v>
      </c>
      <c r="N238" s="3" t="s">
        <v>603</v>
      </c>
      <c r="O238" s="2" t="s">
        <v>651</v>
      </c>
      <c r="P238" s="23">
        <v>65.470355731225297</v>
      </c>
      <c r="Q238" s="14">
        <v>21.362725450901802</v>
      </c>
      <c r="R238" s="14">
        <v>21.034068136272545</v>
      </c>
      <c r="S238" s="14">
        <v>42.396793587174351</v>
      </c>
      <c r="T238" s="14">
        <v>30.400801603206414</v>
      </c>
      <c r="U238" s="14">
        <v>172.10276679841897</v>
      </c>
      <c r="V238" s="24"/>
      <c r="W238" s="14">
        <f>S238+T238/2+U238+P238</f>
        <v>295.1703169184218</v>
      </c>
      <c r="Y238">
        <v>0</v>
      </c>
      <c r="Z238" t="s">
        <v>650</v>
      </c>
      <c r="AA238">
        <v>404</v>
      </c>
      <c r="AB238">
        <v>506</v>
      </c>
      <c r="AC238">
        <v>1062</v>
      </c>
    </row>
    <row r="239" spans="1:29">
      <c r="A239" t="s">
        <v>266</v>
      </c>
      <c r="B239" t="s">
        <v>270</v>
      </c>
      <c r="C239">
        <v>19</v>
      </c>
      <c r="D239" t="s">
        <v>34</v>
      </c>
      <c r="E239" s="1">
        <v>71</v>
      </c>
      <c r="F239">
        <v>180</v>
      </c>
      <c r="G239" s="1">
        <v>19</v>
      </c>
      <c r="H239" t="s">
        <v>42</v>
      </c>
      <c r="I239" t="s">
        <v>43</v>
      </c>
      <c r="J239" s="2">
        <v>51</v>
      </c>
      <c r="K239" s="23">
        <v>26.170212765957448</v>
      </c>
      <c r="L239" s="23">
        <v>97.702127659574458</v>
      </c>
      <c r="M239" s="23">
        <v>157.02127659574469</v>
      </c>
      <c r="N239" s="5" t="s">
        <v>600</v>
      </c>
      <c r="O239" s="2" t="s">
        <v>651</v>
      </c>
      <c r="P239" s="23">
        <v>94.56451612903227</v>
      </c>
      <c r="Q239" s="14">
        <v>8.14569536423841</v>
      </c>
      <c r="R239" s="14">
        <v>28.23841059602649</v>
      </c>
      <c r="S239" s="14">
        <v>36.384105960264904</v>
      </c>
      <c r="T239" s="14">
        <v>76.026490066225165</v>
      </c>
      <c r="U239" s="14">
        <v>125.64516129032258</v>
      </c>
      <c r="V239" s="24">
        <v>-0.15822784810126583</v>
      </c>
      <c r="W239" s="14">
        <f>S239+T239/2+U239+P239</f>
        <v>294.60702841273235</v>
      </c>
      <c r="X239" s="22">
        <v>33</v>
      </c>
      <c r="Y239">
        <v>0</v>
      </c>
      <c r="Z239" t="s">
        <v>651</v>
      </c>
      <c r="AA239">
        <v>143</v>
      </c>
      <c r="AB239">
        <v>124</v>
      </c>
      <c r="AC239">
        <v>190</v>
      </c>
    </row>
    <row r="240" spans="1:29">
      <c r="A240" t="s">
        <v>430</v>
      </c>
      <c r="B240" t="s">
        <v>434</v>
      </c>
      <c r="C240">
        <v>93</v>
      </c>
      <c r="D240" t="s">
        <v>65</v>
      </c>
      <c r="E240" s="1">
        <v>72</v>
      </c>
      <c r="F240">
        <v>197</v>
      </c>
      <c r="G240" s="1">
        <v>20</v>
      </c>
      <c r="H240" t="s">
        <v>42</v>
      </c>
      <c r="I240" t="s">
        <v>44</v>
      </c>
      <c r="J240" s="2">
        <v>41</v>
      </c>
      <c r="K240" s="23">
        <v>5.2340425531914887</v>
      </c>
      <c r="L240" s="23">
        <v>6.9787234042553186</v>
      </c>
      <c r="M240" s="23">
        <v>27.914893617021274</v>
      </c>
      <c r="N240" s="3" t="s">
        <v>605</v>
      </c>
      <c r="O240" s="2" t="s">
        <v>651</v>
      </c>
      <c r="P240" s="23">
        <v>88.342541436464089</v>
      </c>
      <c r="Q240" s="14">
        <v>11.647727272727272</v>
      </c>
      <c r="R240" s="14">
        <v>33.545454545454547</v>
      </c>
      <c r="S240" s="14">
        <v>45.193181818181813</v>
      </c>
      <c r="T240" s="14">
        <v>25.625</v>
      </c>
      <c r="U240" s="14">
        <v>148.14364640883977</v>
      </c>
      <c r="V240" s="24">
        <v>3.3149171270718231E-2</v>
      </c>
      <c r="W240" s="14">
        <f>S240+T240/2+U240+P240</f>
        <v>294.49186966348566</v>
      </c>
      <c r="X240" s="22">
        <v>65</v>
      </c>
      <c r="Y240">
        <v>1</v>
      </c>
      <c r="Z240" t="s">
        <v>650</v>
      </c>
      <c r="AA240">
        <v>195</v>
      </c>
      <c r="AB240">
        <v>181</v>
      </c>
      <c r="AC240">
        <v>327</v>
      </c>
    </row>
    <row r="241" spans="1:29">
      <c r="A241" t="s">
        <v>498</v>
      </c>
      <c r="B241" t="s">
        <v>505</v>
      </c>
      <c r="C241">
        <v>12</v>
      </c>
      <c r="D241" t="s">
        <v>34</v>
      </c>
      <c r="E241" s="1">
        <v>80</v>
      </c>
      <c r="F241">
        <v>229</v>
      </c>
      <c r="G241" s="1">
        <v>18</v>
      </c>
      <c r="H241" t="s">
        <v>42</v>
      </c>
      <c r="I241" t="s">
        <v>43</v>
      </c>
      <c r="J241" s="2">
        <v>72</v>
      </c>
      <c r="K241" s="23">
        <v>12.212765957446807</v>
      </c>
      <c r="L241" s="23">
        <v>24.425531914893615</v>
      </c>
      <c r="M241" s="23">
        <v>186.68085106382981</v>
      </c>
      <c r="N241" s="3" t="s">
        <v>599</v>
      </c>
      <c r="O241" s="2" t="s">
        <v>651</v>
      </c>
      <c r="P241" s="23">
        <v>95.213855421686745</v>
      </c>
      <c r="Q241" s="14">
        <v>9.2218844984802431</v>
      </c>
      <c r="R241" s="14">
        <v>24.300911854103344</v>
      </c>
      <c r="S241" s="14">
        <v>33.52279635258359</v>
      </c>
      <c r="T241" s="14">
        <v>60.565349544072951</v>
      </c>
      <c r="U241" s="14">
        <v>135.22590361445785</v>
      </c>
      <c r="V241" s="24">
        <v>1.0542168674698794E-2</v>
      </c>
      <c r="W241" s="14">
        <f>S241+T241/2+U241+P241</f>
        <v>294.24523016076466</v>
      </c>
      <c r="X241" s="22">
        <v>21</v>
      </c>
      <c r="Y241">
        <v>0</v>
      </c>
      <c r="Z241" t="s">
        <v>650</v>
      </c>
      <c r="AA241">
        <v>771</v>
      </c>
      <c r="AB241">
        <v>664</v>
      </c>
      <c r="AC241">
        <v>1095</v>
      </c>
    </row>
    <row r="242" spans="1:29">
      <c r="A242" s="6" t="s">
        <v>121</v>
      </c>
      <c r="B242" t="s">
        <v>394</v>
      </c>
      <c r="C242">
        <v>12</v>
      </c>
      <c r="D242" t="s">
        <v>34</v>
      </c>
      <c r="E242" s="1">
        <v>73</v>
      </c>
      <c r="F242">
        <v>215</v>
      </c>
      <c r="G242" s="1">
        <v>18</v>
      </c>
      <c r="H242" t="s">
        <v>42</v>
      </c>
      <c r="I242" t="s">
        <v>44</v>
      </c>
      <c r="J242" s="2">
        <v>33</v>
      </c>
      <c r="K242" s="23">
        <v>24.425531914893615</v>
      </c>
      <c r="L242" s="23">
        <v>50.595744680851062</v>
      </c>
      <c r="M242" s="23">
        <v>6.9787234042553186</v>
      </c>
      <c r="N242" s="3" t="s">
        <v>603</v>
      </c>
      <c r="O242" s="2" t="s">
        <v>651</v>
      </c>
      <c r="P242" s="23">
        <v>99.507064364207224</v>
      </c>
      <c r="Q242" s="14">
        <v>8.2000000000000011</v>
      </c>
      <c r="R242" s="14">
        <v>29.93650793650794</v>
      </c>
      <c r="S242" s="14">
        <v>38.13650793650794</v>
      </c>
      <c r="T242" s="14">
        <v>34.361904761904768</v>
      </c>
      <c r="U242" s="14">
        <v>138.89795918367346</v>
      </c>
      <c r="V242" s="24">
        <v>0.28257456828885402</v>
      </c>
      <c r="W242" s="14">
        <f>S242+T242/2+U242+P242</f>
        <v>293.72248386534102</v>
      </c>
      <c r="X242" s="22">
        <v>44</v>
      </c>
      <c r="Y242">
        <v>0</v>
      </c>
      <c r="Z242" t="s">
        <v>650</v>
      </c>
      <c r="AA242">
        <v>773</v>
      </c>
      <c r="AB242">
        <v>637</v>
      </c>
      <c r="AC242">
        <v>1079</v>
      </c>
    </row>
    <row r="243" spans="1:29">
      <c r="A243" s="6" t="s">
        <v>102</v>
      </c>
      <c r="B243" t="s">
        <v>117</v>
      </c>
      <c r="C243">
        <v>105</v>
      </c>
      <c r="D243" t="s">
        <v>34</v>
      </c>
      <c r="E243" s="1">
        <v>73</v>
      </c>
      <c r="F243">
        <v>191</v>
      </c>
      <c r="G243" s="1">
        <v>19</v>
      </c>
      <c r="H243" t="s">
        <v>42</v>
      </c>
      <c r="I243" t="s">
        <v>44</v>
      </c>
      <c r="J243" s="2">
        <v>66</v>
      </c>
      <c r="K243" s="23">
        <v>43.617021276595743</v>
      </c>
      <c r="L243" s="23">
        <v>102.93617021276594</v>
      </c>
      <c r="M243" s="23">
        <v>190.17021276595744</v>
      </c>
      <c r="N243" s="3" t="s">
        <v>631</v>
      </c>
      <c r="O243" s="2" t="s">
        <v>651</v>
      </c>
      <c r="P243" s="23">
        <v>35.732334047109212</v>
      </c>
      <c r="Q243" s="14">
        <v>8.4827586206896548</v>
      </c>
      <c r="R243" s="14">
        <v>39.762931034482754</v>
      </c>
      <c r="S243" s="14">
        <v>48.245689655172413</v>
      </c>
      <c r="T243" s="14">
        <v>48.422413793103445</v>
      </c>
      <c r="U243" s="14">
        <v>185.50963597430408</v>
      </c>
      <c r="V243" s="24">
        <v>-4.2826552462526764E-2</v>
      </c>
      <c r="W243" s="14">
        <f>S243+T243/2+U243+P243</f>
        <v>293.69886657313742</v>
      </c>
      <c r="X243" s="22">
        <v>86</v>
      </c>
      <c r="Y243">
        <v>1</v>
      </c>
      <c r="Z243" t="s">
        <v>651</v>
      </c>
      <c r="AA243">
        <v>407</v>
      </c>
      <c r="AB243">
        <v>934</v>
      </c>
      <c r="AC243">
        <v>2113</v>
      </c>
    </row>
    <row r="244" spans="1:29">
      <c r="A244" t="s">
        <v>413</v>
      </c>
      <c r="B244" t="s">
        <v>429</v>
      </c>
      <c r="C244">
        <v>177</v>
      </c>
      <c r="D244" t="s">
        <v>35</v>
      </c>
      <c r="E244" s="1">
        <v>70</v>
      </c>
      <c r="F244">
        <v>188</v>
      </c>
      <c r="G244" s="1">
        <v>18</v>
      </c>
      <c r="H244" t="s">
        <v>41</v>
      </c>
      <c r="I244" t="s">
        <v>44</v>
      </c>
      <c r="J244" s="2">
        <v>62</v>
      </c>
      <c r="K244" s="23">
        <v>31.404255319148938</v>
      </c>
      <c r="L244" s="23">
        <v>59.319148936170215</v>
      </c>
      <c r="M244" s="23">
        <v>73.276595744680847</v>
      </c>
      <c r="N244" s="5" t="s">
        <v>614</v>
      </c>
      <c r="O244" s="2" t="s">
        <v>651</v>
      </c>
      <c r="P244" s="23">
        <v>95.801980198019791</v>
      </c>
      <c r="Q244" s="14">
        <v>17.46422628951747</v>
      </c>
      <c r="R244" s="14">
        <v>25.787021630615637</v>
      </c>
      <c r="S244" s="14">
        <v>43.25124792013311</v>
      </c>
      <c r="T244" s="14">
        <v>40.386023294509151</v>
      </c>
      <c r="U244" s="14">
        <v>131.38943894389439</v>
      </c>
      <c r="V244" s="24"/>
      <c r="W244" s="14">
        <f>S244+T244/2+U244+P244</f>
        <v>290.63567870930189</v>
      </c>
      <c r="Y244">
        <v>0</v>
      </c>
      <c r="Z244" t="s">
        <v>650</v>
      </c>
      <c r="AA244">
        <v>708</v>
      </c>
      <c r="AB244">
        <v>606</v>
      </c>
      <c r="AC244">
        <v>971</v>
      </c>
    </row>
    <row r="245" spans="1:29">
      <c r="A245" s="6" t="s">
        <v>49</v>
      </c>
      <c r="B245" t="s">
        <v>54</v>
      </c>
      <c r="C245">
        <v>202</v>
      </c>
      <c r="D245" t="s">
        <v>65</v>
      </c>
      <c r="E245" s="1">
        <v>70</v>
      </c>
      <c r="F245">
        <v>181</v>
      </c>
      <c r="G245" s="1">
        <v>19</v>
      </c>
      <c r="H245" t="s">
        <v>41</v>
      </c>
      <c r="I245" t="s">
        <v>44</v>
      </c>
      <c r="J245" s="2">
        <f>7+42</f>
        <v>49</v>
      </c>
      <c r="K245" s="23">
        <v>41.87234042553191</v>
      </c>
      <c r="L245" s="23">
        <v>54.085106382978722</v>
      </c>
      <c r="M245" s="23">
        <v>94.21276595744682</v>
      </c>
      <c r="N245" s="5" t="s">
        <v>65</v>
      </c>
      <c r="O245" s="2" t="s">
        <v>651</v>
      </c>
      <c r="P245" s="23">
        <v>69.553571428571431</v>
      </c>
      <c r="Q245" s="14">
        <v>21.085714285714285</v>
      </c>
      <c r="R245" s="14">
        <v>24.209523809523809</v>
      </c>
      <c r="S245" s="14">
        <v>45.295238095238098</v>
      </c>
      <c r="T245" s="14">
        <v>35.923809523809524</v>
      </c>
      <c r="U245" s="14">
        <v>157.41071428571428</v>
      </c>
      <c r="V245" s="24"/>
      <c r="W245" s="14">
        <f>S245+T245/2+U245+P245</f>
        <v>290.22142857142859</v>
      </c>
      <c r="Y245">
        <v>1</v>
      </c>
      <c r="Z245" t="s">
        <v>650</v>
      </c>
      <c r="AA245">
        <v>95</v>
      </c>
      <c r="AB245">
        <v>112</v>
      </c>
      <c r="AC245">
        <v>215</v>
      </c>
    </row>
    <row r="246" spans="1:29">
      <c r="A246" t="s">
        <v>169</v>
      </c>
      <c r="B246" t="s">
        <v>174</v>
      </c>
      <c r="C246">
        <v>13</v>
      </c>
      <c r="D246" t="s">
        <v>64</v>
      </c>
      <c r="E246" s="1">
        <v>74</v>
      </c>
      <c r="F246">
        <v>207</v>
      </c>
      <c r="G246" s="1">
        <v>18</v>
      </c>
      <c r="H246" t="s">
        <v>41</v>
      </c>
      <c r="I246" t="s">
        <v>44</v>
      </c>
      <c r="J246" s="2">
        <v>52</v>
      </c>
      <c r="K246" s="23">
        <v>41.87234042553191</v>
      </c>
      <c r="L246" s="23">
        <v>92.468085106382972</v>
      </c>
      <c r="M246" s="23">
        <v>150.04255319148936</v>
      </c>
      <c r="N246" s="5" t="s">
        <v>65</v>
      </c>
      <c r="O246" s="2" t="s">
        <v>651</v>
      </c>
      <c r="P246" s="23">
        <v>91.862937062937064</v>
      </c>
      <c r="Q246" s="14">
        <v>13.994358251057829</v>
      </c>
      <c r="R246" s="14">
        <v>16.885754583921017</v>
      </c>
      <c r="S246" s="14">
        <v>30.880112834978842</v>
      </c>
      <c r="T246" s="14">
        <v>49.500705218617775</v>
      </c>
      <c r="U246" s="14">
        <v>142.0951048951049</v>
      </c>
      <c r="V246" s="24"/>
      <c r="W246" s="14">
        <f>S246+T246/2+U246+P246</f>
        <v>289.5885074023297</v>
      </c>
      <c r="Y246">
        <v>0</v>
      </c>
      <c r="Z246" t="s">
        <v>650</v>
      </c>
      <c r="AA246">
        <v>801</v>
      </c>
      <c r="AB246">
        <v>715</v>
      </c>
      <c r="AC246">
        <v>1239</v>
      </c>
    </row>
    <row r="247" spans="1:29">
      <c r="A247" t="s">
        <v>413</v>
      </c>
      <c r="B247" t="s">
        <v>424</v>
      </c>
      <c r="C247">
        <v>19</v>
      </c>
      <c r="D247" t="s">
        <v>428</v>
      </c>
      <c r="E247" s="1">
        <v>75</v>
      </c>
      <c r="F247">
        <v>204</v>
      </c>
      <c r="G247" s="1">
        <v>18</v>
      </c>
      <c r="H247" t="s">
        <v>42</v>
      </c>
      <c r="I247" t="s">
        <v>44</v>
      </c>
      <c r="J247" s="2">
        <v>68</v>
      </c>
      <c r="K247" s="23">
        <v>10.468085106382977</v>
      </c>
      <c r="L247" s="23">
        <v>47.10638297872341</v>
      </c>
      <c r="M247" s="23">
        <v>116.8936170212766</v>
      </c>
      <c r="N247" s="3" t="s">
        <v>599</v>
      </c>
      <c r="O247" s="2" t="s">
        <v>651</v>
      </c>
      <c r="P247" s="23">
        <v>164.15769230769232</v>
      </c>
      <c r="Q247" s="14">
        <v>3.0252427184466018</v>
      </c>
      <c r="R247" s="14">
        <v>13.693203883495146</v>
      </c>
      <c r="S247" s="14">
        <v>16.718446601941746</v>
      </c>
      <c r="T247" s="14">
        <v>56.046601941747568</v>
      </c>
      <c r="U247" s="14">
        <v>80.107692307692304</v>
      </c>
      <c r="V247" s="24">
        <v>-3.653846153846154E-2</v>
      </c>
      <c r="W247" s="14">
        <f>S247+T247/2+U247+P247</f>
        <v>289.00713218820016</v>
      </c>
      <c r="X247" s="22">
        <v>-16</v>
      </c>
      <c r="Y247">
        <v>0</v>
      </c>
      <c r="Z247" t="s">
        <v>651</v>
      </c>
      <c r="AA247">
        <v>1041</v>
      </c>
      <c r="AB247">
        <v>520</v>
      </c>
      <c r="AC247">
        <v>508</v>
      </c>
    </row>
    <row r="248" spans="1:29">
      <c r="A248" t="s">
        <v>322</v>
      </c>
      <c r="B248" t="s">
        <v>324</v>
      </c>
      <c r="C248">
        <v>127</v>
      </c>
      <c r="D248" t="s">
        <v>35</v>
      </c>
      <c r="E248" s="1">
        <v>71</v>
      </c>
      <c r="F248">
        <v>186</v>
      </c>
      <c r="G248" s="1">
        <v>19</v>
      </c>
      <c r="H248" t="s">
        <v>41</v>
      </c>
      <c r="I248" t="s">
        <v>44</v>
      </c>
      <c r="J248" s="2">
        <v>72</v>
      </c>
      <c r="K248" s="23">
        <v>41.87234042553191</v>
      </c>
      <c r="L248" s="23">
        <v>69.787234042553195</v>
      </c>
      <c r="M248" s="23">
        <v>92.468085106382972</v>
      </c>
      <c r="N248" s="3" t="s">
        <v>599</v>
      </c>
      <c r="O248" s="2" t="s">
        <v>651</v>
      </c>
      <c r="P248" s="23">
        <v>105.85741811175338</v>
      </c>
      <c r="Q248" s="14">
        <v>13.772200772200771</v>
      </c>
      <c r="R248" s="14">
        <v>15.83011583011583</v>
      </c>
      <c r="S248" s="14">
        <v>29.602316602316602</v>
      </c>
      <c r="T248" s="14">
        <v>55.722007722007717</v>
      </c>
      <c r="U248" s="14">
        <v>124.97495183044317</v>
      </c>
      <c r="V248" s="24"/>
      <c r="W248" s="14">
        <f>S248+T248/2+U248+P248</f>
        <v>288.29569040551701</v>
      </c>
      <c r="Y248">
        <v>0</v>
      </c>
      <c r="Z248" t="s">
        <v>650</v>
      </c>
      <c r="AA248">
        <v>670</v>
      </c>
      <c r="AB248">
        <v>519</v>
      </c>
      <c r="AC248">
        <v>791</v>
      </c>
    </row>
    <row r="249" spans="1:29">
      <c r="A249" s="6" t="s">
        <v>17</v>
      </c>
      <c r="B249" t="s">
        <v>29</v>
      </c>
      <c r="C249">
        <v>63</v>
      </c>
      <c r="D249" t="s">
        <v>37</v>
      </c>
      <c r="E249" s="1">
        <v>72</v>
      </c>
      <c r="F249">
        <v>188</v>
      </c>
      <c r="G249" s="1">
        <v>18</v>
      </c>
      <c r="H249" t="s">
        <v>41</v>
      </c>
      <c r="I249" t="s">
        <v>43</v>
      </c>
      <c r="J249" s="2">
        <v>57</v>
      </c>
      <c r="K249" s="23">
        <v>45.361702127659576</v>
      </c>
      <c r="L249" s="23">
        <v>71.531914893617028</v>
      </c>
      <c r="M249" s="23">
        <v>64.553191489361708</v>
      </c>
      <c r="N249" s="3" t="s">
        <v>607</v>
      </c>
      <c r="O249" s="2" t="s">
        <v>651</v>
      </c>
      <c r="P249" s="23">
        <v>60.559633027522935</v>
      </c>
      <c r="Q249" s="14">
        <v>18.580346820809247</v>
      </c>
      <c r="R249" s="14">
        <v>43.606936416184972</v>
      </c>
      <c r="S249" s="14">
        <v>62.187283236994219</v>
      </c>
      <c r="T249" s="14">
        <v>29.008092485549131</v>
      </c>
      <c r="U249" s="14">
        <v>150.83486238532109</v>
      </c>
      <c r="V249" s="24"/>
      <c r="W249" s="14">
        <f>S249+T249/2+U249+P249</f>
        <v>288.08582489261278</v>
      </c>
      <c r="Y249">
        <v>1</v>
      </c>
      <c r="Z249" t="s">
        <v>650</v>
      </c>
      <c r="AA249">
        <v>644</v>
      </c>
      <c r="AB249">
        <v>872</v>
      </c>
      <c r="AC249">
        <v>1604</v>
      </c>
    </row>
    <row r="250" spans="1:29">
      <c r="A250" t="s">
        <v>234</v>
      </c>
      <c r="B250" t="s">
        <v>239</v>
      </c>
      <c r="C250">
        <v>67</v>
      </c>
      <c r="D250" t="s">
        <v>35</v>
      </c>
      <c r="E250" s="1">
        <v>74</v>
      </c>
      <c r="F250">
        <v>198</v>
      </c>
      <c r="G250" s="1">
        <v>18</v>
      </c>
      <c r="H250" t="s">
        <v>41</v>
      </c>
      <c r="I250" t="s">
        <v>44</v>
      </c>
      <c r="J250" s="2">
        <v>44</v>
      </c>
      <c r="K250" s="23">
        <v>82</v>
      </c>
      <c r="L250" s="23">
        <v>69.787234042553195</v>
      </c>
      <c r="M250" s="23">
        <v>95.957446808510639</v>
      </c>
      <c r="N250" s="3" t="s">
        <v>617</v>
      </c>
      <c r="O250" s="2" t="s">
        <v>651</v>
      </c>
      <c r="P250" s="23">
        <v>129.5140186915888</v>
      </c>
      <c r="Q250" s="14">
        <v>12.299999999999999</v>
      </c>
      <c r="R250" s="14">
        <v>9.02</v>
      </c>
      <c r="S250" s="14">
        <v>21.32</v>
      </c>
      <c r="T250" s="14">
        <v>24.599999999999998</v>
      </c>
      <c r="U250" s="14">
        <v>124.9158878504673</v>
      </c>
      <c r="V250" s="24"/>
      <c r="W250" s="14">
        <f>S250+T250/2+U250+P250</f>
        <v>288.04990654205608</v>
      </c>
      <c r="Y250">
        <v>0</v>
      </c>
      <c r="Z250" t="s">
        <v>650</v>
      </c>
      <c r="AA250">
        <v>169</v>
      </c>
      <c r="AB250">
        <v>107</v>
      </c>
      <c r="AC250">
        <v>163</v>
      </c>
    </row>
    <row r="251" spans="1:29">
      <c r="A251" t="s">
        <v>354</v>
      </c>
      <c r="B251" t="s">
        <v>344</v>
      </c>
      <c r="C251">
        <v>9</v>
      </c>
      <c r="D251" t="s">
        <v>38</v>
      </c>
      <c r="E251" s="1">
        <v>70</v>
      </c>
      <c r="F251">
        <v>185</v>
      </c>
      <c r="G251" s="1">
        <v>18</v>
      </c>
      <c r="H251" t="s">
        <v>41</v>
      </c>
      <c r="I251" t="s">
        <v>44</v>
      </c>
      <c r="J251" s="2">
        <v>50</v>
      </c>
      <c r="K251" s="23">
        <v>29.659574468085108</v>
      </c>
      <c r="L251" s="23">
        <v>62.808510638297875</v>
      </c>
      <c r="M251" s="23">
        <v>10.468085106382977</v>
      </c>
      <c r="N251" s="3" t="s">
        <v>615</v>
      </c>
      <c r="O251" s="2" t="s">
        <v>651</v>
      </c>
      <c r="P251" s="23">
        <v>56.405566600397613</v>
      </c>
      <c r="Q251" s="14">
        <v>15.971887550200803</v>
      </c>
      <c r="R251" s="14">
        <v>38.365461847389554</v>
      </c>
      <c r="S251" s="14">
        <v>54.337349397590359</v>
      </c>
      <c r="T251" s="14">
        <v>22.064257028112451</v>
      </c>
      <c r="U251" s="14">
        <v>165.95626242544731</v>
      </c>
      <c r="V251" s="24"/>
      <c r="W251" s="14">
        <f>S251+T251/2+U251+P251</f>
        <v>287.73130693749152</v>
      </c>
      <c r="Y251">
        <v>1</v>
      </c>
      <c r="Z251" t="s">
        <v>650</v>
      </c>
      <c r="AA251">
        <v>346</v>
      </c>
      <c r="AB251">
        <v>503</v>
      </c>
      <c r="AC251">
        <v>1018</v>
      </c>
    </row>
    <row r="252" spans="1:29">
      <c r="A252" t="s">
        <v>220</v>
      </c>
      <c r="B252" t="s">
        <v>226</v>
      </c>
      <c r="C252">
        <v>138</v>
      </c>
      <c r="D252" t="s">
        <v>65</v>
      </c>
      <c r="E252" s="1">
        <v>73</v>
      </c>
      <c r="F252">
        <v>191</v>
      </c>
      <c r="G252" s="1">
        <v>18</v>
      </c>
      <c r="H252" t="s">
        <v>41</v>
      </c>
      <c r="I252" t="s">
        <v>44</v>
      </c>
      <c r="J252" s="2">
        <v>60</v>
      </c>
      <c r="K252" s="23">
        <v>41.87234042553191</v>
      </c>
      <c r="L252" s="23">
        <v>48.851063829787229</v>
      </c>
      <c r="M252" s="23">
        <v>52.340425531914896</v>
      </c>
      <c r="N252" s="3" t="s">
        <v>621</v>
      </c>
      <c r="O252" s="2" t="s">
        <v>651</v>
      </c>
      <c r="P252" s="23">
        <v>77.030303030303031</v>
      </c>
      <c r="Q252" s="14">
        <v>18.368000000000002</v>
      </c>
      <c r="R252" s="14">
        <v>17.712</v>
      </c>
      <c r="S252" s="14">
        <v>36.08</v>
      </c>
      <c r="T252" s="14">
        <v>19.68</v>
      </c>
      <c r="U252" s="14">
        <v>164.62121212121212</v>
      </c>
      <c r="V252" s="24"/>
      <c r="W252" s="14">
        <f>S252+T252/2+U252+P252</f>
        <v>287.5715151515152</v>
      </c>
      <c r="Y252">
        <v>0</v>
      </c>
      <c r="Z252" t="s">
        <v>650</v>
      </c>
      <c r="AA252">
        <v>124</v>
      </c>
      <c r="AB252">
        <v>132</v>
      </c>
      <c r="AC252">
        <v>265</v>
      </c>
    </row>
    <row r="253" spans="1:29">
      <c r="A253" s="6" t="s">
        <v>102</v>
      </c>
      <c r="B253" t="s">
        <v>113</v>
      </c>
      <c r="C253">
        <v>112</v>
      </c>
      <c r="D253" t="s">
        <v>35</v>
      </c>
      <c r="E253" s="1">
        <v>72</v>
      </c>
      <c r="F253">
        <v>192</v>
      </c>
      <c r="G253" s="1">
        <v>18</v>
      </c>
      <c r="H253" t="s">
        <v>41</v>
      </c>
      <c r="I253" t="s">
        <v>43</v>
      </c>
      <c r="J253" s="2">
        <v>49</v>
      </c>
      <c r="K253" s="23">
        <v>20.936170212765955</v>
      </c>
      <c r="L253" s="23">
        <v>45.361702127659576</v>
      </c>
      <c r="M253" s="23">
        <v>66.297872340425528</v>
      </c>
      <c r="N253" s="5" t="s">
        <v>599</v>
      </c>
      <c r="O253" s="2" t="s">
        <v>651</v>
      </c>
      <c r="P253" s="23">
        <v>94.339805825242706</v>
      </c>
      <c r="Q253" s="14">
        <v>11.108374384236454</v>
      </c>
      <c r="R253" s="14">
        <v>15.147783251231527</v>
      </c>
      <c r="S253" s="14">
        <v>26.256157635467982</v>
      </c>
      <c r="T253" s="14">
        <v>21.004926108374384</v>
      </c>
      <c r="U253" s="14">
        <v>155.64077669902912</v>
      </c>
      <c r="V253" s="24"/>
      <c r="W253" s="14">
        <f>S253+T253/2+U253+P253</f>
        <v>286.739203213927</v>
      </c>
      <c r="Y253">
        <v>0</v>
      </c>
      <c r="Z253" t="s">
        <v>650</v>
      </c>
      <c r="AA253">
        <v>474</v>
      </c>
      <c r="AB253">
        <v>412</v>
      </c>
      <c r="AC253">
        <v>782</v>
      </c>
    </row>
    <row r="254" spans="1:29">
      <c r="A254" s="6" t="s">
        <v>49</v>
      </c>
      <c r="B254" t="s">
        <v>60</v>
      </c>
      <c r="C254">
        <v>8</v>
      </c>
      <c r="D254" t="s">
        <v>35</v>
      </c>
      <c r="E254" s="1">
        <v>72</v>
      </c>
      <c r="F254">
        <v>191</v>
      </c>
      <c r="G254" s="1">
        <v>18</v>
      </c>
      <c r="H254" t="s">
        <v>41</v>
      </c>
      <c r="I254" t="s">
        <v>43</v>
      </c>
      <c r="J254" s="2">
        <f>35+22+14+7+4+3</f>
        <v>85</v>
      </c>
      <c r="K254" s="23">
        <v>66.297872340425528</v>
      </c>
      <c r="L254" s="23">
        <v>80.255319148936167</v>
      </c>
      <c r="M254" s="23">
        <v>62.808510638297875</v>
      </c>
      <c r="N254" s="5" t="s">
        <v>639</v>
      </c>
      <c r="O254" s="2" t="s">
        <v>651</v>
      </c>
      <c r="P254" s="23">
        <v>22.25278810408922</v>
      </c>
      <c r="Q254" s="14">
        <v>19.717557251908399</v>
      </c>
      <c r="R254" s="14">
        <v>36.305343511450381</v>
      </c>
      <c r="S254" s="14">
        <v>56.022900763358784</v>
      </c>
      <c r="T254" s="14">
        <v>21.282442748091604</v>
      </c>
      <c r="U254" s="14">
        <v>197.53159851301118</v>
      </c>
      <c r="V254" s="24"/>
      <c r="W254" s="14">
        <f>S254+T254/2+U254+P254</f>
        <v>286.44850875450499</v>
      </c>
      <c r="Y254">
        <v>1</v>
      </c>
      <c r="Z254" t="s">
        <v>650</v>
      </c>
      <c r="AA254">
        <v>73</v>
      </c>
      <c r="AB254">
        <v>269</v>
      </c>
      <c r="AC254">
        <v>648</v>
      </c>
    </row>
    <row r="255" spans="1:29">
      <c r="A255" t="s">
        <v>510</v>
      </c>
      <c r="B255" t="s">
        <v>524</v>
      </c>
      <c r="C255">
        <v>69</v>
      </c>
      <c r="D255" t="s">
        <v>35</v>
      </c>
      <c r="E255" s="1">
        <v>72</v>
      </c>
      <c r="F255">
        <v>185</v>
      </c>
      <c r="G255" s="1">
        <v>18</v>
      </c>
      <c r="H255" t="s">
        <v>41</v>
      </c>
      <c r="I255" t="s">
        <v>44</v>
      </c>
      <c r="J255" s="2">
        <v>49</v>
      </c>
      <c r="K255" s="23">
        <v>47.10638297872341</v>
      </c>
      <c r="L255" s="23">
        <v>83.744680851063819</v>
      </c>
      <c r="M255" s="23">
        <v>76.765957446808514</v>
      </c>
      <c r="N255" s="3" t="s">
        <v>625</v>
      </c>
      <c r="O255" s="2" t="s">
        <v>651</v>
      </c>
      <c r="P255" s="23">
        <v>63.64179104477612</v>
      </c>
      <c r="Q255" s="14">
        <v>19.612052730696799</v>
      </c>
      <c r="R255" s="14">
        <v>29.340866290018834</v>
      </c>
      <c r="S255" s="14">
        <v>48.952919020715633</v>
      </c>
      <c r="T255" s="14">
        <v>20.693032015065913</v>
      </c>
      <c r="U255" s="14">
        <v>163.38805970149255</v>
      </c>
      <c r="V255" s="24"/>
      <c r="W255" s="14">
        <f>S255+T255/2+U255+P255</f>
        <v>286.32928577451725</v>
      </c>
      <c r="Y255">
        <v>1</v>
      </c>
      <c r="Z255" t="s">
        <v>650</v>
      </c>
      <c r="AA255">
        <v>416</v>
      </c>
      <c r="AB255">
        <v>536</v>
      </c>
      <c r="AC255">
        <v>1068</v>
      </c>
    </row>
    <row r="256" spans="1:29">
      <c r="A256" t="s">
        <v>306</v>
      </c>
      <c r="B256" t="s">
        <v>314</v>
      </c>
      <c r="C256">
        <v>33</v>
      </c>
      <c r="D256" t="s">
        <v>35</v>
      </c>
      <c r="E256" s="1">
        <v>73</v>
      </c>
      <c r="F256">
        <v>216</v>
      </c>
      <c r="G256" s="1">
        <v>18</v>
      </c>
      <c r="H256" t="s">
        <v>41</v>
      </c>
      <c r="I256" t="s">
        <v>44</v>
      </c>
      <c r="J256" s="2">
        <v>74</v>
      </c>
      <c r="K256" s="23">
        <v>31.404255319148938</v>
      </c>
      <c r="L256" s="23">
        <v>92.468085106382972</v>
      </c>
      <c r="M256" s="23">
        <v>45.361702127659576</v>
      </c>
      <c r="N256" s="5" t="s">
        <v>600</v>
      </c>
      <c r="O256" s="2" t="s">
        <v>650</v>
      </c>
      <c r="P256" s="23">
        <v>36.862385321100916</v>
      </c>
      <c r="Q256" s="14">
        <v>20.391534391534389</v>
      </c>
      <c r="R256" s="14">
        <v>35.902116402116398</v>
      </c>
      <c r="S256" s="14">
        <v>56.293650793650791</v>
      </c>
      <c r="T256" s="14">
        <v>10.846560846560847</v>
      </c>
      <c r="U256" s="14">
        <v>187.64351245085189</v>
      </c>
      <c r="V256" s="24"/>
      <c r="W256" s="14">
        <f>S256+T256/2+U256+P256</f>
        <v>286.22282898888403</v>
      </c>
      <c r="Y256">
        <v>1</v>
      </c>
      <c r="Z256" t="s">
        <v>650</v>
      </c>
      <c r="AA256">
        <v>343</v>
      </c>
      <c r="AB256">
        <v>763</v>
      </c>
      <c r="AC256">
        <v>1746</v>
      </c>
    </row>
    <row r="257" spans="1:29">
      <c r="A257" t="s">
        <v>188</v>
      </c>
      <c r="B257" t="s">
        <v>190</v>
      </c>
      <c r="C257">
        <v>16</v>
      </c>
      <c r="D257" t="s">
        <v>35</v>
      </c>
      <c r="E257" s="1">
        <v>72</v>
      </c>
      <c r="F257">
        <v>187</v>
      </c>
      <c r="G257" s="1">
        <v>18</v>
      </c>
      <c r="H257" t="s">
        <v>41</v>
      </c>
      <c r="I257" t="s">
        <v>43</v>
      </c>
      <c r="J257" s="2">
        <f>5+3+44+7</f>
        <v>59</v>
      </c>
      <c r="K257" s="23">
        <v>29.659574468085108</v>
      </c>
      <c r="L257" s="23">
        <v>104.68085106382979</v>
      </c>
      <c r="M257" s="23">
        <v>38.382978723404257</v>
      </c>
      <c r="N257" s="3" t="s">
        <v>599</v>
      </c>
      <c r="O257" s="2" t="s">
        <v>651</v>
      </c>
      <c r="P257" s="23">
        <v>21.78125</v>
      </c>
      <c r="Q257" s="14">
        <v>21.71891891891892</v>
      </c>
      <c r="R257" s="14">
        <v>50.972972972972975</v>
      </c>
      <c r="S257" s="14">
        <v>72.691891891891899</v>
      </c>
      <c r="T257" s="14">
        <v>39.005405405405405</v>
      </c>
      <c r="U257" s="14">
        <v>171.6875</v>
      </c>
      <c r="V257" s="24"/>
      <c r="W257" s="14">
        <f>S257+T257/2+U257+P257</f>
        <v>285.66334459459461</v>
      </c>
      <c r="Y257">
        <v>1</v>
      </c>
      <c r="Z257" t="s">
        <v>650</v>
      </c>
      <c r="AA257">
        <v>51</v>
      </c>
      <c r="AB257">
        <v>192</v>
      </c>
      <c r="AC257">
        <v>402</v>
      </c>
    </row>
    <row r="258" spans="1:29">
      <c r="A258" t="s">
        <v>461</v>
      </c>
      <c r="B258" t="s">
        <v>470</v>
      </c>
      <c r="C258">
        <v>19</v>
      </c>
      <c r="D258" t="s">
        <v>65</v>
      </c>
      <c r="E258" s="1">
        <v>75</v>
      </c>
      <c r="F258">
        <v>216</v>
      </c>
      <c r="G258" s="1">
        <v>18</v>
      </c>
      <c r="H258" t="s">
        <v>42</v>
      </c>
      <c r="I258" t="s">
        <v>44</v>
      </c>
      <c r="J258" s="2">
        <v>23</v>
      </c>
      <c r="K258" s="23">
        <v>1.7446808510638296</v>
      </c>
      <c r="L258" s="23">
        <v>1.7446808510638296</v>
      </c>
      <c r="M258" s="23">
        <v>3.4893617021276593</v>
      </c>
      <c r="N258" s="3" t="s">
        <v>605</v>
      </c>
      <c r="O258" s="2" t="s">
        <v>651</v>
      </c>
      <c r="P258" s="23">
        <v>54.74566473988439</v>
      </c>
      <c r="Q258" s="14">
        <v>7.2352941176470589</v>
      </c>
      <c r="R258" s="14">
        <v>26.288235294117648</v>
      </c>
      <c r="S258" s="14">
        <v>33.523529411764706</v>
      </c>
      <c r="T258" s="14">
        <v>13.505882352941176</v>
      </c>
      <c r="U258" s="14">
        <v>190.30635838150289</v>
      </c>
      <c r="V258" s="24">
        <v>-0.1681159420289855</v>
      </c>
      <c r="W258" s="14">
        <f>S258+T258/2+U258+P258</f>
        <v>285.32849370962259</v>
      </c>
      <c r="X258" s="22">
        <v>22</v>
      </c>
      <c r="Y258">
        <v>0</v>
      </c>
      <c r="Z258" t="s">
        <v>651</v>
      </c>
      <c r="AA258">
        <v>231</v>
      </c>
      <c r="AB258">
        <v>346</v>
      </c>
      <c r="AC258">
        <v>803</v>
      </c>
    </row>
    <row r="259" spans="1:29">
      <c r="A259" t="s">
        <v>478</v>
      </c>
      <c r="B259" t="s">
        <v>490</v>
      </c>
      <c r="C259">
        <v>7</v>
      </c>
      <c r="D259" t="s">
        <v>34</v>
      </c>
      <c r="E259" s="1">
        <v>70</v>
      </c>
      <c r="F259">
        <v>170</v>
      </c>
      <c r="G259" s="1">
        <v>18</v>
      </c>
      <c r="H259" t="s">
        <v>41</v>
      </c>
      <c r="I259" t="s">
        <v>44</v>
      </c>
      <c r="J259" s="2">
        <f>7+62+23</f>
        <v>92</v>
      </c>
      <c r="K259" s="23">
        <v>94.21276595744682</v>
      </c>
      <c r="L259" s="23">
        <v>181.44680851063831</v>
      </c>
      <c r="M259" s="23">
        <v>97.702127659574458</v>
      </c>
      <c r="N259" s="5" t="s">
        <v>608</v>
      </c>
      <c r="O259" s="2" t="s">
        <v>651</v>
      </c>
      <c r="P259" s="23">
        <v>13.806122448979592</v>
      </c>
      <c r="Q259" s="14">
        <v>17.694736842105264</v>
      </c>
      <c r="R259" s="14">
        <v>37.11578947368421</v>
      </c>
      <c r="S259" s="14">
        <v>54.810526315789474</v>
      </c>
      <c r="T259" s="14">
        <v>22.442105263157895</v>
      </c>
      <c r="U259" s="14">
        <v>205</v>
      </c>
      <c r="V259" s="24"/>
      <c r="W259" s="14">
        <f>S259+T259/2+U259+P259</f>
        <v>284.837701396348</v>
      </c>
      <c r="Y259">
        <v>1</v>
      </c>
      <c r="Z259" t="s">
        <v>650</v>
      </c>
      <c r="AA259">
        <v>33</v>
      </c>
      <c r="AB259">
        <v>196</v>
      </c>
      <c r="AC259">
        <v>490</v>
      </c>
    </row>
    <row r="260" spans="1:29">
      <c r="A260" s="6" t="s">
        <v>121</v>
      </c>
      <c r="B260" t="s">
        <v>126</v>
      </c>
      <c r="C260">
        <v>120</v>
      </c>
      <c r="D260" t="s">
        <v>35</v>
      </c>
      <c r="E260" s="1">
        <v>73</v>
      </c>
      <c r="F260">
        <v>190</v>
      </c>
      <c r="G260" s="1">
        <v>18</v>
      </c>
      <c r="H260" t="s">
        <v>41</v>
      </c>
      <c r="I260" t="s">
        <v>43</v>
      </c>
      <c r="J260" s="2">
        <v>59</v>
      </c>
      <c r="K260" s="23">
        <v>36.638297872340424</v>
      </c>
      <c r="L260" s="23">
        <v>36.638297872340424</v>
      </c>
      <c r="M260" s="23">
        <v>80.255319148936167</v>
      </c>
      <c r="N260" s="5" t="s">
        <v>614</v>
      </c>
      <c r="O260" s="2" t="s">
        <v>651</v>
      </c>
      <c r="P260" s="23">
        <v>134.65263157894736</v>
      </c>
      <c r="Q260" s="14">
        <v>15.84090909090909</v>
      </c>
      <c r="R260" s="14">
        <v>13.977272727272727</v>
      </c>
      <c r="S260" s="14">
        <v>29.818181818181817</v>
      </c>
      <c r="T260" s="14">
        <v>29.818181818181817</v>
      </c>
      <c r="U260" s="14">
        <v>105.30526315789474</v>
      </c>
      <c r="V260" s="24"/>
      <c r="W260" s="14">
        <f>S260+T260/2+U260+P260</f>
        <v>284.68516746411484</v>
      </c>
      <c r="Y260">
        <v>0</v>
      </c>
      <c r="Z260" t="s">
        <v>650</v>
      </c>
      <c r="AA260">
        <v>156</v>
      </c>
      <c r="AB260">
        <v>95</v>
      </c>
      <c r="AC260">
        <v>122</v>
      </c>
    </row>
    <row r="261" spans="1:29">
      <c r="A261" t="s">
        <v>204</v>
      </c>
      <c r="B261" t="s">
        <v>206</v>
      </c>
      <c r="C261">
        <v>52</v>
      </c>
      <c r="D261" t="s">
        <v>84</v>
      </c>
      <c r="E261" s="1">
        <v>72</v>
      </c>
      <c r="F261">
        <v>185</v>
      </c>
      <c r="G261" s="1">
        <v>18</v>
      </c>
      <c r="H261" t="s">
        <v>41</v>
      </c>
      <c r="I261" t="s">
        <v>44</v>
      </c>
      <c r="J261" s="2">
        <v>51</v>
      </c>
      <c r="K261" s="23">
        <v>41.87234042553191</v>
      </c>
      <c r="L261" s="23">
        <v>111.6595744680851</v>
      </c>
      <c r="M261" s="23">
        <v>109.91489361702128</v>
      </c>
      <c r="N261" s="5" t="s">
        <v>636</v>
      </c>
      <c r="O261" s="2" t="s">
        <v>651</v>
      </c>
      <c r="P261" s="23">
        <v>125.92857142857143</v>
      </c>
      <c r="Q261" s="14">
        <v>13.387755102040817</v>
      </c>
      <c r="R261" s="14">
        <v>13.387755102040817</v>
      </c>
      <c r="S261" s="14">
        <v>26.775510204081634</v>
      </c>
      <c r="T261" s="14">
        <v>53.551020408163268</v>
      </c>
      <c r="U261" s="14">
        <v>103.96428571428571</v>
      </c>
      <c r="V261" s="24"/>
      <c r="W261" s="14">
        <f>S261+T261/2+U261+P261</f>
        <v>283.44387755102042</v>
      </c>
      <c r="Y261">
        <v>0</v>
      </c>
      <c r="Z261" t="s">
        <v>650</v>
      </c>
      <c r="AA261">
        <v>86</v>
      </c>
      <c r="AB261">
        <v>56</v>
      </c>
      <c r="AC261">
        <v>71</v>
      </c>
    </row>
    <row r="262" spans="1:29">
      <c r="A262" t="s">
        <v>188</v>
      </c>
      <c r="B262" t="s">
        <v>395</v>
      </c>
      <c r="C262">
        <v>28</v>
      </c>
      <c r="D262" t="s">
        <v>35</v>
      </c>
      <c r="E262" s="1">
        <v>71</v>
      </c>
      <c r="F262">
        <v>182</v>
      </c>
      <c r="G262" s="1">
        <v>18</v>
      </c>
      <c r="H262" t="s">
        <v>41</v>
      </c>
      <c r="I262" t="s">
        <v>44</v>
      </c>
      <c r="J262" s="2">
        <f>67+2+6+3+3</f>
        <v>81</v>
      </c>
      <c r="K262" s="23">
        <v>82</v>
      </c>
      <c r="L262" s="23">
        <v>92.468085106382972</v>
      </c>
      <c r="M262" s="23">
        <v>136.08510638297872</v>
      </c>
      <c r="N262" s="3" t="s">
        <v>614</v>
      </c>
      <c r="O262" s="2" t="s">
        <v>651</v>
      </c>
      <c r="P262" s="23">
        <v>92.418032786885249</v>
      </c>
      <c r="Q262" s="14">
        <v>19.029535864978904</v>
      </c>
      <c r="R262" s="14">
        <v>16.261603375527425</v>
      </c>
      <c r="S262" s="14">
        <v>35.291139240506325</v>
      </c>
      <c r="T262" s="14">
        <v>13.147679324894515</v>
      </c>
      <c r="U262" s="14">
        <v>148.54098360655738</v>
      </c>
      <c r="V262" s="24"/>
      <c r="W262" s="14">
        <f>S262+T262/2+U262+P262</f>
        <v>282.82399529639622</v>
      </c>
      <c r="Y262">
        <v>0</v>
      </c>
      <c r="Z262" t="s">
        <v>650</v>
      </c>
      <c r="AA262">
        <v>275</v>
      </c>
      <c r="AB262">
        <v>244</v>
      </c>
      <c r="AC262">
        <v>442</v>
      </c>
    </row>
    <row r="263" spans="1:29">
      <c r="A263" t="s">
        <v>397</v>
      </c>
      <c r="B263" t="s">
        <v>412</v>
      </c>
      <c r="C263">
        <v>13</v>
      </c>
      <c r="D263" t="s">
        <v>37</v>
      </c>
      <c r="E263" s="1">
        <v>75</v>
      </c>
      <c r="F263">
        <v>220</v>
      </c>
      <c r="G263" s="1">
        <v>18</v>
      </c>
      <c r="H263" t="s">
        <v>41</v>
      </c>
      <c r="I263" t="s">
        <v>44</v>
      </c>
      <c r="J263" s="2">
        <v>62</v>
      </c>
      <c r="K263" s="23">
        <v>50.595744680851062</v>
      </c>
      <c r="L263" s="23">
        <v>66.297872340425528</v>
      </c>
      <c r="M263" s="23">
        <v>82</v>
      </c>
      <c r="N263" s="3" t="s">
        <v>600</v>
      </c>
      <c r="O263" s="2" t="s">
        <v>651</v>
      </c>
      <c r="P263" s="23">
        <v>99.757961783439484</v>
      </c>
      <c r="Q263" s="14">
        <v>14.642857142857142</v>
      </c>
      <c r="R263" s="14">
        <v>17.305194805194805</v>
      </c>
      <c r="S263" s="14">
        <v>31.948051948051944</v>
      </c>
      <c r="T263" s="14">
        <v>49.785714285714285</v>
      </c>
      <c r="U263" s="14">
        <v>126.13375796178345</v>
      </c>
      <c r="V263" s="24"/>
      <c r="W263" s="14">
        <f>S263+T263/2+U263+P263</f>
        <v>282.73262883613199</v>
      </c>
      <c r="Y263">
        <v>0</v>
      </c>
      <c r="Z263" t="s">
        <v>650</v>
      </c>
      <c r="AA263">
        <v>382</v>
      </c>
      <c r="AB263">
        <v>314</v>
      </c>
      <c r="AC263">
        <v>483</v>
      </c>
    </row>
    <row r="264" spans="1:29">
      <c r="A264" t="s">
        <v>413</v>
      </c>
      <c r="B264" t="s">
        <v>421</v>
      </c>
      <c r="C264">
        <v>13</v>
      </c>
      <c r="D264" t="s">
        <v>35</v>
      </c>
      <c r="E264" s="1">
        <v>72</v>
      </c>
      <c r="F264">
        <v>195</v>
      </c>
      <c r="G264" s="1">
        <v>18</v>
      </c>
      <c r="H264" t="s">
        <v>42</v>
      </c>
      <c r="I264" t="s">
        <v>44</v>
      </c>
      <c r="J264" s="2">
        <f>72</f>
        <v>72</v>
      </c>
      <c r="K264" s="23">
        <v>33.148936170212764</v>
      </c>
      <c r="L264" s="23">
        <v>76.765957446808514</v>
      </c>
      <c r="M264" s="23">
        <v>190.17021276595744</v>
      </c>
      <c r="N264" s="5" t="s">
        <v>599</v>
      </c>
      <c r="O264" s="2" t="s">
        <v>651</v>
      </c>
      <c r="P264" s="23">
        <v>117.89558232931726</v>
      </c>
      <c r="Q264" s="14">
        <v>7.0573770491803272</v>
      </c>
      <c r="R264" s="14">
        <v>23.524590163934427</v>
      </c>
      <c r="S264" s="14">
        <v>30.581967213114751</v>
      </c>
      <c r="T264" s="14">
        <v>33.942622950819668</v>
      </c>
      <c r="U264" s="14">
        <v>116.90763052208835</v>
      </c>
      <c r="V264" s="24">
        <v>0.11244979919678715</v>
      </c>
      <c r="W264" s="14">
        <f>S264+T264/2+U264+P264</f>
        <v>282.35649153993023</v>
      </c>
      <c r="X264" s="22">
        <v>15</v>
      </c>
      <c r="Y264">
        <v>0</v>
      </c>
      <c r="Z264" t="s">
        <v>650</v>
      </c>
      <c r="AA264">
        <v>358</v>
      </c>
      <c r="AB264">
        <v>249</v>
      </c>
      <c r="AC264">
        <v>355</v>
      </c>
    </row>
    <row r="265" spans="1:29">
      <c r="A265" t="s">
        <v>576</v>
      </c>
      <c r="B265" t="s">
        <v>586</v>
      </c>
      <c r="C265">
        <v>95</v>
      </c>
      <c r="D265" t="s">
        <v>34</v>
      </c>
      <c r="E265" s="1">
        <v>73</v>
      </c>
      <c r="F265">
        <v>209</v>
      </c>
      <c r="G265" s="1">
        <v>20</v>
      </c>
      <c r="H265" t="s">
        <v>42</v>
      </c>
      <c r="I265" t="s">
        <v>44</v>
      </c>
      <c r="J265" s="2">
        <v>42</v>
      </c>
      <c r="K265" s="23">
        <v>15.702127659574469</v>
      </c>
      <c r="L265" s="23">
        <v>26.170212765957448</v>
      </c>
      <c r="M265" s="23">
        <v>69.787234042553195</v>
      </c>
      <c r="N265" s="3" t="s">
        <v>601</v>
      </c>
      <c r="O265" s="2" t="s">
        <v>651</v>
      </c>
      <c r="P265" s="23">
        <v>119.32413793103449</v>
      </c>
      <c r="Q265" s="14">
        <v>8.6390328151986182</v>
      </c>
      <c r="R265" s="14">
        <v>18.977547495682209</v>
      </c>
      <c r="S265" s="14">
        <v>27.616580310880828</v>
      </c>
      <c r="T265" s="14">
        <v>25.208981001727114</v>
      </c>
      <c r="U265" s="14">
        <v>122.0103448275862</v>
      </c>
      <c r="V265" s="24">
        <v>5.3448275862068968E-2</v>
      </c>
      <c r="W265" s="14">
        <f>S265+T265/2+U265+P265</f>
        <v>281.55555357036508</v>
      </c>
      <c r="X265" s="22">
        <v>8</v>
      </c>
      <c r="Y265">
        <v>0</v>
      </c>
      <c r="Z265" t="s">
        <v>650</v>
      </c>
      <c r="AA265">
        <v>844</v>
      </c>
      <c r="AB265">
        <v>580</v>
      </c>
      <c r="AC265">
        <v>863</v>
      </c>
    </row>
    <row r="266" spans="1:29">
      <c r="A266" s="6" t="s">
        <v>121</v>
      </c>
      <c r="B266" t="s">
        <v>124</v>
      </c>
      <c r="C266">
        <v>8</v>
      </c>
      <c r="D266" t="s">
        <v>35</v>
      </c>
      <c r="E266" s="1">
        <v>77</v>
      </c>
      <c r="F266">
        <v>223</v>
      </c>
      <c r="G266" s="1">
        <v>18</v>
      </c>
      <c r="H266" t="s">
        <v>42</v>
      </c>
      <c r="I266" t="s">
        <v>44</v>
      </c>
      <c r="J266" s="2">
        <v>60</v>
      </c>
      <c r="K266" s="23">
        <v>5.2340425531914887</v>
      </c>
      <c r="L266" s="23">
        <v>27.914893617021274</v>
      </c>
      <c r="M266" s="23">
        <v>277.40425531914894</v>
      </c>
      <c r="N266" s="5" t="s">
        <v>599</v>
      </c>
      <c r="O266" s="2" t="s">
        <v>651</v>
      </c>
      <c r="P266" s="23">
        <v>121.56216790648247</v>
      </c>
      <c r="Q266" s="14">
        <v>4.2881536819637143</v>
      </c>
      <c r="R266" s="14">
        <v>15.752401280683031</v>
      </c>
      <c r="S266" s="14">
        <v>20.040554962646745</v>
      </c>
      <c r="T266" s="14">
        <v>60.734258271077913</v>
      </c>
      <c r="U266" s="14">
        <v>109.5366631243358</v>
      </c>
      <c r="V266" s="24">
        <v>4.8884165781083955E-2</v>
      </c>
      <c r="W266" s="14">
        <f>S266+T266/2+U266+P266</f>
        <v>281.50651512900401</v>
      </c>
      <c r="X266" s="22">
        <v>-3</v>
      </c>
      <c r="Y266">
        <v>0</v>
      </c>
      <c r="Z266" t="s">
        <v>650</v>
      </c>
      <c r="AA266">
        <v>1395</v>
      </c>
      <c r="AB266">
        <v>941</v>
      </c>
      <c r="AC266">
        <v>1257</v>
      </c>
    </row>
    <row r="267" spans="1:29">
      <c r="A267" t="s">
        <v>354</v>
      </c>
      <c r="B267" t="s">
        <v>351</v>
      </c>
      <c r="C267">
        <v>3</v>
      </c>
      <c r="D267" t="s">
        <v>35</v>
      </c>
      <c r="E267" s="1">
        <v>73</v>
      </c>
      <c r="F267">
        <v>190</v>
      </c>
      <c r="G267" s="1">
        <v>18</v>
      </c>
      <c r="H267" t="s">
        <v>41</v>
      </c>
      <c r="I267" t="s">
        <v>43</v>
      </c>
      <c r="J267" s="2">
        <v>59</v>
      </c>
      <c r="K267" s="23">
        <v>120.38297872340425</v>
      </c>
      <c r="L267" s="23">
        <v>99.446808510638306</v>
      </c>
      <c r="M267" s="23">
        <v>148.29787234042553</v>
      </c>
      <c r="N267" s="5" t="s">
        <v>602</v>
      </c>
      <c r="O267" s="2" t="s">
        <v>651</v>
      </c>
      <c r="P267" s="23">
        <v>38.84210526315789</v>
      </c>
      <c r="Q267" s="14">
        <v>19.209370424597367</v>
      </c>
      <c r="R267" s="14">
        <v>28.093704245973647</v>
      </c>
      <c r="S267" s="14">
        <v>47.303074670571014</v>
      </c>
      <c r="T267" s="14">
        <v>37.578330893118597</v>
      </c>
      <c r="U267" s="14">
        <v>176.46783625730993</v>
      </c>
      <c r="V267" s="24"/>
      <c r="W267" s="14">
        <f>S267+T267/2+U267+P267</f>
        <v>281.40218163759812</v>
      </c>
      <c r="Y267">
        <v>1</v>
      </c>
      <c r="Z267" t="s">
        <v>650</v>
      </c>
      <c r="AA267">
        <v>324</v>
      </c>
      <c r="AB267">
        <v>684</v>
      </c>
      <c r="AC267">
        <v>1472</v>
      </c>
    </row>
    <row r="268" spans="1:29">
      <c r="A268" t="s">
        <v>430</v>
      </c>
      <c r="B268" t="s">
        <v>436</v>
      </c>
      <c r="C268">
        <v>54</v>
      </c>
      <c r="D268" t="s">
        <v>35</v>
      </c>
      <c r="E268" s="1">
        <v>73</v>
      </c>
      <c r="F268">
        <v>192</v>
      </c>
      <c r="G268" s="1">
        <v>19</v>
      </c>
      <c r="H268" t="s">
        <v>42</v>
      </c>
      <c r="I268" t="s">
        <v>44</v>
      </c>
      <c r="J268" s="2">
        <v>41</v>
      </c>
      <c r="K268" s="23">
        <v>5.2340425531914887</v>
      </c>
      <c r="L268" s="23">
        <v>20.936170212765955</v>
      </c>
      <c r="M268" s="23">
        <v>31.404255319148938</v>
      </c>
      <c r="N268" s="3" t="s">
        <v>601</v>
      </c>
      <c r="O268" s="2" t="s">
        <v>651</v>
      </c>
      <c r="P268" s="23">
        <v>45.687840290381125</v>
      </c>
      <c r="Q268" s="14">
        <v>7.3867151956323926</v>
      </c>
      <c r="R268" s="14">
        <v>36.560509554140125</v>
      </c>
      <c r="S268" s="14">
        <v>43.947224749772516</v>
      </c>
      <c r="T268" s="14">
        <v>46.036396724294811</v>
      </c>
      <c r="U268" s="14">
        <v>168.39019963702361</v>
      </c>
      <c r="V268" s="24">
        <v>0.14246823956442831</v>
      </c>
      <c r="W268" s="14">
        <f>S268+T268/2+U268+P268</f>
        <v>281.04346303932465</v>
      </c>
      <c r="X268" s="22">
        <v>52</v>
      </c>
      <c r="Y268">
        <v>1</v>
      </c>
      <c r="Z268" t="s">
        <v>650</v>
      </c>
      <c r="AA268">
        <v>614</v>
      </c>
      <c r="AB268">
        <v>1102</v>
      </c>
      <c r="AC268">
        <v>2263</v>
      </c>
    </row>
    <row r="269" spans="1:29">
      <c r="A269" s="6" t="s">
        <v>121</v>
      </c>
      <c r="B269" t="s">
        <v>123</v>
      </c>
      <c r="C269">
        <v>72</v>
      </c>
      <c r="D269" t="s">
        <v>35</v>
      </c>
      <c r="E269" s="1">
        <v>72</v>
      </c>
      <c r="F269">
        <v>180</v>
      </c>
      <c r="G269" s="1">
        <v>18</v>
      </c>
      <c r="H269" t="s">
        <v>41</v>
      </c>
      <c r="I269" t="s">
        <v>44</v>
      </c>
      <c r="J269" s="2">
        <v>68</v>
      </c>
      <c r="K269" s="23">
        <v>22.680851063829788</v>
      </c>
      <c r="L269" s="23">
        <v>40.127659574468083</v>
      </c>
      <c r="M269" s="23">
        <v>38.382978723404257</v>
      </c>
      <c r="N269" s="5" t="s">
        <v>600</v>
      </c>
      <c r="O269" s="2" t="s">
        <v>651</v>
      </c>
      <c r="P269" s="23">
        <v>94.56451612903227</v>
      </c>
      <c r="Q269" s="14">
        <v>18.923076923076923</v>
      </c>
      <c r="R269" s="14">
        <v>23.128205128205128</v>
      </c>
      <c r="S269" s="14">
        <v>42.051282051282051</v>
      </c>
      <c r="T269" s="14">
        <v>36.444444444444443</v>
      </c>
      <c r="U269" s="14">
        <v>125.64516129032258</v>
      </c>
      <c r="V269" s="24"/>
      <c r="W269" s="14">
        <f>S269+T269/2+U269+P269</f>
        <v>280.48318169285909</v>
      </c>
      <c r="Y269">
        <v>0</v>
      </c>
      <c r="Z269" t="s">
        <v>650</v>
      </c>
      <c r="AA269">
        <v>143</v>
      </c>
      <c r="AB269">
        <v>124</v>
      </c>
      <c r="AC269">
        <v>190</v>
      </c>
    </row>
    <row r="270" spans="1:29">
      <c r="A270" t="s">
        <v>510</v>
      </c>
      <c r="B270" t="s">
        <v>515</v>
      </c>
      <c r="C270">
        <v>34</v>
      </c>
      <c r="D270" t="s">
        <v>35</v>
      </c>
      <c r="E270" s="1">
        <v>78</v>
      </c>
      <c r="F270">
        <v>215</v>
      </c>
      <c r="G270" s="1">
        <v>19</v>
      </c>
      <c r="H270" t="s">
        <v>42</v>
      </c>
      <c r="I270" t="s">
        <v>44</v>
      </c>
      <c r="J270" s="2">
        <v>65</v>
      </c>
      <c r="K270" s="23">
        <v>31.404255319148938</v>
      </c>
      <c r="L270" s="23">
        <v>48.851063829787229</v>
      </c>
      <c r="M270" s="23">
        <v>186.68085106382981</v>
      </c>
      <c r="N270" s="5" t="s">
        <v>600</v>
      </c>
      <c r="O270" s="2" t="s">
        <v>651</v>
      </c>
      <c r="P270" s="23">
        <v>141.63636363636363</v>
      </c>
      <c r="Q270" s="14">
        <v>0</v>
      </c>
      <c r="R270" s="14">
        <v>14.470588235294116</v>
      </c>
      <c r="S270" s="14">
        <v>14.470588235294116</v>
      </c>
      <c r="T270" s="14">
        <v>77.17647058823529</v>
      </c>
      <c r="U270" s="14">
        <v>85.72727272727272</v>
      </c>
      <c r="V270" s="24">
        <v>0</v>
      </c>
      <c r="W270" s="14">
        <f>S270+T270/2+U270+P270</f>
        <v>280.42245989304809</v>
      </c>
      <c r="X270" s="22">
        <v>-27</v>
      </c>
      <c r="Y270">
        <v>0</v>
      </c>
      <c r="Z270" t="s">
        <v>650</v>
      </c>
      <c r="AA270">
        <v>38</v>
      </c>
      <c r="AB270">
        <v>22</v>
      </c>
      <c r="AC270">
        <v>23</v>
      </c>
    </row>
    <row r="271" spans="1:29">
      <c r="A271" s="6" t="s">
        <v>49</v>
      </c>
      <c r="B271" t="s">
        <v>51</v>
      </c>
      <c r="C271">
        <v>34</v>
      </c>
      <c r="D271" t="s">
        <v>35</v>
      </c>
      <c r="E271" s="1">
        <v>72</v>
      </c>
      <c r="F271">
        <v>204</v>
      </c>
      <c r="G271" s="1">
        <v>19</v>
      </c>
      <c r="H271" t="s">
        <v>42</v>
      </c>
      <c r="I271" t="s">
        <v>44</v>
      </c>
      <c r="J271" s="2">
        <v>61</v>
      </c>
      <c r="K271" s="23">
        <v>13.957446808510637</v>
      </c>
      <c r="L271" s="23">
        <v>64.553191489361708</v>
      </c>
      <c r="M271" s="23">
        <v>92.468085106382972</v>
      </c>
      <c r="N271" s="5" t="s">
        <v>600</v>
      </c>
      <c r="O271" s="2" t="s">
        <v>651</v>
      </c>
      <c r="P271" s="23">
        <v>119.52542372881355</v>
      </c>
      <c r="Q271" s="14">
        <v>4.4324324324324325</v>
      </c>
      <c r="R271" s="14">
        <v>19.207207207207208</v>
      </c>
      <c r="S271" s="14">
        <v>23.63963963963964</v>
      </c>
      <c r="T271" s="14">
        <v>23.63963963963964</v>
      </c>
      <c r="U271" s="14">
        <v>125.08474576271186</v>
      </c>
      <c r="V271" s="24">
        <v>0.1623931623931624</v>
      </c>
      <c r="W271" s="14">
        <f>S271+T271/2+U271+P271</f>
        <v>280.06962895098485</v>
      </c>
      <c r="X271" s="22">
        <v>0</v>
      </c>
      <c r="Y271">
        <v>0</v>
      </c>
      <c r="Z271" t="s">
        <v>650</v>
      </c>
      <c r="AA271">
        <v>172</v>
      </c>
      <c r="AB271">
        <v>118</v>
      </c>
      <c r="AC271">
        <v>180</v>
      </c>
    </row>
    <row r="272" spans="1:29">
      <c r="A272" s="6" t="s">
        <v>148</v>
      </c>
      <c r="B272" t="s">
        <v>150</v>
      </c>
      <c r="C272">
        <v>110</v>
      </c>
      <c r="D272" t="s">
        <v>35</v>
      </c>
      <c r="E272" s="1">
        <v>74</v>
      </c>
      <c r="F272">
        <v>177</v>
      </c>
      <c r="G272" s="1">
        <v>18</v>
      </c>
      <c r="H272" t="s">
        <v>41</v>
      </c>
      <c r="I272" t="s">
        <v>44</v>
      </c>
      <c r="J272" s="2">
        <v>63</v>
      </c>
      <c r="K272" s="23">
        <v>38.382978723404257</v>
      </c>
      <c r="L272" s="23">
        <v>26.170212765957448</v>
      </c>
      <c r="M272" s="23">
        <v>38.382978723404257</v>
      </c>
      <c r="N272" s="3" t="s">
        <v>600</v>
      </c>
      <c r="O272" s="2" t="s">
        <v>651</v>
      </c>
      <c r="P272" s="23">
        <v>36.543478260869563</v>
      </c>
      <c r="Q272" s="14">
        <v>23.776951672862452</v>
      </c>
      <c r="R272" s="14">
        <v>19.509293680297397</v>
      </c>
      <c r="S272" s="14">
        <v>43.286245353159849</v>
      </c>
      <c r="T272" s="14">
        <v>28.349442379182154</v>
      </c>
      <c r="U272" s="14">
        <v>185.98550724637681</v>
      </c>
      <c r="V272" s="24"/>
      <c r="W272" s="14">
        <f>S272+T272/2+U272+P272</f>
        <v>279.98995204999733</v>
      </c>
      <c r="Y272">
        <v>0</v>
      </c>
      <c r="Z272" t="s">
        <v>650</v>
      </c>
      <c r="AA272">
        <v>123</v>
      </c>
      <c r="AB272">
        <v>276</v>
      </c>
      <c r="AC272">
        <v>626</v>
      </c>
    </row>
    <row r="273" spans="1:29">
      <c r="A273" t="s">
        <v>251</v>
      </c>
      <c r="B273" t="s">
        <v>254</v>
      </c>
      <c r="C273">
        <v>89</v>
      </c>
      <c r="D273" t="s">
        <v>219</v>
      </c>
      <c r="E273" s="1">
        <v>72</v>
      </c>
      <c r="F273">
        <v>177</v>
      </c>
      <c r="G273" s="1">
        <v>18</v>
      </c>
      <c r="H273" t="s">
        <v>41</v>
      </c>
      <c r="I273" t="s">
        <v>43</v>
      </c>
      <c r="J273" s="2">
        <f>65+5+9+5</f>
        <v>84</v>
      </c>
      <c r="K273" s="23">
        <v>75.021276595744681</v>
      </c>
      <c r="L273" s="23">
        <v>69.787234042553195</v>
      </c>
      <c r="M273" s="23">
        <v>31.404255319148938</v>
      </c>
      <c r="N273" s="3" t="s">
        <v>599</v>
      </c>
      <c r="O273" s="2" t="s">
        <v>651</v>
      </c>
      <c r="P273" s="23">
        <v>57.107142857142854</v>
      </c>
      <c r="Q273" s="14">
        <v>18.138248847926267</v>
      </c>
      <c r="R273" s="14">
        <v>21.539170506912441</v>
      </c>
      <c r="S273" s="14">
        <v>39.677419354838705</v>
      </c>
      <c r="T273" s="14">
        <v>10.958525345622119</v>
      </c>
      <c r="U273" s="14">
        <v>177.17857142857142</v>
      </c>
      <c r="V273" s="24"/>
      <c r="W273" s="14">
        <f>S273+T273/2+U273+P273</f>
        <v>279.44239631336404</v>
      </c>
      <c r="Y273">
        <v>0</v>
      </c>
      <c r="Z273" t="s">
        <v>650</v>
      </c>
      <c r="AA273">
        <v>156</v>
      </c>
      <c r="AB273">
        <v>224</v>
      </c>
      <c r="AC273">
        <v>484</v>
      </c>
    </row>
    <row r="274" spans="1:29">
      <c r="A274" t="s">
        <v>283</v>
      </c>
      <c r="B274" t="s">
        <v>288</v>
      </c>
      <c r="C274">
        <v>202</v>
      </c>
      <c r="D274" t="s">
        <v>66</v>
      </c>
      <c r="E274" s="1">
        <v>71</v>
      </c>
      <c r="F274">
        <v>181</v>
      </c>
      <c r="G274" s="1">
        <v>20</v>
      </c>
      <c r="H274" t="s">
        <v>41</v>
      </c>
      <c r="I274" t="s">
        <v>43</v>
      </c>
      <c r="J274" s="2">
        <v>56</v>
      </c>
      <c r="K274" s="23">
        <v>61.063829787234042</v>
      </c>
      <c r="L274" s="23">
        <v>92.468085106382972</v>
      </c>
      <c r="M274" s="23">
        <v>45.361702127659576</v>
      </c>
      <c r="N274" s="5" t="s">
        <v>624</v>
      </c>
      <c r="O274" s="2" t="s">
        <v>651</v>
      </c>
      <c r="P274" s="23">
        <v>23.916666666666668</v>
      </c>
      <c r="Q274" s="14">
        <v>24.117647058823529</v>
      </c>
      <c r="R274" s="14">
        <v>14.470588235294116</v>
      </c>
      <c r="S274" s="14">
        <v>38.588235294117645</v>
      </c>
      <c r="T274" s="14">
        <v>28.941176470588232</v>
      </c>
      <c r="U274" s="14">
        <v>201.58333333333334</v>
      </c>
      <c r="V274" s="24"/>
      <c r="W274" s="14">
        <f>S274+T274/2+U274+P274</f>
        <v>278.55882352941177</v>
      </c>
      <c r="Y274">
        <v>0</v>
      </c>
      <c r="Z274" t="s">
        <v>650</v>
      </c>
      <c r="AA274">
        <v>7</v>
      </c>
      <c r="AB274">
        <v>24</v>
      </c>
      <c r="AC274">
        <v>59</v>
      </c>
    </row>
    <row r="275" spans="1:29">
      <c r="A275" t="s">
        <v>556</v>
      </c>
      <c r="B275" t="s">
        <v>563</v>
      </c>
      <c r="C275">
        <v>82</v>
      </c>
      <c r="D275" t="s">
        <v>35</v>
      </c>
      <c r="E275" s="1">
        <v>72</v>
      </c>
      <c r="F275">
        <v>197</v>
      </c>
      <c r="G275" s="1">
        <v>18</v>
      </c>
      <c r="H275" t="s">
        <v>41</v>
      </c>
      <c r="I275" t="s">
        <v>44</v>
      </c>
      <c r="J275" s="2">
        <v>66</v>
      </c>
      <c r="K275" s="23">
        <v>34.893617021276597</v>
      </c>
      <c r="L275" s="23">
        <v>41.87234042553191</v>
      </c>
      <c r="M275" s="23">
        <v>48.851063829787229</v>
      </c>
      <c r="N275" s="3" t="s">
        <v>600</v>
      </c>
      <c r="O275" s="2" t="s">
        <v>651</v>
      </c>
      <c r="P275" s="23">
        <v>74.221864951768481</v>
      </c>
      <c r="Q275" s="14">
        <v>22.291262135922331</v>
      </c>
      <c r="R275" s="14">
        <v>24.016181229773466</v>
      </c>
      <c r="S275" s="14">
        <v>46.307443365695796</v>
      </c>
      <c r="T275" s="14">
        <v>25.475728155339809</v>
      </c>
      <c r="U275" s="14">
        <v>144.48874598070739</v>
      </c>
      <c r="V275" s="24"/>
      <c r="W275" s="14">
        <f>S275+T275/2+U275+P275</f>
        <v>277.75591837584159</v>
      </c>
      <c r="Y275">
        <v>1</v>
      </c>
      <c r="Z275" t="s">
        <v>650</v>
      </c>
      <c r="AA275">
        <v>563</v>
      </c>
      <c r="AB275">
        <v>622</v>
      </c>
      <c r="AC275">
        <v>1096</v>
      </c>
    </row>
    <row r="276" spans="1:29">
      <c r="A276" t="s">
        <v>445</v>
      </c>
      <c r="B276" t="s">
        <v>448</v>
      </c>
      <c r="C276">
        <v>11</v>
      </c>
      <c r="D276" t="s">
        <v>119</v>
      </c>
      <c r="E276" s="1">
        <v>70</v>
      </c>
      <c r="F276">
        <v>193</v>
      </c>
      <c r="G276" s="1">
        <v>18</v>
      </c>
      <c r="H276" t="s">
        <v>41</v>
      </c>
      <c r="I276" t="s">
        <v>44</v>
      </c>
      <c r="J276" s="2">
        <f>30+1+5+5+4+7+27+17</f>
        <v>96</v>
      </c>
      <c r="K276" s="23">
        <v>57.574468085106382</v>
      </c>
      <c r="L276" s="23">
        <v>90.723404255319153</v>
      </c>
      <c r="M276" s="23">
        <v>195.40425531914892</v>
      </c>
      <c r="N276" s="3" t="s">
        <v>618</v>
      </c>
      <c r="O276" s="2" t="s">
        <v>651</v>
      </c>
      <c r="P276" s="23">
        <v>44.666666666666664</v>
      </c>
      <c r="Q276" s="14">
        <v>17.766666666666666</v>
      </c>
      <c r="R276" s="14">
        <v>20.5</v>
      </c>
      <c r="S276" s="14">
        <v>38.266666666666666</v>
      </c>
      <c r="T276" s="14">
        <v>30.066666666666666</v>
      </c>
      <c r="U276" s="14">
        <v>179.33333333333334</v>
      </c>
      <c r="V276" s="24"/>
      <c r="W276" s="14">
        <f>S276+T276/2+U276+P276</f>
        <v>277.3</v>
      </c>
      <c r="Y276">
        <v>0</v>
      </c>
      <c r="Z276" t="s">
        <v>650</v>
      </c>
      <c r="AA276">
        <v>134</v>
      </c>
      <c r="AB276">
        <v>246</v>
      </c>
      <c r="AC276">
        <v>538</v>
      </c>
    </row>
    <row r="277" spans="1:29">
      <c r="A277" t="s">
        <v>397</v>
      </c>
      <c r="B277" t="s">
        <v>404</v>
      </c>
      <c r="C277">
        <v>74</v>
      </c>
      <c r="D277" t="s">
        <v>38</v>
      </c>
      <c r="E277" s="1">
        <v>75</v>
      </c>
      <c r="F277">
        <v>215</v>
      </c>
      <c r="G277" s="1">
        <v>18</v>
      </c>
      <c r="H277" t="s">
        <v>42</v>
      </c>
      <c r="I277" t="s">
        <v>44</v>
      </c>
      <c r="J277" s="2">
        <f>15+7+5+2+48</f>
        <v>77</v>
      </c>
      <c r="K277" s="23">
        <v>41.87234042553191</v>
      </c>
      <c r="L277" s="23">
        <v>75.021276595744681</v>
      </c>
      <c r="M277" s="23">
        <v>87.234042553191486</v>
      </c>
      <c r="N277" s="3" t="s">
        <v>38</v>
      </c>
      <c r="O277" s="2" t="s">
        <v>651</v>
      </c>
      <c r="P277" s="23">
        <v>111.3731343283582</v>
      </c>
      <c r="Q277" s="14">
        <v>7.8244274809160315</v>
      </c>
      <c r="R277" s="14">
        <v>18.152671755725191</v>
      </c>
      <c r="S277" s="14">
        <v>25.977099236641223</v>
      </c>
      <c r="T277" s="14">
        <v>25.977099236641223</v>
      </c>
      <c r="U277" s="14">
        <v>125.44776119402985</v>
      </c>
      <c r="V277" s="24">
        <v>0.17910447761194029</v>
      </c>
      <c r="W277" s="14">
        <f>S277+T277/2+U277+P277</f>
        <v>275.78654437734991</v>
      </c>
      <c r="X277" s="22">
        <v>3</v>
      </c>
      <c r="Y277">
        <v>0</v>
      </c>
      <c r="Z277" t="s">
        <v>650</v>
      </c>
      <c r="AA277">
        <v>364</v>
      </c>
      <c r="AB277">
        <v>268</v>
      </c>
      <c r="AC277">
        <v>410</v>
      </c>
    </row>
    <row r="278" spans="1:29">
      <c r="A278" t="s">
        <v>478</v>
      </c>
      <c r="B278" t="s">
        <v>494</v>
      </c>
      <c r="C278">
        <v>49</v>
      </c>
      <c r="D278" t="s">
        <v>65</v>
      </c>
      <c r="E278" s="1">
        <v>75</v>
      </c>
      <c r="F278">
        <v>210</v>
      </c>
      <c r="G278" s="1">
        <v>19</v>
      </c>
      <c r="H278" t="s">
        <v>41</v>
      </c>
      <c r="I278" t="s">
        <v>44</v>
      </c>
      <c r="J278" s="2">
        <f>24+27+24+8</f>
        <v>83</v>
      </c>
      <c r="K278" s="23">
        <v>45.361702127659576</v>
      </c>
      <c r="L278" s="23">
        <v>48.851063829787229</v>
      </c>
      <c r="M278" s="23">
        <v>87.234042553191486</v>
      </c>
      <c r="N278" s="5" t="s">
        <v>605</v>
      </c>
      <c r="O278" s="2" t="s">
        <v>651</v>
      </c>
      <c r="P278" s="23">
        <v>63.385518590998046</v>
      </c>
      <c r="Q278" s="14">
        <v>14.938613861386139</v>
      </c>
      <c r="R278" s="14">
        <v>26.467326732673268</v>
      </c>
      <c r="S278" s="14">
        <v>41.405940594059409</v>
      </c>
      <c r="T278" s="14">
        <v>29.552475247524754</v>
      </c>
      <c r="U278" s="14">
        <v>155.8160469667319</v>
      </c>
      <c r="V278" s="24"/>
      <c r="W278" s="14">
        <f>S278+T278/2+U278+P278</f>
        <v>275.38374377555175</v>
      </c>
      <c r="Y278">
        <v>0</v>
      </c>
      <c r="Z278" t="s">
        <v>650</v>
      </c>
      <c r="AA278">
        <v>395</v>
      </c>
      <c r="AB278">
        <v>511</v>
      </c>
      <c r="AC278">
        <v>971</v>
      </c>
    </row>
    <row r="279" spans="1:29">
      <c r="A279" t="s">
        <v>478</v>
      </c>
      <c r="B279" t="s">
        <v>486</v>
      </c>
      <c r="C279">
        <v>61</v>
      </c>
      <c r="D279" t="s">
        <v>34</v>
      </c>
      <c r="E279" s="1">
        <v>71</v>
      </c>
      <c r="F279">
        <v>185</v>
      </c>
      <c r="G279" s="1">
        <v>19</v>
      </c>
      <c r="H279" t="s">
        <v>42</v>
      </c>
      <c r="I279" t="s">
        <v>44</v>
      </c>
      <c r="J279" s="2">
        <v>36</v>
      </c>
      <c r="K279" s="23">
        <v>43.617021276595743</v>
      </c>
      <c r="L279" s="23">
        <v>57.574468085106382</v>
      </c>
      <c r="M279" s="23">
        <v>38.382978723404257</v>
      </c>
      <c r="N279" s="5" t="s">
        <v>608</v>
      </c>
      <c r="O279" s="2" t="s">
        <v>651</v>
      </c>
      <c r="P279" s="23">
        <v>91.816203143893603</v>
      </c>
      <c r="Q279" s="14">
        <v>7.690621193666261</v>
      </c>
      <c r="R279" s="14">
        <v>30.862362971985384</v>
      </c>
      <c r="S279" s="14">
        <v>38.552984165651644</v>
      </c>
      <c r="T279" s="14">
        <v>28.165651644336176</v>
      </c>
      <c r="U279" s="14">
        <v>130.18863361547764</v>
      </c>
      <c r="V279" s="24">
        <v>3.3857315598548973E-2</v>
      </c>
      <c r="W279" s="14">
        <f>S279+T279/2+U279+P279</f>
        <v>274.640646747191</v>
      </c>
      <c r="X279" s="22">
        <v>45</v>
      </c>
      <c r="Y279">
        <v>0</v>
      </c>
      <c r="Z279" t="s">
        <v>650</v>
      </c>
      <c r="AA279">
        <v>926</v>
      </c>
      <c r="AB279">
        <v>827</v>
      </c>
      <c r="AC279">
        <v>1313</v>
      </c>
    </row>
    <row r="280" spans="1:29">
      <c r="A280" t="s">
        <v>461</v>
      </c>
      <c r="B280" t="s">
        <v>466</v>
      </c>
      <c r="C280">
        <v>6</v>
      </c>
      <c r="D280" t="s">
        <v>35</v>
      </c>
      <c r="E280" s="1">
        <v>71</v>
      </c>
      <c r="F280">
        <v>200</v>
      </c>
      <c r="G280" s="1">
        <v>18</v>
      </c>
      <c r="H280" t="s">
        <v>41</v>
      </c>
      <c r="I280" t="s">
        <v>43</v>
      </c>
      <c r="J280" s="2">
        <v>59</v>
      </c>
      <c r="K280" s="23">
        <v>61.063829787234042</v>
      </c>
      <c r="L280" s="23">
        <v>144.80851063829786</v>
      </c>
      <c r="M280" s="23">
        <v>62.808510638297875</v>
      </c>
      <c r="N280" s="3" t="s">
        <v>600</v>
      </c>
      <c r="O280" s="2" t="s">
        <v>651</v>
      </c>
      <c r="P280" s="23">
        <v>37.784313725490193</v>
      </c>
      <c r="Q280" s="14">
        <v>16.076448828606658</v>
      </c>
      <c r="R280" s="14">
        <v>29.321824907521581</v>
      </c>
      <c r="S280" s="14">
        <v>45.398273736128239</v>
      </c>
      <c r="T280" s="14">
        <v>37.410604192355116</v>
      </c>
      <c r="U280" s="14">
        <v>171.7377450980392</v>
      </c>
      <c r="V280" s="24"/>
      <c r="W280" s="14">
        <f>S280+T280/2+U280+P280</f>
        <v>273.62563465583514</v>
      </c>
      <c r="Y280">
        <v>1</v>
      </c>
      <c r="Z280" t="s">
        <v>650</v>
      </c>
      <c r="AA280">
        <v>376</v>
      </c>
      <c r="AB280">
        <v>816</v>
      </c>
      <c r="AC280">
        <v>1709</v>
      </c>
    </row>
    <row r="281" spans="1:29">
      <c r="A281" t="s">
        <v>354</v>
      </c>
      <c r="B281" t="s">
        <v>345</v>
      </c>
      <c r="C281">
        <v>12</v>
      </c>
      <c r="D281" t="s">
        <v>35</v>
      </c>
      <c r="E281" s="1">
        <v>73</v>
      </c>
      <c r="F281">
        <v>204</v>
      </c>
      <c r="G281" s="1">
        <v>19</v>
      </c>
      <c r="H281" t="s">
        <v>42</v>
      </c>
      <c r="I281" t="s">
        <v>44</v>
      </c>
      <c r="J281" s="2">
        <f>69</f>
        <v>69</v>
      </c>
      <c r="K281" s="23">
        <v>22.680851063829788</v>
      </c>
      <c r="L281" s="23">
        <v>83.744680851063819</v>
      </c>
      <c r="M281" s="23">
        <v>232.04255319148939</v>
      </c>
      <c r="N281" s="5" t="s">
        <v>599</v>
      </c>
      <c r="O281" s="2" t="s">
        <v>651</v>
      </c>
      <c r="P281" s="23">
        <v>110.2594385285576</v>
      </c>
      <c r="Q281" s="14">
        <v>4.3703703703703702</v>
      </c>
      <c r="R281" s="14">
        <v>21.555555555555554</v>
      </c>
      <c r="S281" s="14">
        <v>25.925925925925924</v>
      </c>
      <c r="T281" s="14">
        <v>49.037037037037031</v>
      </c>
      <c r="U281" s="14">
        <v>112.1645692158761</v>
      </c>
      <c r="V281" s="24">
        <v>6.6795740561471445E-2</v>
      </c>
      <c r="W281" s="14">
        <f>S281+T281/2+U281+P281</f>
        <v>272.86845218887817</v>
      </c>
      <c r="X281" s="22">
        <v>2</v>
      </c>
      <c r="Y281">
        <v>0</v>
      </c>
      <c r="Z281" t="s">
        <v>650</v>
      </c>
      <c r="AA281">
        <v>1389</v>
      </c>
      <c r="AB281">
        <v>1033</v>
      </c>
      <c r="AC281">
        <v>1413</v>
      </c>
    </row>
    <row r="282" spans="1:29">
      <c r="A282" t="s">
        <v>445</v>
      </c>
      <c r="B282" t="s">
        <v>457</v>
      </c>
      <c r="C282">
        <v>7</v>
      </c>
      <c r="D282" t="s">
        <v>34</v>
      </c>
      <c r="E282" s="1">
        <v>74</v>
      </c>
      <c r="F282">
        <v>208</v>
      </c>
      <c r="G282" s="1">
        <v>18</v>
      </c>
      <c r="H282" t="s">
        <v>42</v>
      </c>
      <c r="I282" t="s">
        <v>44</v>
      </c>
      <c r="J282" s="2">
        <f>9+42+7+6</f>
        <v>64</v>
      </c>
      <c r="K282" s="23">
        <v>20.936170212765955</v>
      </c>
      <c r="L282" s="23">
        <v>45.361702127659576</v>
      </c>
      <c r="M282" s="23">
        <v>279.14893617021278</v>
      </c>
      <c r="N282" s="5" t="s">
        <v>619</v>
      </c>
      <c r="O282" s="2" t="s">
        <v>651</v>
      </c>
      <c r="P282" s="23">
        <v>66.061762034514075</v>
      </c>
      <c r="Q282" s="14">
        <v>6.2904109589041086</v>
      </c>
      <c r="R282" s="14">
        <v>35.046575342465751</v>
      </c>
      <c r="S282" s="14">
        <v>41.336986301369862</v>
      </c>
      <c r="T282" s="14">
        <v>48.750684931506846</v>
      </c>
      <c r="U282" s="14">
        <v>141.06085376930065</v>
      </c>
      <c r="V282" s="24">
        <v>8.8101725703905537E-2</v>
      </c>
      <c r="W282" s="14">
        <f>S282+T282/2+U282+P282</f>
        <v>272.83494457093798</v>
      </c>
      <c r="X282" s="22">
        <v>50</v>
      </c>
      <c r="Y282">
        <v>0</v>
      </c>
      <c r="Z282" t="s">
        <v>650</v>
      </c>
      <c r="AA282">
        <v>887</v>
      </c>
      <c r="AB282">
        <v>1101</v>
      </c>
      <c r="AC282">
        <v>1894</v>
      </c>
    </row>
    <row r="283" spans="1:29">
      <c r="A283" s="6" t="s">
        <v>87</v>
      </c>
      <c r="B283" t="s">
        <v>101</v>
      </c>
      <c r="C283">
        <v>179</v>
      </c>
      <c r="D283" t="s">
        <v>35</v>
      </c>
      <c r="E283" s="1">
        <v>69</v>
      </c>
      <c r="F283">
        <v>163</v>
      </c>
      <c r="G283" s="1">
        <v>18</v>
      </c>
      <c r="H283" t="s">
        <v>41</v>
      </c>
      <c r="I283" t="s">
        <v>44</v>
      </c>
      <c r="J283" s="2">
        <v>68</v>
      </c>
      <c r="K283" s="23">
        <v>36.638297872340424</v>
      </c>
      <c r="L283" s="23">
        <v>40.127659574468083</v>
      </c>
      <c r="M283" s="23">
        <v>80.255319148936167</v>
      </c>
      <c r="N283" s="3" t="s">
        <v>614</v>
      </c>
      <c r="O283" s="2" t="s">
        <v>651</v>
      </c>
      <c r="P283" s="23">
        <v>134.98173515981736</v>
      </c>
      <c r="Q283" s="14">
        <v>16.100456621004565</v>
      </c>
      <c r="R283" s="14">
        <v>17.410958904109588</v>
      </c>
      <c r="S283" s="14">
        <v>33.511415525114153</v>
      </c>
      <c r="T283" s="14">
        <v>23.401826484018265</v>
      </c>
      <c r="U283" s="14">
        <v>92.296803652968023</v>
      </c>
      <c r="V283" s="24"/>
      <c r="W283" s="14">
        <f>S283+T283/2+U283+P283</f>
        <v>272.4908675799087</v>
      </c>
      <c r="Y283">
        <v>0</v>
      </c>
      <c r="Z283" t="s">
        <v>650</v>
      </c>
      <c r="AA283">
        <v>721</v>
      </c>
      <c r="AB283">
        <v>438</v>
      </c>
      <c r="AC283">
        <v>493</v>
      </c>
    </row>
    <row r="284" spans="1:29">
      <c r="A284" t="s">
        <v>188</v>
      </c>
      <c r="B284" t="s">
        <v>200</v>
      </c>
      <c r="C284">
        <v>65</v>
      </c>
      <c r="D284" t="s">
        <v>35</v>
      </c>
      <c r="E284" s="1">
        <v>75</v>
      </c>
      <c r="F284">
        <v>218</v>
      </c>
      <c r="G284" s="1">
        <v>18</v>
      </c>
      <c r="H284" t="s">
        <v>42</v>
      </c>
      <c r="I284" t="s">
        <v>44</v>
      </c>
      <c r="J284" s="2">
        <v>44</v>
      </c>
      <c r="K284" s="23">
        <v>3.4893617021276593</v>
      </c>
      <c r="L284" s="23">
        <v>31.404255319148938</v>
      </c>
      <c r="M284" s="23">
        <v>90.723404255319153</v>
      </c>
      <c r="N284" s="5" t="s">
        <v>600</v>
      </c>
      <c r="O284" s="2" t="s">
        <v>651</v>
      </c>
      <c r="P284" s="23">
        <v>136.08510638297872</v>
      </c>
      <c r="Q284" s="14">
        <v>4.3157894736842106</v>
      </c>
      <c r="R284" s="14">
        <v>16.184210526315791</v>
      </c>
      <c r="S284" s="14">
        <v>20.5</v>
      </c>
      <c r="T284" s="14">
        <v>23.736842105263158</v>
      </c>
      <c r="U284" s="14">
        <v>103.28510638297873</v>
      </c>
      <c r="V284" s="24">
        <v>0.11063829787234042</v>
      </c>
      <c r="W284" s="14">
        <f>S284+T284/2+U284+P284</f>
        <v>271.73863381858905</v>
      </c>
      <c r="X284" s="22">
        <v>-2</v>
      </c>
      <c r="Y284">
        <v>0</v>
      </c>
      <c r="Z284" t="s">
        <v>650</v>
      </c>
      <c r="AA284">
        <v>390</v>
      </c>
      <c r="AB284">
        <v>235</v>
      </c>
      <c r="AC284">
        <v>296</v>
      </c>
    </row>
    <row r="285" spans="1:29">
      <c r="A285" s="6" t="s">
        <v>102</v>
      </c>
      <c r="B285" t="s">
        <v>111</v>
      </c>
      <c r="C285">
        <v>23</v>
      </c>
      <c r="D285" t="s">
        <v>35</v>
      </c>
      <c r="E285" s="1">
        <v>74</v>
      </c>
      <c r="F285">
        <v>193</v>
      </c>
      <c r="G285" s="1">
        <v>18</v>
      </c>
      <c r="H285" t="s">
        <v>42</v>
      </c>
      <c r="I285" t="s">
        <v>44</v>
      </c>
      <c r="J285" s="2">
        <v>58</v>
      </c>
      <c r="K285" s="23">
        <v>19.191489361702128</v>
      </c>
      <c r="L285" s="23">
        <v>27.914893617021274</v>
      </c>
      <c r="M285" s="23">
        <v>150.04255319148936</v>
      </c>
      <c r="N285" s="3" t="s">
        <v>608</v>
      </c>
      <c r="O285" s="2" t="s">
        <v>651</v>
      </c>
      <c r="P285" s="23">
        <v>50.705314009661834</v>
      </c>
      <c r="Q285" s="14">
        <v>8.0078125</v>
      </c>
      <c r="R285" s="14">
        <v>15.375</v>
      </c>
      <c r="S285" s="14">
        <v>23.3828125</v>
      </c>
      <c r="T285" s="14">
        <v>46.4453125</v>
      </c>
      <c r="U285" s="14">
        <v>174.29951690821258</v>
      </c>
      <c r="V285" s="24">
        <v>-0.15267175572519084</v>
      </c>
      <c r="W285" s="14">
        <f>S285+T285/2+U285+P285</f>
        <v>271.61029966787441</v>
      </c>
      <c r="X285" s="22">
        <v>0</v>
      </c>
      <c r="Y285">
        <v>0</v>
      </c>
      <c r="Z285" t="s">
        <v>651</v>
      </c>
      <c r="AA285">
        <v>384</v>
      </c>
      <c r="AB285">
        <v>621</v>
      </c>
      <c r="AC285">
        <v>1320</v>
      </c>
    </row>
    <row r="286" spans="1:29">
      <c r="A286" t="s">
        <v>413</v>
      </c>
      <c r="B286" t="s">
        <v>419</v>
      </c>
      <c r="C286">
        <v>14</v>
      </c>
      <c r="D286" t="s">
        <v>66</v>
      </c>
      <c r="E286" s="1">
        <v>73</v>
      </c>
      <c r="F286">
        <v>204</v>
      </c>
      <c r="G286" s="1">
        <v>19</v>
      </c>
      <c r="H286" t="s">
        <v>42</v>
      </c>
      <c r="I286" t="s">
        <v>44</v>
      </c>
      <c r="J286" s="2">
        <v>64</v>
      </c>
      <c r="K286" s="23">
        <v>20.936170212765955</v>
      </c>
      <c r="L286" s="23">
        <v>94.21276595744682</v>
      </c>
      <c r="M286" s="23">
        <v>87.234042553191486</v>
      </c>
      <c r="N286" s="3" t="s">
        <v>614</v>
      </c>
      <c r="O286" s="2" t="s">
        <v>651</v>
      </c>
      <c r="P286" s="23">
        <v>124.95238095238095</v>
      </c>
      <c r="Q286" s="14">
        <v>4.3024691358024691</v>
      </c>
      <c r="R286" s="14">
        <v>16.324074074074076</v>
      </c>
      <c r="S286" s="14">
        <v>20.626543209876544</v>
      </c>
      <c r="T286" s="14">
        <v>52.262345679012348</v>
      </c>
      <c r="U286" s="14">
        <v>99.88632872503841</v>
      </c>
      <c r="V286" s="24">
        <v>-7.9877112135176648E-2</v>
      </c>
      <c r="W286" s="14">
        <f>S286+T286/2+U286+P286</f>
        <v>271.59642572680207</v>
      </c>
      <c r="X286" s="22">
        <v>-2</v>
      </c>
      <c r="Y286">
        <v>0</v>
      </c>
      <c r="Z286" t="s">
        <v>651</v>
      </c>
      <c r="AA286">
        <v>992</v>
      </c>
      <c r="AB286">
        <v>651</v>
      </c>
      <c r="AC286">
        <v>793</v>
      </c>
    </row>
    <row r="287" spans="1:29">
      <c r="A287" s="6" t="s">
        <v>87</v>
      </c>
      <c r="B287" t="s">
        <v>98</v>
      </c>
      <c r="C287">
        <v>183</v>
      </c>
      <c r="D287" t="s">
        <v>34</v>
      </c>
      <c r="E287" s="1">
        <v>73</v>
      </c>
      <c r="F287">
        <v>207</v>
      </c>
      <c r="G287" s="1">
        <v>19</v>
      </c>
      <c r="H287" t="s">
        <v>41</v>
      </c>
      <c r="I287" t="s">
        <v>44</v>
      </c>
      <c r="J287" s="2">
        <v>61</v>
      </c>
      <c r="K287" s="23">
        <v>17.446808510638299</v>
      </c>
      <c r="L287" s="23">
        <v>41.87234042553191</v>
      </c>
      <c r="M287" s="23">
        <v>83.744680851063819</v>
      </c>
      <c r="N287" s="3" t="s">
        <v>599</v>
      </c>
      <c r="O287" s="2" t="s">
        <v>651</v>
      </c>
      <c r="P287" s="23">
        <v>141.60551724137932</v>
      </c>
      <c r="Q287" s="14">
        <v>6.7287899860917939</v>
      </c>
      <c r="R287" s="14">
        <v>10.150208623087622</v>
      </c>
      <c r="S287" s="14">
        <v>16.878998609179416</v>
      </c>
      <c r="T287" s="14">
        <v>38.890125173852574</v>
      </c>
      <c r="U287" s="14">
        <v>93.310344827586206</v>
      </c>
      <c r="V287" s="24"/>
      <c r="W287" s="14">
        <f>S287+T287/2+U287+P287</f>
        <v>271.23992326507118</v>
      </c>
      <c r="Y287">
        <v>0</v>
      </c>
      <c r="Z287" t="s">
        <v>650</v>
      </c>
      <c r="AA287">
        <v>1252</v>
      </c>
      <c r="AB287">
        <v>725</v>
      </c>
      <c r="AC287">
        <v>825</v>
      </c>
    </row>
    <row r="288" spans="1:29">
      <c r="A288" t="s">
        <v>169</v>
      </c>
      <c r="B288" t="s">
        <v>180</v>
      </c>
      <c r="C288">
        <v>55</v>
      </c>
      <c r="D288" t="s">
        <v>66</v>
      </c>
      <c r="E288" s="1">
        <v>71</v>
      </c>
      <c r="F288">
        <v>212</v>
      </c>
      <c r="G288" s="1">
        <v>18</v>
      </c>
      <c r="H288" t="s">
        <v>42</v>
      </c>
      <c r="I288" t="s">
        <v>44</v>
      </c>
      <c r="J288" s="2">
        <v>39</v>
      </c>
      <c r="K288" s="23">
        <v>6.9787234042553186</v>
      </c>
      <c r="L288" s="23">
        <v>3.4893617021276593</v>
      </c>
      <c r="M288" s="23">
        <v>24.425531914893615</v>
      </c>
      <c r="N288" s="5" t="s">
        <v>624</v>
      </c>
      <c r="O288" s="2" t="s">
        <v>651</v>
      </c>
      <c r="P288" s="23">
        <v>125.66457023060796</v>
      </c>
      <c r="Q288" s="14">
        <v>5.9193205944798297</v>
      </c>
      <c r="R288" s="14">
        <v>22.1104033970276</v>
      </c>
      <c r="S288" s="14">
        <v>28.029723991507428</v>
      </c>
      <c r="T288" s="14">
        <v>31.511677282377917</v>
      </c>
      <c r="U288" s="14">
        <v>101.76939203354299</v>
      </c>
      <c r="V288" s="24">
        <v>0.11134453781512606</v>
      </c>
      <c r="W288" s="14">
        <f>S288+T288/2+U288+P288</f>
        <v>271.21952489684736</v>
      </c>
      <c r="X288" s="22">
        <v>9</v>
      </c>
      <c r="Y288">
        <v>0</v>
      </c>
      <c r="Z288" t="s">
        <v>650</v>
      </c>
      <c r="AA288">
        <v>731</v>
      </c>
      <c r="AB288">
        <v>477</v>
      </c>
      <c r="AC288">
        <v>592</v>
      </c>
    </row>
    <row r="289" spans="1:29">
      <c r="A289" s="6" t="s">
        <v>69</v>
      </c>
      <c r="B289" t="s">
        <v>81</v>
      </c>
      <c r="C289">
        <v>2</v>
      </c>
      <c r="D289" t="s">
        <v>35</v>
      </c>
      <c r="E289" s="1">
        <v>73</v>
      </c>
      <c r="F289">
        <v>192</v>
      </c>
      <c r="G289" s="1">
        <v>19</v>
      </c>
      <c r="H289" t="s">
        <v>41</v>
      </c>
      <c r="I289" t="s">
        <v>43</v>
      </c>
      <c r="J289" s="2">
        <v>69</v>
      </c>
      <c r="K289" s="23">
        <v>66.297872340425528</v>
      </c>
      <c r="L289" s="23">
        <v>127.36170212765957</v>
      </c>
      <c r="M289" s="23">
        <v>22.680851063829788</v>
      </c>
      <c r="N289" s="3" t="s">
        <v>599</v>
      </c>
      <c r="O289" s="2" t="s">
        <v>651</v>
      </c>
      <c r="P289" s="23">
        <v>35.632311977715879</v>
      </c>
      <c r="Q289" s="14">
        <v>22.130681818181817</v>
      </c>
      <c r="R289" s="14">
        <v>29.58522727272727</v>
      </c>
      <c r="S289" s="14">
        <v>51.715909090909086</v>
      </c>
      <c r="T289" s="14">
        <v>17.238636363636363</v>
      </c>
      <c r="U289" s="14">
        <v>175.19220055710306</v>
      </c>
      <c r="V289" s="24"/>
      <c r="W289" s="14">
        <f>S289+T289/2+U289+P289</f>
        <v>271.1597398075462</v>
      </c>
      <c r="Y289">
        <v>1</v>
      </c>
      <c r="Z289" t="s">
        <v>650</v>
      </c>
      <c r="AA289">
        <v>156</v>
      </c>
      <c r="AB289">
        <v>359</v>
      </c>
      <c r="AC289">
        <v>767</v>
      </c>
    </row>
    <row r="290" spans="1:29">
      <c r="A290" t="s">
        <v>556</v>
      </c>
      <c r="B290" t="s">
        <v>565</v>
      </c>
      <c r="C290">
        <v>24</v>
      </c>
      <c r="D290" t="s">
        <v>34</v>
      </c>
      <c r="E290" s="1">
        <v>75</v>
      </c>
      <c r="F290">
        <v>210</v>
      </c>
      <c r="G290" s="1">
        <v>18</v>
      </c>
      <c r="H290" t="s">
        <v>41</v>
      </c>
      <c r="I290" t="s">
        <v>44</v>
      </c>
      <c r="J290" s="2">
        <v>63</v>
      </c>
      <c r="K290" s="23">
        <v>48.851063829787229</v>
      </c>
      <c r="L290" s="23">
        <v>41.87234042553191</v>
      </c>
      <c r="M290" s="23">
        <v>184.93617021276594</v>
      </c>
      <c r="N290" s="3" t="s">
        <v>600</v>
      </c>
      <c r="O290" s="2" t="s">
        <v>651</v>
      </c>
      <c r="P290" s="23">
        <v>83.547169811320757</v>
      </c>
      <c r="Q290" s="14">
        <v>8.1999999999999993</v>
      </c>
      <c r="R290" s="14">
        <v>8.1999999999999993</v>
      </c>
      <c r="S290" s="14">
        <v>16.399999999999999</v>
      </c>
      <c r="T290" s="14">
        <v>36.08</v>
      </c>
      <c r="U290" s="14">
        <v>153.16981132075472</v>
      </c>
      <c r="V290" s="24"/>
      <c r="W290" s="14">
        <f>S290+T290/2+U290+P290</f>
        <v>271.15698113207549</v>
      </c>
      <c r="Y290">
        <v>0</v>
      </c>
      <c r="Z290" t="s">
        <v>650</v>
      </c>
      <c r="AA290">
        <v>54</v>
      </c>
      <c r="AB290">
        <v>53</v>
      </c>
      <c r="AC290">
        <v>99</v>
      </c>
    </row>
    <row r="291" spans="1:29">
      <c r="A291" t="s">
        <v>556</v>
      </c>
      <c r="B291" t="s">
        <v>566</v>
      </c>
      <c r="C291">
        <v>205</v>
      </c>
      <c r="D291" t="s">
        <v>37</v>
      </c>
      <c r="E291" s="1">
        <v>71</v>
      </c>
      <c r="F291">
        <v>186</v>
      </c>
      <c r="G291" s="1">
        <v>19</v>
      </c>
      <c r="H291" t="s">
        <v>41</v>
      </c>
      <c r="I291" t="s">
        <v>43</v>
      </c>
      <c r="J291" s="2">
        <f>11+5+5+8+37+7</f>
        <v>73</v>
      </c>
      <c r="K291" s="23">
        <v>29.659574468085108</v>
      </c>
      <c r="L291" s="23">
        <v>36.638297872340424</v>
      </c>
      <c r="M291" s="23">
        <v>41.87234042553191</v>
      </c>
      <c r="N291" s="3" t="s">
        <v>607</v>
      </c>
      <c r="O291" s="2" t="s">
        <v>651</v>
      </c>
      <c r="P291" s="23">
        <v>45.076023391812861</v>
      </c>
      <c r="Q291" s="14">
        <v>18.658682634730539</v>
      </c>
      <c r="R291" s="14">
        <v>21.604790419161677</v>
      </c>
      <c r="S291" s="14">
        <v>40.263473053892213</v>
      </c>
      <c r="T291" s="14">
        <v>17.676646706586826</v>
      </c>
      <c r="U291" s="14">
        <v>176.94736842105263</v>
      </c>
      <c r="V291" s="24"/>
      <c r="W291" s="14">
        <f>S291+T291/2+U291+P291</f>
        <v>271.12518822005109</v>
      </c>
      <c r="Y291">
        <v>0</v>
      </c>
      <c r="Z291" t="s">
        <v>650</v>
      </c>
      <c r="AA291">
        <v>94</v>
      </c>
      <c r="AB291">
        <v>171</v>
      </c>
      <c r="AC291">
        <v>369</v>
      </c>
    </row>
    <row r="292" spans="1:29">
      <c r="A292" t="s">
        <v>283</v>
      </c>
      <c r="B292" t="s">
        <v>298</v>
      </c>
      <c r="C292">
        <v>20</v>
      </c>
      <c r="D292" t="s">
        <v>35</v>
      </c>
      <c r="E292" s="1">
        <v>74</v>
      </c>
      <c r="F292">
        <v>185</v>
      </c>
      <c r="G292" s="1">
        <v>19</v>
      </c>
      <c r="H292" t="s">
        <v>41</v>
      </c>
      <c r="I292" t="s">
        <v>43</v>
      </c>
      <c r="J292" s="2">
        <v>59</v>
      </c>
      <c r="K292" s="23">
        <v>75.021276595744681</v>
      </c>
      <c r="L292" s="23">
        <v>120.38297872340425</v>
      </c>
      <c r="M292" s="23">
        <v>191.91489361702128</v>
      </c>
      <c r="N292" s="5" t="s">
        <v>602</v>
      </c>
      <c r="O292" s="2" t="s">
        <v>651</v>
      </c>
      <c r="P292" s="23">
        <v>64.459430979978919</v>
      </c>
      <c r="Q292" s="14">
        <v>16.365180467091292</v>
      </c>
      <c r="R292" s="14">
        <v>28.290870488322717</v>
      </c>
      <c r="S292" s="14">
        <v>44.65605095541401</v>
      </c>
      <c r="T292" s="14">
        <v>27.855626326963904</v>
      </c>
      <c r="U292" s="14">
        <v>148.01475237091674</v>
      </c>
      <c r="V292" s="24"/>
      <c r="W292" s="14">
        <f>S292+T292/2+U292+P292</f>
        <v>271.05804746979163</v>
      </c>
      <c r="Y292">
        <v>1</v>
      </c>
      <c r="Z292" t="s">
        <v>650</v>
      </c>
      <c r="AA292">
        <v>746</v>
      </c>
      <c r="AB292">
        <v>949</v>
      </c>
      <c r="AC292">
        <v>1713</v>
      </c>
    </row>
    <row r="293" spans="1:29">
      <c r="A293" s="6" t="s">
        <v>69</v>
      </c>
      <c r="B293" t="s">
        <v>72</v>
      </c>
      <c r="C293">
        <v>198</v>
      </c>
      <c r="D293" t="s">
        <v>35</v>
      </c>
      <c r="E293" s="1">
        <v>72</v>
      </c>
      <c r="F293">
        <v>195</v>
      </c>
      <c r="G293" s="1">
        <v>20</v>
      </c>
      <c r="H293" t="s">
        <v>42</v>
      </c>
      <c r="I293" t="s">
        <v>44</v>
      </c>
      <c r="J293" s="2">
        <v>38</v>
      </c>
      <c r="K293" s="23">
        <v>6.9787234042553186</v>
      </c>
      <c r="L293" s="23">
        <v>15.702127659574469</v>
      </c>
      <c r="M293" s="23">
        <v>61.063829787234042</v>
      </c>
      <c r="N293" s="3" t="s">
        <v>611</v>
      </c>
      <c r="O293" s="2" t="s">
        <v>651</v>
      </c>
      <c r="P293" s="23">
        <v>73.13513513513513</v>
      </c>
      <c r="Q293" s="14">
        <v>4.4324324324324325</v>
      </c>
      <c r="R293" s="14">
        <v>6.6486486486486491</v>
      </c>
      <c r="S293" s="14">
        <v>11.081081081081081</v>
      </c>
      <c r="T293" s="14">
        <v>39.891891891891895</v>
      </c>
      <c r="U293" s="14">
        <v>166.21621621621622</v>
      </c>
      <c r="V293" s="24">
        <v>-0.43243243243243246</v>
      </c>
      <c r="W293" s="14">
        <f>S293+T293/2+U293+P293</f>
        <v>270.37837837837839</v>
      </c>
      <c r="X293" s="22">
        <v>-52</v>
      </c>
      <c r="Y293">
        <v>0</v>
      </c>
      <c r="Z293" t="s">
        <v>651</v>
      </c>
      <c r="AA293">
        <v>33</v>
      </c>
      <c r="AB293">
        <v>37</v>
      </c>
      <c r="AC293">
        <v>75</v>
      </c>
    </row>
    <row r="294" spans="1:29">
      <c r="A294" t="s">
        <v>283</v>
      </c>
      <c r="B294" t="s">
        <v>284</v>
      </c>
      <c r="C294">
        <v>36</v>
      </c>
      <c r="D294" t="s">
        <v>65</v>
      </c>
      <c r="E294" s="1">
        <v>72</v>
      </c>
      <c r="F294">
        <v>179</v>
      </c>
      <c r="G294" s="1">
        <v>19</v>
      </c>
      <c r="H294" t="s">
        <v>41</v>
      </c>
      <c r="I294" t="s">
        <v>44</v>
      </c>
      <c r="J294" s="2">
        <f>4+15+16+19</f>
        <v>54</v>
      </c>
      <c r="K294" s="23">
        <v>29.659574468085108</v>
      </c>
      <c r="L294" s="23">
        <v>41.87234042553191</v>
      </c>
      <c r="M294" s="23">
        <v>13.957446808510637</v>
      </c>
      <c r="N294" s="3" t="s">
        <v>618</v>
      </c>
      <c r="O294" s="2" t="s">
        <v>651</v>
      </c>
      <c r="P294" s="23">
        <v>111.28571428571429</v>
      </c>
      <c r="Q294" s="14">
        <v>0</v>
      </c>
      <c r="R294" s="14">
        <v>0</v>
      </c>
      <c r="S294" s="14">
        <v>0</v>
      </c>
      <c r="T294" s="14">
        <v>46.857142857142854</v>
      </c>
      <c r="U294" s="14">
        <v>134.71428571428572</v>
      </c>
      <c r="W294" s="14">
        <f>S294+T294/2+U294+P294</f>
        <v>269.42857142857144</v>
      </c>
      <c r="Y294">
        <v>0</v>
      </c>
      <c r="Z294" t="s">
        <v>650</v>
      </c>
      <c r="AA294">
        <v>19</v>
      </c>
      <c r="AB294">
        <v>14</v>
      </c>
      <c r="AC294">
        <v>23</v>
      </c>
    </row>
    <row r="295" spans="1:29">
      <c r="A295" t="s">
        <v>576</v>
      </c>
      <c r="B295" t="s">
        <v>588</v>
      </c>
      <c r="C295">
        <v>194</v>
      </c>
      <c r="D295" t="s">
        <v>34</v>
      </c>
      <c r="E295" s="1">
        <v>73</v>
      </c>
      <c r="F295">
        <v>200</v>
      </c>
      <c r="G295" s="1">
        <v>20</v>
      </c>
      <c r="H295" t="s">
        <v>42</v>
      </c>
      <c r="I295" t="s">
        <v>43</v>
      </c>
      <c r="J295" s="2">
        <v>36</v>
      </c>
      <c r="K295" s="23">
        <v>0</v>
      </c>
      <c r="L295" s="23">
        <v>15.702127659574469</v>
      </c>
      <c r="M295" s="23">
        <v>38.382978723404257</v>
      </c>
      <c r="N295" s="3" t="s">
        <v>613</v>
      </c>
      <c r="O295" s="2" t="s">
        <v>651</v>
      </c>
      <c r="P295" s="23">
        <v>119.96296296296296</v>
      </c>
      <c r="Q295" s="14">
        <v>5.125</v>
      </c>
      <c r="R295" s="14">
        <v>13.666666666666666</v>
      </c>
      <c r="S295" s="14">
        <v>18.791666666666664</v>
      </c>
      <c r="T295" s="14">
        <v>20.5</v>
      </c>
      <c r="U295" s="14">
        <v>119.96296296296296</v>
      </c>
      <c r="V295" s="24">
        <v>0</v>
      </c>
      <c r="W295" s="14">
        <f>S295+T295/2+U295+P295</f>
        <v>268.96759259259261</v>
      </c>
      <c r="X295" s="22">
        <v>-8</v>
      </c>
      <c r="Y295">
        <v>0</v>
      </c>
      <c r="Z295" t="s">
        <v>650</v>
      </c>
      <c r="AA295">
        <v>79</v>
      </c>
      <c r="AB295">
        <v>54</v>
      </c>
      <c r="AC295">
        <v>79</v>
      </c>
    </row>
    <row r="296" spans="1:29">
      <c r="A296" t="s">
        <v>354</v>
      </c>
      <c r="B296" t="s">
        <v>342</v>
      </c>
      <c r="C296">
        <v>11</v>
      </c>
      <c r="D296" t="s">
        <v>35</v>
      </c>
      <c r="E296" s="1">
        <v>70</v>
      </c>
      <c r="F296">
        <v>180</v>
      </c>
      <c r="G296" s="1">
        <v>18</v>
      </c>
      <c r="H296" t="s">
        <v>42</v>
      </c>
      <c r="I296" t="s">
        <v>43</v>
      </c>
      <c r="J296" s="2">
        <f>63</f>
        <v>63</v>
      </c>
      <c r="K296" s="23">
        <v>40.127659574468083</v>
      </c>
      <c r="L296" s="23">
        <v>127.36170212765957</v>
      </c>
      <c r="M296" s="23">
        <v>99.446808510638306</v>
      </c>
      <c r="N296" s="5" t="s">
        <v>600</v>
      </c>
      <c r="O296" s="2" t="s">
        <v>651</v>
      </c>
      <c r="P296" s="23">
        <v>64.788118811881191</v>
      </c>
      <c r="Q296" s="14">
        <v>10.681362725450901</v>
      </c>
      <c r="R296" s="14">
        <v>27.278557114228455</v>
      </c>
      <c r="S296" s="14">
        <v>37.959919839679358</v>
      </c>
      <c r="T296" s="14">
        <v>27.771543086172343</v>
      </c>
      <c r="U296" s="14">
        <v>152.14653465346535</v>
      </c>
      <c r="V296" s="24">
        <v>0.20990099009900989</v>
      </c>
      <c r="W296" s="14">
        <f>S296+T296/2+U296+P296</f>
        <v>268.78034484811207</v>
      </c>
      <c r="X296" s="22">
        <v>43</v>
      </c>
      <c r="Y296">
        <v>0</v>
      </c>
      <c r="Z296" t="s">
        <v>650</v>
      </c>
      <c r="AA296">
        <v>399</v>
      </c>
      <c r="AB296">
        <v>505</v>
      </c>
      <c r="AC296">
        <v>937</v>
      </c>
    </row>
    <row r="297" spans="1:29">
      <c r="A297" t="s">
        <v>478</v>
      </c>
      <c r="B297" t="s">
        <v>487</v>
      </c>
      <c r="C297">
        <v>14</v>
      </c>
      <c r="D297" t="s">
        <v>496</v>
      </c>
      <c r="E297" s="1">
        <v>73</v>
      </c>
      <c r="F297">
        <v>188</v>
      </c>
      <c r="G297" s="1">
        <v>19</v>
      </c>
      <c r="H297" t="s">
        <v>41</v>
      </c>
      <c r="I297" t="s">
        <v>44</v>
      </c>
      <c r="J297" s="2">
        <v>67</v>
      </c>
      <c r="K297" s="23">
        <v>62.808510638297875</v>
      </c>
      <c r="L297" s="23">
        <v>24.425531914893615</v>
      </c>
      <c r="M297" s="23">
        <v>48.851063829787229</v>
      </c>
      <c r="N297" s="5" t="s">
        <v>599</v>
      </c>
      <c r="O297" s="2" t="s">
        <v>651</v>
      </c>
      <c r="P297" s="23">
        <v>50.705314009661834</v>
      </c>
      <c r="Q297" s="14">
        <v>23.029220779220779</v>
      </c>
      <c r="R297" s="14">
        <v>13.311688311688311</v>
      </c>
      <c r="S297" s="14">
        <v>36.340909090909086</v>
      </c>
      <c r="T297" s="14">
        <v>14.376623376623375</v>
      </c>
      <c r="U297" s="14">
        <v>174.29951690821258</v>
      </c>
      <c r="V297" s="24"/>
      <c r="W297" s="14">
        <f>S297+T297/2+U297+P297</f>
        <v>268.53405169709515</v>
      </c>
      <c r="Y297">
        <v>0</v>
      </c>
      <c r="Z297" t="s">
        <v>650</v>
      </c>
      <c r="AA297">
        <v>384</v>
      </c>
      <c r="AB297">
        <v>621</v>
      </c>
      <c r="AC297">
        <v>1320</v>
      </c>
    </row>
    <row r="298" spans="1:29">
      <c r="A298" t="s">
        <v>539</v>
      </c>
      <c r="B298" t="s">
        <v>542</v>
      </c>
      <c r="C298">
        <v>49</v>
      </c>
      <c r="D298" t="s">
        <v>35</v>
      </c>
      <c r="E298" s="1">
        <v>71</v>
      </c>
      <c r="F298">
        <v>185</v>
      </c>
      <c r="G298" s="1">
        <v>19</v>
      </c>
      <c r="H298" t="s">
        <v>42</v>
      </c>
      <c r="I298" t="s">
        <v>44</v>
      </c>
      <c r="J298" s="2">
        <v>60</v>
      </c>
      <c r="K298" s="23">
        <v>13.957446808510637</v>
      </c>
      <c r="L298" s="23">
        <v>57.574468085106382</v>
      </c>
      <c r="M298" s="23">
        <v>73.276595744680847</v>
      </c>
      <c r="N298" s="5" t="s">
        <v>608</v>
      </c>
      <c r="O298" s="2" t="s">
        <v>651</v>
      </c>
      <c r="P298" s="23">
        <v>160.84615384615384</v>
      </c>
      <c r="Q298" s="14">
        <v>0</v>
      </c>
      <c r="R298" s="14">
        <v>11.714285714285714</v>
      </c>
      <c r="S298" s="14">
        <v>11.714285714285714</v>
      </c>
      <c r="T298" s="14">
        <v>46.857142857142854</v>
      </c>
      <c r="U298" s="14">
        <v>72.538461538461533</v>
      </c>
      <c r="V298" s="24">
        <v>-0.19230769230769232</v>
      </c>
      <c r="W298" s="14">
        <f>S298+T298/2+U298+P298</f>
        <v>268.52747252747253</v>
      </c>
      <c r="X298" s="22">
        <v>-45</v>
      </c>
      <c r="Y298">
        <v>0</v>
      </c>
      <c r="Z298" t="s">
        <v>651</v>
      </c>
      <c r="AA298">
        <v>51</v>
      </c>
      <c r="AB298">
        <v>26</v>
      </c>
      <c r="AC298">
        <v>23</v>
      </c>
    </row>
    <row r="299" spans="1:29">
      <c r="A299" t="s">
        <v>204</v>
      </c>
      <c r="B299" t="s">
        <v>215</v>
      </c>
      <c r="C299">
        <v>24</v>
      </c>
      <c r="D299" t="s">
        <v>35</v>
      </c>
      <c r="E299" s="1">
        <v>73</v>
      </c>
      <c r="F299">
        <v>185</v>
      </c>
      <c r="G299" s="1">
        <v>18</v>
      </c>
      <c r="H299" t="s">
        <v>41</v>
      </c>
      <c r="I299" t="s">
        <v>44</v>
      </c>
      <c r="J299" s="2">
        <v>64</v>
      </c>
      <c r="K299" s="23">
        <v>47.10638297872341</v>
      </c>
      <c r="L299" s="23">
        <v>61.063829787234042</v>
      </c>
      <c r="M299" s="23">
        <v>88.978723404255305</v>
      </c>
      <c r="N299" s="5" t="s">
        <v>600</v>
      </c>
      <c r="O299" s="2" t="s">
        <v>651</v>
      </c>
      <c r="P299" s="23">
        <v>71.066666666666663</v>
      </c>
      <c r="Q299" s="14">
        <v>14.03041825095057</v>
      </c>
      <c r="R299" s="14">
        <v>17.460076045627375</v>
      </c>
      <c r="S299" s="14">
        <v>31.490494296577946</v>
      </c>
      <c r="T299" s="14">
        <v>30.866920152091254</v>
      </c>
      <c r="U299" s="14">
        <v>150.33333333333331</v>
      </c>
      <c r="V299" s="24"/>
      <c r="W299" s="14">
        <f>S299+T299/2+U299+P299</f>
        <v>268.32395437262358</v>
      </c>
      <c r="Y299">
        <v>0</v>
      </c>
      <c r="Z299" t="s">
        <v>650</v>
      </c>
      <c r="AA299">
        <v>234</v>
      </c>
      <c r="AB299">
        <v>270</v>
      </c>
      <c r="AC299">
        <v>495</v>
      </c>
    </row>
    <row r="300" spans="1:29">
      <c r="A300" t="s">
        <v>510</v>
      </c>
      <c r="B300" t="s">
        <v>522</v>
      </c>
      <c r="C300">
        <v>26</v>
      </c>
      <c r="D300" t="s">
        <v>35</v>
      </c>
      <c r="E300" s="1">
        <v>74</v>
      </c>
      <c r="F300">
        <v>195</v>
      </c>
      <c r="G300" s="1">
        <v>18</v>
      </c>
      <c r="H300" t="s">
        <v>42</v>
      </c>
      <c r="I300" t="s">
        <v>44</v>
      </c>
      <c r="J300" s="2">
        <v>71</v>
      </c>
      <c r="K300" s="23">
        <v>33.148936170212764</v>
      </c>
      <c r="L300" s="23">
        <v>54.085106382978722</v>
      </c>
      <c r="M300" s="23">
        <v>55.829787234042549</v>
      </c>
      <c r="N300" s="3" t="s">
        <v>599</v>
      </c>
      <c r="O300" s="2" t="s">
        <v>651</v>
      </c>
      <c r="P300" s="23">
        <v>32.358744394618832</v>
      </c>
      <c r="Q300" s="14">
        <v>9.4036697247706424</v>
      </c>
      <c r="R300" s="14">
        <v>25.954128440366976</v>
      </c>
      <c r="S300" s="14">
        <v>35.357798165137616</v>
      </c>
      <c r="T300" s="14">
        <v>26.330275229357799</v>
      </c>
      <c r="U300" s="14">
        <v>186.43049327354262</v>
      </c>
      <c r="V300" s="24">
        <v>0</v>
      </c>
      <c r="W300" s="14">
        <f>S300+T300/2+U300+P300</f>
        <v>267.31217344797795</v>
      </c>
      <c r="X300" s="22">
        <v>23</v>
      </c>
      <c r="Y300">
        <v>0</v>
      </c>
      <c r="Z300" t="s">
        <v>650</v>
      </c>
      <c r="AA300">
        <v>88</v>
      </c>
      <c r="AB300">
        <v>223</v>
      </c>
      <c r="AC300">
        <v>507</v>
      </c>
    </row>
    <row r="301" spans="1:29">
      <c r="A301" t="s">
        <v>576</v>
      </c>
      <c r="B301" t="s">
        <v>583</v>
      </c>
      <c r="C301">
        <v>29</v>
      </c>
      <c r="D301" t="s">
        <v>65</v>
      </c>
      <c r="E301" s="1">
        <v>74</v>
      </c>
      <c r="F301">
        <v>201</v>
      </c>
      <c r="G301" s="1">
        <v>18</v>
      </c>
      <c r="H301" t="s">
        <v>41</v>
      </c>
      <c r="I301" t="s">
        <v>44</v>
      </c>
      <c r="J301" s="2">
        <v>97</v>
      </c>
      <c r="K301" s="23">
        <v>33.148936170212764</v>
      </c>
      <c r="L301" s="23">
        <v>69.787234042553195</v>
      </c>
      <c r="M301" s="23">
        <v>191.91489361702128</v>
      </c>
      <c r="N301" s="3" t="s">
        <v>618</v>
      </c>
      <c r="O301" s="2" t="s">
        <v>651</v>
      </c>
      <c r="P301" s="23">
        <v>89.246511627906983</v>
      </c>
      <c r="Q301" s="14">
        <v>12.555023923444976</v>
      </c>
      <c r="R301" s="14">
        <v>18.047846889952154</v>
      </c>
      <c r="S301" s="14">
        <v>30.602870813397129</v>
      </c>
      <c r="T301" s="14">
        <v>45.904306220095691</v>
      </c>
      <c r="U301" s="14">
        <v>124.33488372093022</v>
      </c>
      <c r="V301" s="24"/>
      <c r="W301" s="14">
        <f>S301+T301/2+U301+P301</f>
        <v>267.13641927228218</v>
      </c>
      <c r="Y301">
        <v>0</v>
      </c>
      <c r="Z301" t="s">
        <v>650</v>
      </c>
      <c r="AA301">
        <v>234</v>
      </c>
      <c r="AB301">
        <v>215</v>
      </c>
      <c r="AC301">
        <v>326</v>
      </c>
    </row>
    <row r="302" spans="1:29">
      <c r="A302" t="s">
        <v>556</v>
      </c>
      <c r="B302" t="s">
        <v>567</v>
      </c>
      <c r="C302">
        <v>6</v>
      </c>
      <c r="D302" t="s">
        <v>65</v>
      </c>
      <c r="E302" s="1">
        <v>75</v>
      </c>
      <c r="F302">
        <v>211</v>
      </c>
      <c r="G302" s="1">
        <v>18</v>
      </c>
      <c r="H302" t="s">
        <v>42</v>
      </c>
      <c r="I302" t="s">
        <v>44</v>
      </c>
      <c r="J302" s="2">
        <v>20</v>
      </c>
      <c r="K302" s="23">
        <v>1.7446808510638296</v>
      </c>
      <c r="L302" s="23">
        <v>5.2340425531914887</v>
      </c>
      <c r="M302" s="23">
        <v>20.936170212765955</v>
      </c>
      <c r="N302" s="3" t="s">
        <v>606</v>
      </c>
      <c r="O302" s="2" t="s">
        <v>651</v>
      </c>
      <c r="P302" s="23">
        <v>80.770877944325477</v>
      </c>
      <c r="Q302" s="14">
        <v>8.5010799136069117</v>
      </c>
      <c r="R302" s="14">
        <v>23.377969762419006</v>
      </c>
      <c r="S302" s="14">
        <v>31.879049676025915</v>
      </c>
      <c r="T302" s="14">
        <v>41.796976241900644</v>
      </c>
      <c r="U302" s="14">
        <v>131.86723768736616</v>
      </c>
      <c r="V302" s="24">
        <v>0.18843683083511778</v>
      </c>
      <c r="W302" s="14">
        <f>S302+T302/2+U302+P302</f>
        <v>265.41565342866789</v>
      </c>
      <c r="X302" s="22">
        <v>20</v>
      </c>
      <c r="Y302">
        <v>0</v>
      </c>
      <c r="Z302" t="s">
        <v>650</v>
      </c>
      <c r="AA302">
        <v>460</v>
      </c>
      <c r="AB302">
        <v>467</v>
      </c>
      <c r="AC302">
        <v>751</v>
      </c>
    </row>
    <row r="303" spans="1:29">
      <c r="A303" t="s">
        <v>306</v>
      </c>
      <c r="B303" t="s">
        <v>309</v>
      </c>
      <c r="C303">
        <v>3</v>
      </c>
      <c r="D303" t="s">
        <v>35</v>
      </c>
      <c r="E303" s="1">
        <v>76</v>
      </c>
      <c r="F303">
        <v>206</v>
      </c>
      <c r="G303" s="1">
        <v>19</v>
      </c>
      <c r="H303" t="s">
        <v>42</v>
      </c>
      <c r="I303" t="s">
        <v>44</v>
      </c>
      <c r="J303" s="2">
        <v>68</v>
      </c>
      <c r="K303" s="23">
        <v>19.191489361702128</v>
      </c>
      <c r="L303" s="23">
        <v>90.723404255319153</v>
      </c>
      <c r="M303" s="23">
        <v>90.723404255319153</v>
      </c>
      <c r="N303" s="3" t="s">
        <v>599</v>
      </c>
      <c r="O303" s="2" t="s">
        <v>651</v>
      </c>
      <c r="P303" s="23">
        <v>79.626517273576098</v>
      </c>
      <c r="Q303" s="14">
        <v>5.9784589892294946</v>
      </c>
      <c r="R303" s="14">
        <v>22.419221209610605</v>
      </c>
      <c r="S303" s="14">
        <v>28.397680198840099</v>
      </c>
      <c r="T303" s="14">
        <v>42.460646230323114</v>
      </c>
      <c r="U303" s="14">
        <v>135.97759103641457</v>
      </c>
      <c r="V303" s="24">
        <v>-1.236603462489695E-2</v>
      </c>
      <c r="W303" s="14">
        <f>S303+T303/2+U303+P303</f>
        <v>265.2321116239923</v>
      </c>
      <c r="X303" s="22">
        <v>9</v>
      </c>
      <c r="Y303">
        <v>0</v>
      </c>
      <c r="Z303" t="s">
        <v>651</v>
      </c>
      <c r="AA303">
        <v>1040</v>
      </c>
      <c r="AB303">
        <v>1071</v>
      </c>
      <c r="AC303">
        <v>1776</v>
      </c>
    </row>
    <row r="304" spans="1:29">
      <c r="A304" t="s">
        <v>397</v>
      </c>
      <c r="B304" t="s">
        <v>402</v>
      </c>
      <c r="C304">
        <v>3</v>
      </c>
      <c r="D304" t="s">
        <v>38</v>
      </c>
      <c r="E304" s="1">
        <v>73</v>
      </c>
      <c r="F304">
        <v>185</v>
      </c>
      <c r="G304" s="1">
        <v>18</v>
      </c>
      <c r="H304" t="s">
        <v>42</v>
      </c>
      <c r="I304" t="s">
        <v>44</v>
      </c>
      <c r="J304" s="2">
        <v>50</v>
      </c>
      <c r="K304" s="23">
        <v>12.212765957446807</v>
      </c>
      <c r="L304" s="23">
        <v>27.914893617021274</v>
      </c>
      <c r="M304" s="23">
        <v>6.9787234042553186</v>
      </c>
      <c r="N304" s="5" t="s">
        <v>615</v>
      </c>
      <c r="O304" s="2" t="s">
        <v>651</v>
      </c>
      <c r="P304" s="23">
        <v>31.027027027027028</v>
      </c>
      <c r="Q304" s="14">
        <v>14.057142857142857</v>
      </c>
      <c r="R304" s="14">
        <v>24.990476190476191</v>
      </c>
      <c r="S304" s="14">
        <v>39.047619047619051</v>
      </c>
      <c r="T304" s="14">
        <v>14.057142857142857</v>
      </c>
      <c r="U304" s="14">
        <v>187.63963963963965</v>
      </c>
      <c r="V304" s="24">
        <v>-2.7027027027027029E-2</v>
      </c>
      <c r="W304" s="14">
        <f>S304+T304/2+U304+P304</f>
        <v>264.74285714285713</v>
      </c>
      <c r="X304" s="22">
        <v>47</v>
      </c>
      <c r="Y304">
        <v>0</v>
      </c>
      <c r="Z304" t="s">
        <v>651</v>
      </c>
      <c r="AA304">
        <v>42</v>
      </c>
      <c r="AB304">
        <v>111</v>
      </c>
      <c r="AC304">
        <v>254</v>
      </c>
    </row>
    <row r="305" spans="1:29">
      <c r="A305" t="s">
        <v>397</v>
      </c>
      <c r="B305" t="s">
        <v>399</v>
      </c>
      <c r="C305">
        <v>25</v>
      </c>
      <c r="D305" t="s">
        <v>35</v>
      </c>
      <c r="E305" s="1">
        <v>70</v>
      </c>
      <c r="F305">
        <v>177</v>
      </c>
      <c r="G305" s="1">
        <v>18</v>
      </c>
      <c r="H305" t="s">
        <v>41</v>
      </c>
      <c r="I305" t="s">
        <v>44</v>
      </c>
      <c r="J305" s="2">
        <v>49</v>
      </c>
      <c r="K305" s="23">
        <v>62.808510638297875</v>
      </c>
      <c r="L305" s="23">
        <v>115.14893617021276</v>
      </c>
      <c r="M305" s="23">
        <v>57.574468085106382</v>
      </c>
      <c r="N305" s="5" t="s">
        <v>626</v>
      </c>
      <c r="O305" s="2" t="s">
        <v>651</v>
      </c>
      <c r="P305" s="23">
        <v>83.940329218106996</v>
      </c>
      <c r="Q305" s="14">
        <v>13.751552795031056</v>
      </c>
      <c r="R305" s="14">
        <v>19.184265010351968</v>
      </c>
      <c r="S305" s="14">
        <v>32.935817805383024</v>
      </c>
      <c r="T305" s="14">
        <v>27.757763975155278</v>
      </c>
      <c r="U305" s="14">
        <v>133.20781893004116</v>
      </c>
      <c r="V305" s="24"/>
      <c r="W305" s="14">
        <f>S305+T305/2+U305+P305</f>
        <v>263.96284794110886</v>
      </c>
      <c r="Y305">
        <v>0</v>
      </c>
      <c r="Z305" t="s">
        <v>650</v>
      </c>
      <c r="AA305">
        <v>995</v>
      </c>
      <c r="AB305">
        <v>972</v>
      </c>
      <c r="AC305">
        <v>1579</v>
      </c>
    </row>
    <row r="306" spans="1:29">
      <c r="A306" t="s">
        <v>204</v>
      </c>
      <c r="B306" t="s">
        <v>218</v>
      </c>
      <c r="C306">
        <v>137</v>
      </c>
      <c r="D306" t="s">
        <v>37</v>
      </c>
      <c r="E306" s="1">
        <v>71</v>
      </c>
      <c r="F306">
        <v>190</v>
      </c>
      <c r="G306" s="1">
        <v>21</v>
      </c>
      <c r="H306" t="s">
        <v>41</v>
      </c>
      <c r="I306" t="s">
        <v>44</v>
      </c>
      <c r="J306" s="2">
        <f>10+52+23+10</f>
        <v>95</v>
      </c>
      <c r="K306" s="23">
        <v>45.361702127659576</v>
      </c>
      <c r="L306" s="23">
        <v>40.127659574468083</v>
      </c>
      <c r="M306" s="23">
        <v>41.87234042553191</v>
      </c>
      <c r="N306" s="5" t="s">
        <v>607</v>
      </c>
      <c r="O306" s="2" t="s">
        <v>651</v>
      </c>
      <c r="P306" s="23">
        <v>89.78102189781022</v>
      </c>
      <c r="Q306" s="14">
        <v>8.8307692307692314</v>
      </c>
      <c r="R306" s="14">
        <v>23.969230769230769</v>
      </c>
      <c r="S306" s="14">
        <v>32.799999999999997</v>
      </c>
      <c r="T306" s="14">
        <v>25.23076923076923</v>
      </c>
      <c r="U306" s="14">
        <v>128.68613138686132</v>
      </c>
      <c r="V306" s="24"/>
      <c r="W306" s="14">
        <f>S306+T306/2+U306+P306</f>
        <v>263.88253790005615</v>
      </c>
      <c r="Y306">
        <v>0</v>
      </c>
      <c r="Z306" t="s">
        <v>650</v>
      </c>
      <c r="AA306">
        <v>150</v>
      </c>
      <c r="AB306">
        <v>137</v>
      </c>
      <c r="AC306">
        <v>215</v>
      </c>
    </row>
    <row r="307" spans="1:29">
      <c r="A307" s="6" t="s">
        <v>148</v>
      </c>
      <c r="B307" t="s">
        <v>156</v>
      </c>
      <c r="C307">
        <v>21</v>
      </c>
      <c r="D307" t="s">
        <v>35</v>
      </c>
      <c r="E307" s="1">
        <v>70</v>
      </c>
      <c r="F307">
        <v>190</v>
      </c>
      <c r="G307" s="1">
        <v>18</v>
      </c>
      <c r="H307" t="s">
        <v>41</v>
      </c>
      <c r="I307" t="s">
        <v>44</v>
      </c>
      <c r="J307" s="2">
        <v>58</v>
      </c>
      <c r="K307" s="23">
        <v>78.510638297872347</v>
      </c>
      <c r="L307" s="23">
        <v>73.276595744680847</v>
      </c>
      <c r="M307" s="23">
        <v>95.957446808510639</v>
      </c>
      <c r="N307" s="5" t="s">
        <v>600</v>
      </c>
      <c r="O307" s="2" t="s">
        <v>651</v>
      </c>
      <c r="P307" s="23">
        <v>78.757062146892665</v>
      </c>
      <c r="Q307" s="14">
        <v>16.882352941176471</v>
      </c>
      <c r="R307" s="14">
        <v>21.705882352941178</v>
      </c>
      <c r="S307" s="14">
        <v>38.588235294117645</v>
      </c>
      <c r="T307" s="14">
        <v>30.870588235294118</v>
      </c>
      <c r="U307" s="14">
        <v>130.64406779661016</v>
      </c>
      <c r="V307" s="24"/>
      <c r="W307" s="14">
        <f>S307+T307/2+U307+P307</f>
        <v>263.42465935526752</v>
      </c>
      <c r="Y307">
        <v>0</v>
      </c>
      <c r="Z307" t="s">
        <v>650</v>
      </c>
      <c r="AA307">
        <v>170</v>
      </c>
      <c r="AB307">
        <v>177</v>
      </c>
      <c r="AC307">
        <v>282</v>
      </c>
    </row>
    <row r="308" spans="1:29">
      <c r="A308" t="s">
        <v>510</v>
      </c>
      <c r="B308" t="s">
        <v>512</v>
      </c>
      <c r="C308">
        <v>85</v>
      </c>
      <c r="D308" t="s">
        <v>35</v>
      </c>
      <c r="E308" s="1">
        <v>72</v>
      </c>
      <c r="F308">
        <v>190</v>
      </c>
      <c r="G308" s="1">
        <v>18</v>
      </c>
      <c r="H308" t="s">
        <v>41</v>
      </c>
      <c r="I308" t="s">
        <v>44</v>
      </c>
      <c r="J308" s="2">
        <v>60</v>
      </c>
      <c r="K308" s="23">
        <v>45.361702127659576</v>
      </c>
      <c r="L308" s="23">
        <v>41.87234042553191</v>
      </c>
      <c r="M308" s="23">
        <v>76.765957446808514</v>
      </c>
      <c r="N308" s="5" t="s">
        <v>599</v>
      </c>
      <c r="O308" s="2" t="s">
        <v>651</v>
      </c>
      <c r="P308" s="23">
        <v>83.607843137254889</v>
      </c>
      <c r="Q308" s="14">
        <v>14.842293906810037</v>
      </c>
      <c r="R308" s="14">
        <v>18.810035842293907</v>
      </c>
      <c r="S308" s="14">
        <v>33.652329749103941</v>
      </c>
      <c r="T308" s="14">
        <v>34.681003584229387</v>
      </c>
      <c r="U308" s="14">
        <v>128.62745098039215</v>
      </c>
      <c r="V308" s="24"/>
      <c r="W308" s="14">
        <f>S308+T308/2+U308+P308</f>
        <v>263.22812565886568</v>
      </c>
      <c r="Y308">
        <v>0</v>
      </c>
      <c r="Z308" t="s">
        <v>650</v>
      </c>
      <c r="AA308">
        <v>572</v>
      </c>
      <c r="AB308">
        <v>561</v>
      </c>
      <c r="AC308">
        <v>880</v>
      </c>
    </row>
    <row r="309" spans="1:29">
      <c r="A309" t="s">
        <v>234</v>
      </c>
      <c r="B309" t="s">
        <v>236</v>
      </c>
      <c r="C309">
        <v>204</v>
      </c>
      <c r="D309" t="s">
        <v>34</v>
      </c>
      <c r="E309" s="1">
        <v>72</v>
      </c>
      <c r="F309">
        <v>190</v>
      </c>
      <c r="G309" s="1">
        <v>19</v>
      </c>
      <c r="H309" t="s">
        <v>41</v>
      </c>
      <c r="I309" t="s">
        <v>44</v>
      </c>
      <c r="J309" s="2">
        <v>54</v>
      </c>
      <c r="K309" s="23">
        <v>40.127659574468083</v>
      </c>
      <c r="L309" s="23">
        <v>76.765957446808514</v>
      </c>
      <c r="M309" s="23">
        <v>13.957446808510637</v>
      </c>
      <c r="N309" s="5" t="s">
        <v>608</v>
      </c>
      <c r="O309" s="2" t="s">
        <v>651</v>
      </c>
      <c r="P309" s="23">
        <v>69.810810810810807</v>
      </c>
      <c r="Q309" s="14">
        <v>19.86159169550173</v>
      </c>
      <c r="R309" s="14">
        <v>23.26643598615917</v>
      </c>
      <c r="S309" s="14">
        <v>43.128027681660903</v>
      </c>
      <c r="T309" s="14">
        <v>33.48096885813149</v>
      </c>
      <c r="U309" s="14">
        <v>132.97297297297297</v>
      </c>
      <c r="V309" s="24"/>
      <c r="W309" s="14">
        <f>S309+T309/2+U309+P309</f>
        <v>262.65229589451042</v>
      </c>
      <c r="Y309">
        <v>0</v>
      </c>
      <c r="Z309" t="s">
        <v>650</v>
      </c>
      <c r="AA309">
        <v>252</v>
      </c>
      <c r="AB309">
        <v>296</v>
      </c>
      <c r="AC309">
        <v>480</v>
      </c>
    </row>
    <row r="310" spans="1:29">
      <c r="A310" t="s">
        <v>266</v>
      </c>
      <c r="B310" t="s">
        <v>268</v>
      </c>
      <c r="C310">
        <v>75</v>
      </c>
      <c r="D310" t="s">
        <v>66</v>
      </c>
      <c r="E310" s="1">
        <v>75</v>
      </c>
      <c r="F310">
        <v>196</v>
      </c>
      <c r="G310" s="1">
        <v>18</v>
      </c>
      <c r="H310" t="s">
        <v>41</v>
      </c>
      <c r="I310" t="s">
        <v>44</v>
      </c>
      <c r="J310" s="2">
        <f>12+7+4+24</f>
        <v>47</v>
      </c>
      <c r="K310" s="23">
        <v>26.170212765957448</v>
      </c>
      <c r="L310" s="23">
        <v>40.127659574468083</v>
      </c>
      <c r="M310" s="23">
        <v>66.297872340425528</v>
      </c>
      <c r="N310" s="5" t="s">
        <v>66</v>
      </c>
      <c r="O310" s="2" t="s">
        <v>651</v>
      </c>
      <c r="P310" s="23">
        <v>60.8</v>
      </c>
      <c r="Q310" s="14">
        <v>19.050505050505052</v>
      </c>
      <c r="R310" s="14">
        <v>29.81818181818182</v>
      </c>
      <c r="S310" s="14">
        <v>48.868686868686872</v>
      </c>
      <c r="T310" s="14">
        <v>22.363636363636363</v>
      </c>
      <c r="U310" s="14">
        <v>141.19999999999999</v>
      </c>
      <c r="V310" s="24"/>
      <c r="W310" s="14">
        <f>S310+T310/2+U310+P310</f>
        <v>262.05050505050502</v>
      </c>
      <c r="Y310">
        <v>1</v>
      </c>
      <c r="Z310" t="s">
        <v>650</v>
      </c>
      <c r="AA310">
        <v>152</v>
      </c>
      <c r="AB310">
        <v>205</v>
      </c>
      <c r="AC310">
        <v>353</v>
      </c>
    </row>
    <row r="311" spans="1:29">
      <c r="A311" s="6" t="s">
        <v>69</v>
      </c>
      <c r="B311" t="s">
        <v>75</v>
      </c>
      <c r="C311">
        <v>29</v>
      </c>
      <c r="D311" t="s">
        <v>38</v>
      </c>
      <c r="E311" s="1">
        <v>72</v>
      </c>
      <c r="F311">
        <v>193</v>
      </c>
      <c r="G311" s="1">
        <v>18</v>
      </c>
      <c r="H311" t="s">
        <v>42</v>
      </c>
      <c r="I311" t="s">
        <v>43</v>
      </c>
      <c r="J311" s="2">
        <v>71</v>
      </c>
      <c r="K311" s="23">
        <v>15.702127659574469</v>
      </c>
      <c r="L311" s="23">
        <v>68.042553191489361</v>
      </c>
      <c r="M311" s="23">
        <v>66.297872340425528</v>
      </c>
      <c r="N311" s="3" t="s">
        <v>599</v>
      </c>
      <c r="O311" s="2" t="s">
        <v>651</v>
      </c>
      <c r="P311" s="23">
        <v>91.939393939393938</v>
      </c>
      <c r="Q311" s="14">
        <v>2.7796610169491527</v>
      </c>
      <c r="R311" s="14">
        <v>23.627118644067799</v>
      </c>
      <c r="S311" s="14">
        <v>26.406779661016952</v>
      </c>
      <c r="T311" s="14">
        <v>41.694915254237287</v>
      </c>
      <c r="U311" s="14">
        <v>121.75757575757576</v>
      </c>
      <c r="V311" s="24">
        <v>-4.5454545454545456E-2</v>
      </c>
      <c r="W311" s="14">
        <f>S311+T311/2+U311+P311</f>
        <v>260.95120698510527</v>
      </c>
      <c r="X311" s="22">
        <v>4</v>
      </c>
      <c r="Y311">
        <v>0</v>
      </c>
      <c r="Z311" t="s">
        <v>651</v>
      </c>
      <c r="AA311">
        <v>74</v>
      </c>
      <c r="AB311">
        <v>66</v>
      </c>
      <c r="AC311">
        <v>98</v>
      </c>
    </row>
    <row r="312" spans="1:29">
      <c r="A312" s="6" t="s">
        <v>102</v>
      </c>
      <c r="B312" t="s">
        <v>118</v>
      </c>
      <c r="C312">
        <v>6</v>
      </c>
      <c r="D312" t="s">
        <v>35</v>
      </c>
      <c r="E312" s="1">
        <v>75</v>
      </c>
      <c r="F312">
        <v>195</v>
      </c>
      <c r="G312" s="1">
        <v>18</v>
      </c>
      <c r="H312" t="s">
        <v>41</v>
      </c>
      <c r="I312" t="s">
        <v>43</v>
      </c>
      <c r="J312" s="2">
        <v>20</v>
      </c>
      <c r="K312" s="23">
        <v>19.191489361702128</v>
      </c>
      <c r="L312" s="23">
        <v>15.702127659574469</v>
      </c>
      <c r="M312" s="23">
        <v>31.404255319148938</v>
      </c>
      <c r="N312" s="5" t="s">
        <v>599</v>
      </c>
      <c r="O312" s="2" t="s">
        <v>651</v>
      </c>
      <c r="P312" s="23">
        <v>96.991189427312776</v>
      </c>
      <c r="Q312" s="14">
        <v>15.9241071428571</v>
      </c>
      <c r="R312" s="14">
        <v>15.191964285714285</v>
      </c>
      <c r="S312" s="14">
        <v>31.116071428571427</v>
      </c>
      <c r="T312" s="14">
        <v>37.339285714285715</v>
      </c>
      <c r="U312" s="14">
        <v>113.96916299559471</v>
      </c>
      <c r="V312" s="24"/>
      <c r="W312" s="14">
        <f>S312+T312/2+U312+P312</f>
        <v>260.74606670862181</v>
      </c>
      <c r="Y312">
        <v>0</v>
      </c>
      <c r="Z312" t="s">
        <v>650</v>
      </c>
      <c r="AA312">
        <v>537</v>
      </c>
      <c r="AB312">
        <v>454</v>
      </c>
      <c r="AC312">
        <v>631</v>
      </c>
    </row>
    <row r="313" spans="1:29">
      <c r="A313" t="s">
        <v>234</v>
      </c>
      <c r="B313" t="s">
        <v>249</v>
      </c>
      <c r="C313">
        <v>18</v>
      </c>
      <c r="D313" t="s">
        <v>38</v>
      </c>
      <c r="E313" s="1">
        <v>71</v>
      </c>
      <c r="F313">
        <v>191</v>
      </c>
      <c r="G313" s="1">
        <v>18</v>
      </c>
      <c r="H313" t="s">
        <v>41</v>
      </c>
      <c r="I313" t="s">
        <v>44</v>
      </c>
      <c r="J313" s="2">
        <v>40</v>
      </c>
      <c r="K313" s="23">
        <v>19.191489361702128</v>
      </c>
      <c r="L313" s="23">
        <v>12.212765957446807</v>
      </c>
      <c r="M313" s="23">
        <v>10.468085106382977</v>
      </c>
      <c r="N313" s="3" t="s">
        <v>615</v>
      </c>
      <c r="O313" s="2" t="s">
        <v>651</v>
      </c>
      <c r="P313" s="23">
        <v>28.319587628865978</v>
      </c>
      <c r="Q313" s="14">
        <v>17.433070866141733</v>
      </c>
      <c r="R313" s="14">
        <v>35.296587926509183</v>
      </c>
      <c r="S313" s="14">
        <v>52.729658792650916</v>
      </c>
      <c r="T313" s="14">
        <v>14.63517060367454</v>
      </c>
      <c r="U313" s="14">
        <v>169.91752577319591</v>
      </c>
      <c r="V313" s="24"/>
      <c r="W313" s="14">
        <f>S313+T313/2+U313+P313</f>
        <v>258.28435749655006</v>
      </c>
      <c r="Y313">
        <v>1</v>
      </c>
      <c r="Z313" t="s">
        <v>650</v>
      </c>
      <c r="AA313">
        <v>134</v>
      </c>
      <c r="AB313">
        <v>388</v>
      </c>
      <c r="AC313">
        <v>804</v>
      </c>
    </row>
    <row r="314" spans="1:29">
      <c r="A314" t="s">
        <v>322</v>
      </c>
      <c r="B314" t="s">
        <v>325</v>
      </c>
      <c r="C314">
        <v>18</v>
      </c>
      <c r="D314" t="s">
        <v>34</v>
      </c>
      <c r="E314" s="1">
        <v>73</v>
      </c>
      <c r="F314">
        <v>225</v>
      </c>
      <c r="G314" s="1">
        <v>18</v>
      </c>
      <c r="H314" t="s">
        <v>42</v>
      </c>
      <c r="I314" t="s">
        <v>44</v>
      </c>
      <c r="J314" s="2">
        <f>42+16+7</f>
        <v>65</v>
      </c>
      <c r="K314" s="23">
        <v>20.936170212765955</v>
      </c>
      <c r="L314" s="23">
        <v>33.148936170212764</v>
      </c>
      <c r="M314" s="23">
        <v>122.12765957446808</v>
      </c>
      <c r="N314" s="5" t="s">
        <v>608</v>
      </c>
      <c r="O314" s="2" t="s">
        <v>651</v>
      </c>
      <c r="P314" s="23">
        <v>110.97991967871485</v>
      </c>
      <c r="Q314" s="14">
        <v>3.6592292089249492</v>
      </c>
      <c r="R314" s="14">
        <v>16.133874239350913</v>
      </c>
      <c r="S314" s="14">
        <v>19.793103448275861</v>
      </c>
      <c r="T314" s="14">
        <v>81.667342799188646</v>
      </c>
      <c r="U314" s="14">
        <v>86.281124497991968</v>
      </c>
      <c r="V314" s="24">
        <v>0.16901408450704225</v>
      </c>
      <c r="W314" s="14">
        <f>S314+T314/2+U314+P314</f>
        <v>257.88781902457697</v>
      </c>
      <c r="X314" s="22">
        <v>-5</v>
      </c>
      <c r="Y314">
        <v>0</v>
      </c>
      <c r="Z314" t="s">
        <v>650</v>
      </c>
      <c r="AA314">
        <v>674</v>
      </c>
      <c r="AB314">
        <v>498</v>
      </c>
      <c r="AC314">
        <v>524</v>
      </c>
    </row>
    <row r="315" spans="1:29">
      <c r="A315" t="s">
        <v>461</v>
      </c>
      <c r="B315" t="s">
        <v>464</v>
      </c>
      <c r="C315">
        <v>38</v>
      </c>
      <c r="D315" t="s">
        <v>35</v>
      </c>
      <c r="E315" s="1">
        <v>76</v>
      </c>
      <c r="F315">
        <v>208</v>
      </c>
      <c r="G315" s="1">
        <v>19</v>
      </c>
      <c r="H315" t="s">
        <v>41</v>
      </c>
      <c r="I315" t="s">
        <v>43</v>
      </c>
      <c r="J315" s="2">
        <v>56</v>
      </c>
      <c r="K315" s="23">
        <v>29.659574468085108</v>
      </c>
      <c r="L315" s="23">
        <v>57.574468085106382</v>
      </c>
      <c r="M315" s="23">
        <v>176.21276595744681</v>
      </c>
      <c r="N315" s="3" t="s">
        <v>608</v>
      </c>
      <c r="O315" s="2" t="s">
        <v>651</v>
      </c>
      <c r="P315" s="23">
        <v>89.345833333333331</v>
      </c>
      <c r="Q315" s="14">
        <v>14.185654008438819</v>
      </c>
      <c r="R315" s="14">
        <v>14.70464135021097</v>
      </c>
      <c r="S315" s="14">
        <v>28.890295358649787</v>
      </c>
      <c r="T315" s="14">
        <v>47.054852320675103</v>
      </c>
      <c r="U315" s="14">
        <v>115.3125</v>
      </c>
      <c r="V315" s="24"/>
      <c r="W315" s="14">
        <f>S315+T315/2+U315+P315</f>
        <v>257.07605485232068</v>
      </c>
      <c r="Y315">
        <v>0</v>
      </c>
      <c r="Z315" t="s">
        <v>650</v>
      </c>
      <c r="AA315">
        <v>523</v>
      </c>
      <c r="AB315">
        <v>480</v>
      </c>
      <c r="AC315">
        <v>675</v>
      </c>
    </row>
    <row r="316" spans="1:29">
      <c r="A316" s="6" t="s">
        <v>17</v>
      </c>
      <c r="B316" t="s">
        <v>21</v>
      </c>
      <c r="C316">
        <v>37</v>
      </c>
      <c r="D316" t="s">
        <v>34</v>
      </c>
      <c r="E316" s="1">
        <v>77</v>
      </c>
      <c r="F316">
        <v>212</v>
      </c>
      <c r="G316" s="1">
        <v>19</v>
      </c>
      <c r="H316" t="s">
        <v>42</v>
      </c>
      <c r="I316" t="s">
        <v>43</v>
      </c>
      <c r="J316" s="2">
        <f>68</f>
        <v>68</v>
      </c>
      <c r="K316" s="23">
        <v>6.9787234042553186</v>
      </c>
      <c r="L316" s="23">
        <v>38.382978723404257</v>
      </c>
      <c r="M316" s="23">
        <v>157.02127659574469</v>
      </c>
      <c r="N316" s="3" t="s">
        <v>599</v>
      </c>
      <c r="O316" s="2" t="s">
        <v>651</v>
      </c>
      <c r="P316" s="23">
        <v>115.05426356589147</v>
      </c>
      <c r="Q316" s="14">
        <v>3.253968253968254</v>
      </c>
      <c r="R316" s="14">
        <v>9.4365079365079367</v>
      </c>
      <c r="S316" s="14">
        <v>12.690476190476192</v>
      </c>
      <c r="T316" s="14">
        <v>50.436507936507937</v>
      </c>
      <c r="U316" s="14">
        <v>103.6124031007752</v>
      </c>
      <c r="V316" s="24">
        <v>0.19379844961240311</v>
      </c>
      <c r="W316" s="14">
        <f>S316+T316/2+U316+P316</f>
        <v>256.57539682539681</v>
      </c>
      <c r="X316" s="22">
        <v>-34</v>
      </c>
      <c r="Y316">
        <v>0</v>
      </c>
      <c r="Z316" t="s">
        <v>650</v>
      </c>
      <c r="AA316">
        <v>362</v>
      </c>
      <c r="AB316">
        <v>258</v>
      </c>
      <c r="AC316">
        <v>326</v>
      </c>
    </row>
    <row r="317" spans="1:29">
      <c r="A317" t="s">
        <v>397</v>
      </c>
      <c r="B317" t="s">
        <v>401</v>
      </c>
      <c r="C317">
        <v>29</v>
      </c>
      <c r="D317" t="s">
        <v>35</v>
      </c>
      <c r="E317" s="1">
        <v>74</v>
      </c>
      <c r="F317">
        <v>200</v>
      </c>
      <c r="G317" s="1">
        <v>18</v>
      </c>
      <c r="H317" t="s">
        <v>41</v>
      </c>
      <c r="I317" t="s">
        <v>44</v>
      </c>
      <c r="J317" s="2">
        <v>69</v>
      </c>
      <c r="K317" s="23">
        <v>31.404255319148938</v>
      </c>
      <c r="L317" s="23">
        <v>52.340425531914896</v>
      </c>
      <c r="M317" s="23">
        <v>61.063829787234042</v>
      </c>
      <c r="N317" s="5" t="s">
        <v>600</v>
      </c>
      <c r="O317" s="2" t="s">
        <v>651</v>
      </c>
      <c r="P317" s="23">
        <v>123</v>
      </c>
      <c r="Q317" s="14">
        <v>7.935483870967742</v>
      </c>
      <c r="R317" s="14">
        <v>14.548387096774192</v>
      </c>
      <c r="S317" s="14">
        <v>22.483870967741936</v>
      </c>
      <c r="T317" s="14">
        <v>27.774193548387096</v>
      </c>
      <c r="U317" s="14">
        <v>96.507692307692309</v>
      </c>
      <c r="V317" s="24"/>
      <c r="W317" s="14">
        <f>S317+T317/2+U317+P317</f>
        <v>255.8786600496278</v>
      </c>
      <c r="Y317">
        <v>0</v>
      </c>
      <c r="Z317" t="s">
        <v>650</v>
      </c>
      <c r="AA317">
        <v>195</v>
      </c>
      <c r="AB317">
        <v>130</v>
      </c>
      <c r="AC317">
        <v>153</v>
      </c>
    </row>
    <row r="318" spans="1:29">
      <c r="A318" s="6" t="s">
        <v>135</v>
      </c>
      <c r="B318" t="s">
        <v>136</v>
      </c>
      <c r="C318">
        <v>8</v>
      </c>
      <c r="D318" t="s">
        <v>64</v>
      </c>
      <c r="E318" s="1">
        <v>72</v>
      </c>
      <c r="F318">
        <v>210</v>
      </c>
      <c r="G318" s="1">
        <v>19</v>
      </c>
      <c r="H318" t="s">
        <v>41</v>
      </c>
      <c r="I318" t="s">
        <v>44</v>
      </c>
      <c r="J318" s="2">
        <v>68</v>
      </c>
      <c r="K318" s="23">
        <v>54.085106382978722</v>
      </c>
      <c r="L318" s="23">
        <v>83.744680851063819</v>
      </c>
      <c r="M318" s="23">
        <v>27.914893617021274</v>
      </c>
      <c r="N318" s="5" t="s">
        <v>600</v>
      </c>
      <c r="O318" s="2" t="s">
        <v>651</v>
      </c>
      <c r="P318" s="23">
        <v>83.769784172661872</v>
      </c>
      <c r="Q318" s="14">
        <v>13.706051873198847</v>
      </c>
      <c r="R318" s="14">
        <v>24.576368876080693</v>
      </c>
      <c r="S318" s="14">
        <v>38.282420749279538</v>
      </c>
      <c r="T318" s="14">
        <v>13.706051873198847</v>
      </c>
      <c r="U318" s="14">
        <v>126.95251798561152</v>
      </c>
      <c r="V318" s="24"/>
      <c r="W318" s="14">
        <f>S318+T318/2+U318+P318</f>
        <v>255.85774884415235</v>
      </c>
      <c r="Y318">
        <v>0</v>
      </c>
      <c r="Z318" t="s">
        <v>650</v>
      </c>
      <c r="AA318">
        <v>710</v>
      </c>
      <c r="AB318">
        <v>695</v>
      </c>
      <c r="AC318">
        <v>1076</v>
      </c>
    </row>
    <row r="319" spans="1:29">
      <c r="A319" t="s">
        <v>266</v>
      </c>
      <c r="B319" t="s">
        <v>271</v>
      </c>
      <c r="C319">
        <v>157</v>
      </c>
      <c r="D319" t="s">
        <v>65</v>
      </c>
      <c r="E319" s="1">
        <v>73</v>
      </c>
      <c r="F319">
        <v>192</v>
      </c>
      <c r="G319" s="1">
        <v>19</v>
      </c>
      <c r="H319" t="s">
        <v>41</v>
      </c>
      <c r="I319" t="s">
        <v>43</v>
      </c>
      <c r="J319" s="2">
        <v>2</v>
      </c>
      <c r="K319" s="23">
        <v>0</v>
      </c>
      <c r="L319" s="23">
        <v>0</v>
      </c>
      <c r="M319" s="23">
        <v>0</v>
      </c>
      <c r="N319" s="5" t="s">
        <v>65</v>
      </c>
      <c r="O319" s="2" t="s">
        <v>651</v>
      </c>
      <c r="P319" s="23">
        <v>133.84656084656086</v>
      </c>
      <c r="Q319" s="14">
        <v>9.9460916442048521</v>
      </c>
      <c r="R319" s="14">
        <v>17.902964959568731</v>
      </c>
      <c r="S319" s="14">
        <v>27.849056603773583</v>
      </c>
      <c r="T319" s="14">
        <v>22.986522911051214</v>
      </c>
      <c r="U319" s="14">
        <v>81.566137566137556</v>
      </c>
      <c r="V319" s="24"/>
      <c r="W319" s="14">
        <f>S319+T319/2+U319+P319</f>
        <v>254.75501647199761</v>
      </c>
      <c r="Y319">
        <v>0</v>
      </c>
      <c r="Z319" t="s">
        <v>650</v>
      </c>
      <c r="AA319">
        <v>617</v>
      </c>
      <c r="AB319">
        <v>378</v>
      </c>
      <c r="AC319">
        <v>376</v>
      </c>
    </row>
    <row r="320" spans="1:29">
      <c r="A320" s="6" t="s">
        <v>69</v>
      </c>
      <c r="B320" t="s">
        <v>76</v>
      </c>
      <c r="C320">
        <v>56</v>
      </c>
      <c r="D320" t="s">
        <v>65</v>
      </c>
      <c r="E320" s="1">
        <v>71</v>
      </c>
      <c r="F320">
        <v>198</v>
      </c>
      <c r="G320" s="1">
        <v>18</v>
      </c>
      <c r="H320" t="s">
        <v>41</v>
      </c>
      <c r="I320" t="s">
        <v>44</v>
      </c>
      <c r="J320" s="2">
        <v>49</v>
      </c>
      <c r="K320" s="23">
        <v>38.382978723404257</v>
      </c>
      <c r="L320" s="23">
        <v>48.851063829787229</v>
      </c>
      <c r="M320" s="23">
        <v>143.06382978723406</v>
      </c>
      <c r="N320" s="3" t="s">
        <v>65</v>
      </c>
      <c r="O320" s="2" t="s">
        <v>651</v>
      </c>
      <c r="P320" s="23">
        <v>120.23595505617976</v>
      </c>
      <c r="Q320" s="14">
        <v>7.9885386819484241</v>
      </c>
      <c r="R320" s="14">
        <v>11.277936962750717</v>
      </c>
      <c r="S320" s="14">
        <v>19.266475644699142</v>
      </c>
      <c r="T320" s="14">
        <v>41.352435530085963</v>
      </c>
      <c r="U320" s="14">
        <v>94.438202247191015</v>
      </c>
      <c r="V320" s="24"/>
      <c r="W320" s="14">
        <f>S320+T320/2+U320+P320</f>
        <v>254.61685071311291</v>
      </c>
      <c r="Y320">
        <v>0</v>
      </c>
      <c r="Z320" t="s">
        <v>650</v>
      </c>
      <c r="AA320">
        <v>522</v>
      </c>
      <c r="AB320">
        <v>356</v>
      </c>
      <c r="AC320">
        <v>410</v>
      </c>
    </row>
    <row r="321" spans="1:29">
      <c r="A321" t="s">
        <v>220</v>
      </c>
      <c r="B321" t="s">
        <v>221</v>
      </c>
      <c r="C321">
        <v>201</v>
      </c>
      <c r="D321" t="s">
        <v>34</v>
      </c>
      <c r="E321" s="1">
        <v>74</v>
      </c>
      <c r="F321">
        <v>205</v>
      </c>
      <c r="G321" s="1">
        <v>20</v>
      </c>
      <c r="H321" t="s">
        <v>42</v>
      </c>
      <c r="I321" t="s">
        <v>43</v>
      </c>
      <c r="J321" s="2">
        <v>39</v>
      </c>
      <c r="K321" s="23">
        <v>6.9787234042553186</v>
      </c>
      <c r="L321" s="23">
        <v>17.446808510638299</v>
      </c>
      <c r="M321" s="23">
        <v>34.893617021276597</v>
      </c>
      <c r="N321" s="3" t="s">
        <v>611</v>
      </c>
      <c r="O321" s="2" t="s">
        <v>651</v>
      </c>
      <c r="P321" s="23">
        <v>104.98582677165355</v>
      </c>
      <c r="Q321" s="14">
        <v>3.1287758346581875</v>
      </c>
      <c r="R321" s="14">
        <v>17.338632750397455</v>
      </c>
      <c r="S321" s="14">
        <v>20.467408585055644</v>
      </c>
      <c r="T321" s="14">
        <v>30.244833068362478</v>
      </c>
      <c r="U321" s="14">
        <v>114.02519685039371</v>
      </c>
      <c r="V321" s="24">
        <v>2.2047244094488189E-2</v>
      </c>
      <c r="W321" s="14">
        <f>S321+T321/2+U321+P321</f>
        <v>254.60084874128415</v>
      </c>
      <c r="X321" s="22">
        <v>-3</v>
      </c>
      <c r="Y321">
        <v>0</v>
      </c>
      <c r="Z321" t="s">
        <v>650</v>
      </c>
      <c r="AA321">
        <v>813</v>
      </c>
      <c r="AB321">
        <v>635</v>
      </c>
      <c r="AC321">
        <v>883</v>
      </c>
    </row>
    <row r="322" spans="1:29">
      <c r="A322" t="s">
        <v>445</v>
      </c>
      <c r="B322" t="s">
        <v>447</v>
      </c>
      <c r="C322">
        <v>56</v>
      </c>
      <c r="D322" t="s">
        <v>34</v>
      </c>
      <c r="E322" s="1">
        <v>72</v>
      </c>
      <c r="F322">
        <v>193</v>
      </c>
      <c r="G322" s="1">
        <v>18</v>
      </c>
      <c r="H322" t="s">
        <v>41</v>
      </c>
      <c r="I322" t="s">
        <v>44</v>
      </c>
      <c r="J322" s="2">
        <v>43</v>
      </c>
      <c r="K322" s="23">
        <v>80.255319148936167</v>
      </c>
      <c r="L322" s="23">
        <v>87.234042553191486</v>
      </c>
      <c r="M322" s="23">
        <v>57.574468085106382</v>
      </c>
      <c r="N322" s="3" t="s">
        <v>631</v>
      </c>
      <c r="O322" s="2" t="s">
        <v>651</v>
      </c>
      <c r="P322" s="23">
        <v>42.322580645161288</v>
      </c>
      <c r="Q322" s="14">
        <v>14.909090909090908</v>
      </c>
      <c r="R322" s="14">
        <v>19.568181818181817</v>
      </c>
      <c r="S322" s="14">
        <v>34.477272727272727</v>
      </c>
      <c r="T322" s="14">
        <v>9.3181818181818183</v>
      </c>
      <c r="U322" s="14">
        <v>172.81720430107526</v>
      </c>
      <c r="V322" s="24"/>
      <c r="W322" s="14">
        <f>S322+T322/2+U322+P322</f>
        <v>254.27614858260017</v>
      </c>
      <c r="Y322">
        <v>0</v>
      </c>
      <c r="Z322" t="s">
        <v>650</v>
      </c>
      <c r="AA322">
        <v>48</v>
      </c>
      <c r="AB322">
        <v>93</v>
      </c>
      <c r="AC322">
        <v>196</v>
      </c>
    </row>
    <row r="323" spans="1:29">
      <c r="A323" s="6" t="s">
        <v>102</v>
      </c>
      <c r="B323" t="s">
        <v>114</v>
      </c>
      <c r="C323">
        <v>216</v>
      </c>
      <c r="D323" t="s">
        <v>65</v>
      </c>
      <c r="E323" s="1">
        <v>71</v>
      </c>
      <c r="F323">
        <v>190</v>
      </c>
      <c r="G323" s="1">
        <v>19</v>
      </c>
      <c r="H323" t="s">
        <v>42</v>
      </c>
      <c r="I323" t="s">
        <v>43</v>
      </c>
      <c r="J323" s="2">
        <v>91</v>
      </c>
      <c r="K323" s="23">
        <v>33.148936170212764</v>
      </c>
      <c r="L323" s="23">
        <v>34.893617021276597</v>
      </c>
      <c r="M323" s="23">
        <v>129.10638297872342</v>
      </c>
      <c r="N323" s="5" t="s">
        <v>606</v>
      </c>
      <c r="O323" s="2" t="s">
        <v>651</v>
      </c>
      <c r="P323" s="23">
        <v>94.680412371134011</v>
      </c>
      <c r="Q323" s="14">
        <v>4.9987029831387808</v>
      </c>
      <c r="R323" s="14">
        <v>21.483787289234758</v>
      </c>
      <c r="S323" s="14">
        <v>26.482490272373539</v>
      </c>
      <c r="T323" s="14">
        <v>26.907911802853437</v>
      </c>
      <c r="U323" s="14">
        <v>119.30154639175257</v>
      </c>
      <c r="V323" s="24">
        <v>8.3762886597938138E-2</v>
      </c>
      <c r="W323" s="14">
        <f>S323+T323/2+U323+P323</f>
        <v>253.91840493668684</v>
      </c>
      <c r="X323" s="22">
        <v>4</v>
      </c>
      <c r="Y323">
        <v>0</v>
      </c>
      <c r="Z323" t="s">
        <v>650</v>
      </c>
      <c r="AA323">
        <v>896</v>
      </c>
      <c r="AB323">
        <v>776</v>
      </c>
      <c r="AC323">
        <v>1129</v>
      </c>
    </row>
    <row r="324" spans="1:29">
      <c r="A324" t="s">
        <v>266</v>
      </c>
      <c r="B324" t="s">
        <v>280</v>
      </c>
      <c r="C324">
        <v>27</v>
      </c>
      <c r="D324" t="s">
        <v>35</v>
      </c>
      <c r="E324" s="1">
        <v>74</v>
      </c>
      <c r="F324">
        <v>195</v>
      </c>
      <c r="G324" s="1">
        <v>18</v>
      </c>
      <c r="H324" t="s">
        <v>42</v>
      </c>
      <c r="I324" t="s">
        <v>44</v>
      </c>
      <c r="J324" s="2">
        <v>39</v>
      </c>
      <c r="K324" s="23">
        <v>20.936170212765955</v>
      </c>
      <c r="L324" s="23">
        <v>41.87234042553191</v>
      </c>
      <c r="M324" s="23">
        <v>157.02127659574469</v>
      </c>
      <c r="N324" s="3" t="s">
        <v>626</v>
      </c>
      <c r="O324" s="2" t="s">
        <v>651</v>
      </c>
      <c r="P324" s="23">
        <v>94.615384615384613</v>
      </c>
      <c r="Q324" s="14">
        <v>4.1471264367816092</v>
      </c>
      <c r="R324" s="14">
        <v>13.949425287356322</v>
      </c>
      <c r="S324" s="14">
        <v>18.096551724137932</v>
      </c>
      <c r="T324" s="14">
        <v>88.03218390804598</v>
      </c>
      <c r="U324" s="14">
        <v>97.027149321266975</v>
      </c>
      <c r="V324" s="24">
        <v>-2.0361990950226245E-2</v>
      </c>
      <c r="W324" s="14">
        <f>S324+T324/2+U324+P324</f>
        <v>253.75517761481251</v>
      </c>
      <c r="X324" s="22">
        <v>-9</v>
      </c>
      <c r="Y324">
        <v>0</v>
      </c>
      <c r="Z324" t="s">
        <v>651</v>
      </c>
      <c r="AA324">
        <v>510</v>
      </c>
      <c r="AB324">
        <v>442</v>
      </c>
      <c r="AC324">
        <v>523</v>
      </c>
    </row>
    <row r="325" spans="1:29">
      <c r="A325" s="6" t="s">
        <v>69</v>
      </c>
      <c r="B325" t="s">
        <v>83</v>
      </c>
      <c r="C325">
        <v>66</v>
      </c>
      <c r="D325" t="s">
        <v>34</v>
      </c>
      <c r="E325" s="1">
        <v>75</v>
      </c>
      <c r="F325">
        <v>199</v>
      </c>
      <c r="G325" s="1">
        <v>19</v>
      </c>
      <c r="H325" t="s">
        <v>41</v>
      </c>
      <c r="I325" t="s">
        <v>44</v>
      </c>
      <c r="J325" s="2">
        <v>48</v>
      </c>
      <c r="K325" s="23">
        <v>88.978723404255305</v>
      </c>
      <c r="L325" s="23">
        <v>75.021276595744681</v>
      </c>
      <c r="M325" s="23">
        <v>90.723404255319153</v>
      </c>
      <c r="N325" s="5" t="s">
        <v>632</v>
      </c>
      <c r="O325" s="2" t="s">
        <v>651</v>
      </c>
      <c r="P325" s="23">
        <v>73.95471698113208</v>
      </c>
      <c r="Q325" s="14">
        <v>15.891472868217054</v>
      </c>
      <c r="R325" s="14">
        <v>13.348837209302326</v>
      </c>
      <c r="S325" s="14">
        <v>29.240310077519382</v>
      </c>
      <c r="T325" s="14">
        <v>23.519379844961239</v>
      </c>
      <c r="U325" s="14">
        <v>138.62641509433962</v>
      </c>
      <c r="V325" s="24"/>
      <c r="W325" s="14">
        <f>S325+T325/2+U325+P325</f>
        <v>253.58113207547171</v>
      </c>
      <c r="Y325">
        <v>0</v>
      </c>
      <c r="Z325" t="s">
        <v>650</v>
      </c>
      <c r="AA325">
        <v>239</v>
      </c>
      <c r="AB325">
        <v>265</v>
      </c>
      <c r="AC325">
        <v>448</v>
      </c>
    </row>
    <row r="326" spans="1:29">
      <c r="A326" t="s">
        <v>169</v>
      </c>
      <c r="B326" t="s">
        <v>185</v>
      </c>
      <c r="C326">
        <v>13</v>
      </c>
      <c r="D326" t="s">
        <v>37</v>
      </c>
      <c r="E326" s="1">
        <v>72</v>
      </c>
      <c r="F326">
        <v>197</v>
      </c>
      <c r="G326" s="1">
        <v>18</v>
      </c>
      <c r="H326" t="s">
        <v>41</v>
      </c>
      <c r="I326" t="s">
        <v>44</v>
      </c>
      <c r="J326" s="2">
        <f>25+7+4+24+1+24+8+5</f>
        <v>98</v>
      </c>
      <c r="K326" s="23">
        <v>80.255319148936167</v>
      </c>
      <c r="L326" s="23">
        <v>48.851063829787229</v>
      </c>
      <c r="M326" s="23">
        <v>108.17021276595744</v>
      </c>
      <c r="N326" s="5" t="s">
        <v>618</v>
      </c>
      <c r="O326" s="2" t="s">
        <v>651</v>
      </c>
      <c r="P326" s="23">
        <v>37.417475728155338</v>
      </c>
      <c r="Q326" s="14">
        <v>20.5</v>
      </c>
      <c r="R326" s="14">
        <v>19.68</v>
      </c>
      <c r="S326" s="14">
        <v>40.18</v>
      </c>
      <c r="T326" s="14">
        <v>20.91</v>
      </c>
      <c r="U326" s="14">
        <v>165.19417475728156</v>
      </c>
      <c r="V326" s="24"/>
      <c r="W326" s="14">
        <f>S326+T326/2+U326+P326</f>
        <v>253.24665048543687</v>
      </c>
      <c r="Y326">
        <v>0</v>
      </c>
      <c r="Z326" t="s">
        <v>650</v>
      </c>
      <c r="AA326">
        <v>94</v>
      </c>
      <c r="AB326">
        <v>206</v>
      </c>
      <c r="AC326">
        <v>415</v>
      </c>
    </row>
    <row r="327" spans="1:29">
      <c r="A327" t="s">
        <v>306</v>
      </c>
      <c r="B327" t="s">
        <v>313</v>
      </c>
      <c r="C327">
        <v>67</v>
      </c>
      <c r="D327" t="s">
        <v>34</v>
      </c>
      <c r="E327" s="1">
        <v>74</v>
      </c>
      <c r="F327">
        <v>190</v>
      </c>
      <c r="G327" s="1">
        <v>18</v>
      </c>
      <c r="H327" t="s">
        <v>41</v>
      </c>
      <c r="I327" t="s">
        <v>44</v>
      </c>
      <c r="J327" s="2">
        <v>18</v>
      </c>
      <c r="K327" s="23">
        <v>12.212765957446807</v>
      </c>
      <c r="L327" s="23">
        <v>13.957446808510637</v>
      </c>
      <c r="M327" s="23">
        <v>13.957446808510637</v>
      </c>
      <c r="N327" s="3" t="s">
        <v>638</v>
      </c>
      <c r="O327" s="2" t="s">
        <v>651</v>
      </c>
      <c r="P327" s="23">
        <v>134.03846153846155</v>
      </c>
      <c r="Q327" s="14">
        <v>9.1111111111111107</v>
      </c>
      <c r="R327" s="14">
        <v>7.2888888888888888</v>
      </c>
      <c r="S327" s="14">
        <v>16.399999999999999</v>
      </c>
      <c r="T327" s="14">
        <v>21.866666666666667</v>
      </c>
      <c r="U327" s="14">
        <v>91.461538461538467</v>
      </c>
      <c r="V327" s="24"/>
      <c r="W327" s="14">
        <f>S327+T327/2+U327+P327</f>
        <v>252.83333333333334</v>
      </c>
      <c r="Y327">
        <v>0</v>
      </c>
      <c r="Z327" t="s">
        <v>650</v>
      </c>
      <c r="AA327">
        <v>85</v>
      </c>
      <c r="AB327">
        <v>52</v>
      </c>
      <c r="AC327">
        <v>58</v>
      </c>
    </row>
    <row r="328" spans="1:29">
      <c r="A328" t="s">
        <v>525</v>
      </c>
      <c r="B328" t="s">
        <v>531</v>
      </c>
      <c r="C328">
        <v>5</v>
      </c>
      <c r="D328" t="s">
        <v>34</v>
      </c>
      <c r="E328" s="1">
        <v>75</v>
      </c>
      <c r="F328">
        <v>215</v>
      </c>
      <c r="G328" s="1">
        <v>18</v>
      </c>
      <c r="H328" t="s">
        <v>42</v>
      </c>
      <c r="I328" t="s">
        <v>44</v>
      </c>
      <c r="J328" s="2">
        <v>42</v>
      </c>
      <c r="K328" s="23">
        <v>8.7234042553191493</v>
      </c>
      <c r="L328" s="23">
        <v>34.893617021276597</v>
      </c>
      <c r="M328" s="23">
        <v>27.914893617021274</v>
      </c>
      <c r="N328" s="3" t="s">
        <v>611</v>
      </c>
      <c r="O328" s="2" t="s">
        <v>651</v>
      </c>
      <c r="P328" s="23">
        <v>79.879310344827587</v>
      </c>
      <c r="Q328" s="14">
        <v>6.1797101449275367</v>
      </c>
      <c r="R328" s="14">
        <v>23.055072463768116</v>
      </c>
      <c r="S328" s="14">
        <v>29.234782608695653</v>
      </c>
      <c r="T328" s="14">
        <v>19.727536231884059</v>
      </c>
      <c r="U328" s="14">
        <v>133.83908045977012</v>
      </c>
      <c r="V328" s="24">
        <v>-0.14080459770114942</v>
      </c>
      <c r="W328" s="14">
        <f>S328+T328/2+U328+P328</f>
        <v>252.81694152923538</v>
      </c>
      <c r="X328" s="22">
        <v>10</v>
      </c>
      <c r="Y328">
        <v>0</v>
      </c>
      <c r="Z328" t="s">
        <v>651</v>
      </c>
      <c r="AA328">
        <v>339</v>
      </c>
      <c r="AB328">
        <v>348</v>
      </c>
      <c r="AC328">
        <v>568</v>
      </c>
    </row>
    <row r="329" spans="1:29">
      <c r="A329" t="s">
        <v>478</v>
      </c>
      <c r="B329" t="s">
        <v>481</v>
      </c>
      <c r="C329">
        <v>186</v>
      </c>
      <c r="D329" t="s">
        <v>35</v>
      </c>
      <c r="E329" s="1">
        <v>73</v>
      </c>
      <c r="F329">
        <v>195</v>
      </c>
      <c r="G329" s="1">
        <v>20</v>
      </c>
      <c r="H329" t="s">
        <v>42</v>
      </c>
      <c r="I329" t="s">
        <v>43</v>
      </c>
      <c r="J329" s="2">
        <v>67</v>
      </c>
      <c r="K329" s="23">
        <v>15.702127659574469</v>
      </c>
      <c r="L329" s="23">
        <v>95.957446808510639</v>
      </c>
      <c r="M329" s="23">
        <v>158.7659574468085</v>
      </c>
      <c r="N329" s="5" t="s">
        <v>614</v>
      </c>
      <c r="O329" s="2" t="s">
        <v>651</v>
      </c>
      <c r="P329" s="23">
        <v>97.237795275590557</v>
      </c>
      <c r="Q329" s="14">
        <v>5.8664546899841019</v>
      </c>
      <c r="R329" s="14">
        <v>20.467408585055644</v>
      </c>
      <c r="S329" s="14">
        <v>26.333863275039747</v>
      </c>
      <c r="T329" s="14">
        <v>47.713831478537358</v>
      </c>
      <c r="U329" s="14">
        <v>105.24409448818898</v>
      </c>
      <c r="V329" s="24">
        <v>5.0393700787401574E-2</v>
      </c>
      <c r="W329" s="14">
        <f>S329+T329/2+U329+P329</f>
        <v>252.67266877808794</v>
      </c>
      <c r="X329" s="22">
        <v>3</v>
      </c>
      <c r="Y329">
        <v>0</v>
      </c>
      <c r="Z329" t="s">
        <v>650</v>
      </c>
      <c r="AA329">
        <v>753</v>
      </c>
      <c r="AB329">
        <v>635</v>
      </c>
      <c r="AC329">
        <v>815</v>
      </c>
    </row>
    <row r="330" spans="1:29">
      <c r="A330" s="6" t="s">
        <v>148</v>
      </c>
      <c r="B330" t="s">
        <v>163</v>
      </c>
      <c r="C330">
        <v>12</v>
      </c>
      <c r="D330" t="s">
        <v>166</v>
      </c>
      <c r="E330" s="1">
        <v>75</v>
      </c>
      <c r="F330">
        <v>211</v>
      </c>
      <c r="G330" s="1">
        <v>18</v>
      </c>
      <c r="H330" t="s">
        <v>41</v>
      </c>
      <c r="I330" t="s">
        <v>44</v>
      </c>
      <c r="J330" s="2">
        <v>65</v>
      </c>
      <c r="K330" s="23">
        <v>64.553191489361708</v>
      </c>
      <c r="L330" s="23">
        <v>66.297872340425528</v>
      </c>
      <c r="M330" s="23">
        <v>73.276595744680847</v>
      </c>
      <c r="N330" s="5" t="s">
        <v>600</v>
      </c>
      <c r="O330" s="2" t="s">
        <v>651</v>
      </c>
      <c r="P330" s="23">
        <v>70.231481481481481</v>
      </c>
      <c r="Q330" s="14">
        <v>17.571428571428573</v>
      </c>
      <c r="R330" s="14">
        <v>10.933333333333334</v>
      </c>
      <c r="S330" s="14">
        <v>28.504761904761907</v>
      </c>
      <c r="T330" s="14">
        <v>31.238095238095237</v>
      </c>
      <c r="U330" s="14">
        <v>138.18518518518519</v>
      </c>
      <c r="V330" s="24"/>
      <c r="W330" s="14">
        <f>S330+T330/2+U330+P330</f>
        <v>252.54047619047617</v>
      </c>
      <c r="Y330">
        <v>0</v>
      </c>
      <c r="Z330" t="s">
        <v>650</v>
      </c>
      <c r="AA330">
        <v>185</v>
      </c>
      <c r="AB330">
        <v>216</v>
      </c>
      <c r="AC330">
        <v>364</v>
      </c>
    </row>
    <row r="331" spans="1:29">
      <c r="A331" t="s">
        <v>539</v>
      </c>
      <c r="B331" t="s">
        <v>549</v>
      </c>
      <c r="C331">
        <v>171</v>
      </c>
      <c r="D331" t="s">
        <v>34</v>
      </c>
      <c r="E331" s="1">
        <v>71</v>
      </c>
      <c r="F331">
        <v>185</v>
      </c>
      <c r="G331" s="1">
        <v>19</v>
      </c>
      <c r="H331" t="s">
        <v>41</v>
      </c>
      <c r="I331" t="s">
        <v>43</v>
      </c>
      <c r="J331" s="2">
        <v>65</v>
      </c>
      <c r="K331" s="23">
        <v>19.191489361702128</v>
      </c>
      <c r="L331" s="23">
        <v>41.87234042553191</v>
      </c>
      <c r="M331" s="23">
        <v>52.340425531914896</v>
      </c>
      <c r="N331" s="5" t="s">
        <v>600</v>
      </c>
      <c r="O331" s="2" t="s">
        <v>651</v>
      </c>
      <c r="P331" s="23">
        <v>45.218106995884774</v>
      </c>
      <c r="Q331" s="14">
        <v>14.815126050420169</v>
      </c>
      <c r="R331" s="14">
        <v>29.630252100840337</v>
      </c>
      <c r="S331" s="14">
        <v>44.445378151260506</v>
      </c>
      <c r="T331" s="14">
        <v>37.210084033613448</v>
      </c>
      <c r="U331" s="14">
        <v>143.75308641975309</v>
      </c>
      <c r="V331" s="24"/>
      <c r="W331" s="14">
        <f>S331+T331/2+U331+P331</f>
        <v>252.02161358370509</v>
      </c>
      <c r="Y331">
        <v>1</v>
      </c>
      <c r="Z331" t="s">
        <v>650</v>
      </c>
      <c r="AA331">
        <v>134</v>
      </c>
      <c r="AB331">
        <v>243</v>
      </c>
      <c r="AC331">
        <v>426</v>
      </c>
    </row>
    <row r="332" spans="1:29">
      <c r="A332" s="6" t="s">
        <v>17</v>
      </c>
      <c r="B332" t="s">
        <v>28</v>
      </c>
      <c r="C332">
        <v>93</v>
      </c>
      <c r="D332" t="s">
        <v>34</v>
      </c>
      <c r="E332" s="1">
        <v>71</v>
      </c>
      <c r="F332">
        <v>198</v>
      </c>
      <c r="G332" s="1">
        <v>19</v>
      </c>
      <c r="H332" t="s">
        <v>42</v>
      </c>
      <c r="I332" t="s">
        <v>43</v>
      </c>
      <c r="J332" s="2">
        <v>35</v>
      </c>
      <c r="K332" s="23">
        <v>1.7446808510638296</v>
      </c>
      <c r="L332" s="23">
        <v>5.2340425531914887</v>
      </c>
      <c r="M332" s="23">
        <v>41.87234042553191</v>
      </c>
      <c r="N332" s="3" t="s">
        <v>601</v>
      </c>
      <c r="O332" s="2" t="s">
        <v>651</v>
      </c>
      <c r="P332" s="23">
        <v>119.6</v>
      </c>
      <c r="Q332" s="14">
        <v>5.2512315270935961</v>
      </c>
      <c r="R332" s="14">
        <v>7.6748768472906406</v>
      </c>
      <c r="S332" s="14">
        <v>12.926108374384237</v>
      </c>
      <c r="T332" s="14">
        <v>42.817733990147786</v>
      </c>
      <c r="U332" s="14">
        <v>97.6</v>
      </c>
      <c r="V332" s="24">
        <v>-1.9512195121951219E-2</v>
      </c>
      <c r="W332" s="14">
        <f>S332+T332/2+U332+P332</f>
        <v>251.53497536945812</v>
      </c>
      <c r="X332" s="22">
        <v>-33</v>
      </c>
      <c r="Y332">
        <v>0</v>
      </c>
      <c r="Z332" t="s">
        <v>651</v>
      </c>
      <c r="AA332">
        <v>299</v>
      </c>
      <c r="AB332">
        <v>205</v>
      </c>
      <c r="AC332">
        <v>244</v>
      </c>
    </row>
    <row r="333" spans="1:29">
      <c r="A333" t="s">
        <v>204</v>
      </c>
      <c r="B333" t="s">
        <v>214</v>
      </c>
      <c r="C333">
        <v>154</v>
      </c>
      <c r="D333" t="s">
        <v>34</v>
      </c>
      <c r="E333" s="1">
        <v>74</v>
      </c>
      <c r="F333">
        <v>181</v>
      </c>
      <c r="G333" s="1">
        <v>18</v>
      </c>
      <c r="H333" t="s">
        <v>42</v>
      </c>
      <c r="I333" t="s">
        <v>43</v>
      </c>
      <c r="J333" s="2">
        <v>49</v>
      </c>
      <c r="K333" s="23">
        <v>6.9787234042553186</v>
      </c>
      <c r="L333" s="23">
        <v>41.87234042553191</v>
      </c>
      <c r="M333" s="23">
        <v>73.276595744680847</v>
      </c>
      <c r="N333" s="3" t="s">
        <v>627</v>
      </c>
      <c r="O333" s="2" t="s">
        <v>651</v>
      </c>
      <c r="P333" s="23">
        <v>97.769230769230774</v>
      </c>
      <c r="Q333" s="14">
        <v>4.3157894736842106</v>
      </c>
      <c r="R333" s="14">
        <v>21.578947368421055</v>
      </c>
      <c r="S333" s="14">
        <v>25.894736842105264</v>
      </c>
      <c r="T333" s="14">
        <v>34.526315789473685</v>
      </c>
      <c r="U333" s="14">
        <v>110.38461538461539</v>
      </c>
      <c r="V333" s="24">
        <v>0.36</v>
      </c>
      <c r="W333" s="14">
        <f>S333+T333/2+U333+P333</f>
        <v>251.31174089068827</v>
      </c>
      <c r="Y333">
        <v>0</v>
      </c>
      <c r="Z333" t="s">
        <v>650</v>
      </c>
      <c r="AA333">
        <v>31</v>
      </c>
      <c r="AB333">
        <v>26</v>
      </c>
      <c r="AC333">
        <v>35</v>
      </c>
    </row>
    <row r="334" spans="1:29">
      <c r="A334" s="6" t="s">
        <v>148</v>
      </c>
      <c r="B334" t="s">
        <v>162</v>
      </c>
      <c r="C334">
        <v>87</v>
      </c>
      <c r="D334" t="s">
        <v>64</v>
      </c>
      <c r="E334" s="1">
        <v>73</v>
      </c>
      <c r="F334">
        <v>186</v>
      </c>
      <c r="G334" s="1">
        <v>18</v>
      </c>
      <c r="H334" t="s">
        <v>41</v>
      </c>
      <c r="I334" t="s">
        <v>44</v>
      </c>
      <c r="J334" s="2">
        <v>63</v>
      </c>
      <c r="K334" s="23">
        <v>36.638297872340424</v>
      </c>
      <c r="L334" s="23">
        <v>71.531914893617028</v>
      </c>
      <c r="M334" s="23">
        <v>13.957446808510637</v>
      </c>
      <c r="N334" s="5" t="s">
        <v>605</v>
      </c>
      <c r="O334" s="2" t="s">
        <v>651</v>
      </c>
      <c r="P334" s="23">
        <v>46.327146171693741</v>
      </c>
      <c r="Q334" s="14">
        <v>15.536842105263158</v>
      </c>
      <c r="R334" s="14">
        <v>28.38830409356725</v>
      </c>
      <c r="S334" s="14">
        <v>43.925146198830411</v>
      </c>
      <c r="T334" s="14">
        <v>15.345029239766081</v>
      </c>
      <c r="U334" s="14">
        <v>153.15545243619488</v>
      </c>
      <c r="V334" s="24"/>
      <c r="W334" s="14">
        <f>S334+T334/2+U334+P334</f>
        <v>251.08025942660208</v>
      </c>
      <c r="Y334">
        <v>0</v>
      </c>
      <c r="Z334" t="s">
        <v>650</v>
      </c>
      <c r="AA334">
        <v>487</v>
      </c>
      <c r="AB334">
        <v>862</v>
      </c>
      <c r="AC334">
        <v>1610</v>
      </c>
    </row>
    <row r="335" spans="1:29">
      <c r="A335" t="s">
        <v>478</v>
      </c>
      <c r="B335" t="s">
        <v>493</v>
      </c>
      <c r="C335">
        <v>163</v>
      </c>
      <c r="D335" t="s">
        <v>35</v>
      </c>
      <c r="E335" s="1">
        <v>72</v>
      </c>
      <c r="F335">
        <v>190</v>
      </c>
      <c r="G335" s="1">
        <v>18</v>
      </c>
      <c r="H335" t="s">
        <v>41</v>
      </c>
      <c r="I335" t="s">
        <v>44</v>
      </c>
      <c r="J335" s="2">
        <v>67</v>
      </c>
      <c r="K335" s="23">
        <v>47.10638297872341</v>
      </c>
      <c r="L335" s="23">
        <v>69.787234042553195</v>
      </c>
      <c r="M335" s="23">
        <v>94.21276595744682</v>
      </c>
      <c r="N335" s="5" t="s">
        <v>600</v>
      </c>
      <c r="O335" s="2" t="s">
        <v>651</v>
      </c>
      <c r="P335" s="23">
        <v>80.19195849546044</v>
      </c>
      <c r="Q335" s="14">
        <v>10.718954248366012</v>
      </c>
      <c r="R335" s="14">
        <v>14.256209150326796</v>
      </c>
      <c r="S335" s="14">
        <v>24.975163398692811</v>
      </c>
      <c r="T335" s="14">
        <v>41.803921568627452</v>
      </c>
      <c r="U335" s="14">
        <v>124.96757457846951</v>
      </c>
      <c r="V335" s="24"/>
      <c r="W335" s="14">
        <f>S335+T335/2+U335+P335</f>
        <v>251.03665725693651</v>
      </c>
      <c r="Y335">
        <v>0</v>
      </c>
      <c r="Z335" t="s">
        <v>650</v>
      </c>
      <c r="AA335">
        <v>754</v>
      </c>
      <c r="AB335">
        <v>771</v>
      </c>
      <c r="AC335">
        <v>1175</v>
      </c>
    </row>
    <row r="336" spans="1:29">
      <c r="A336" t="s">
        <v>478</v>
      </c>
      <c r="B336" t="s">
        <v>488</v>
      </c>
      <c r="C336">
        <v>5</v>
      </c>
      <c r="D336" t="s">
        <v>35</v>
      </c>
      <c r="E336" s="1">
        <v>73</v>
      </c>
      <c r="F336">
        <v>192</v>
      </c>
      <c r="G336" s="1">
        <v>18</v>
      </c>
      <c r="H336" t="s">
        <v>41</v>
      </c>
      <c r="I336" t="s">
        <v>44</v>
      </c>
      <c r="J336" s="2">
        <v>63</v>
      </c>
      <c r="K336" s="23">
        <v>36.638297872340424</v>
      </c>
      <c r="L336" s="23">
        <v>68.042553191489361</v>
      </c>
      <c r="M336" s="23">
        <v>55.829787234042549</v>
      </c>
      <c r="N336" s="5" t="s">
        <v>600</v>
      </c>
      <c r="O336" s="2" t="s">
        <v>651</v>
      </c>
      <c r="P336" s="23">
        <v>58.571428571428569</v>
      </c>
      <c r="Q336" s="14">
        <v>8.1999999999999993</v>
      </c>
      <c r="R336" s="14">
        <v>24.599999999999998</v>
      </c>
      <c r="S336" s="14">
        <v>32.799999999999997</v>
      </c>
      <c r="T336" s="14">
        <v>82</v>
      </c>
      <c r="U336" s="14">
        <v>117.14285714285714</v>
      </c>
      <c r="V336" s="24"/>
      <c r="W336" s="14">
        <f>S336+T336/2+U336+P336</f>
        <v>249.51428571428568</v>
      </c>
      <c r="Y336">
        <v>0</v>
      </c>
      <c r="Z336" t="s">
        <v>650</v>
      </c>
      <c r="AA336">
        <v>10</v>
      </c>
      <c r="AB336">
        <v>14</v>
      </c>
      <c r="AC336">
        <v>20</v>
      </c>
    </row>
    <row r="337" spans="1:29">
      <c r="A337" t="s">
        <v>234</v>
      </c>
      <c r="B337" t="s">
        <v>250</v>
      </c>
      <c r="C337">
        <v>97</v>
      </c>
      <c r="D337" t="s">
        <v>65</v>
      </c>
      <c r="E337" s="1">
        <v>72</v>
      </c>
      <c r="F337">
        <v>178</v>
      </c>
      <c r="G337" s="1">
        <v>19</v>
      </c>
      <c r="H337" t="s">
        <v>41</v>
      </c>
      <c r="I337" t="s">
        <v>44</v>
      </c>
      <c r="J337" s="2">
        <f>17+7+41+6+11</f>
        <v>82</v>
      </c>
      <c r="K337" s="23">
        <v>22.680851063829788</v>
      </c>
      <c r="L337" s="23">
        <v>50.595744680851062</v>
      </c>
      <c r="M337" s="23">
        <v>27.914893617021274</v>
      </c>
      <c r="N337" s="3" t="s">
        <v>618</v>
      </c>
      <c r="O337" s="2" t="s">
        <v>651</v>
      </c>
      <c r="P337" s="23">
        <v>84.5625</v>
      </c>
      <c r="Q337" s="14">
        <v>8.8099173553719012</v>
      </c>
      <c r="R337" s="14">
        <v>16.942148760330578</v>
      </c>
      <c r="S337" s="14">
        <v>25.752066115702476</v>
      </c>
      <c r="T337" s="14">
        <v>29.818181818181817</v>
      </c>
      <c r="U337" s="14">
        <v>124.28125</v>
      </c>
      <c r="V337" s="24"/>
      <c r="W337" s="14">
        <f>S337+T337/2+U337+P337</f>
        <v>249.5049070247934</v>
      </c>
      <c r="Y337">
        <v>0</v>
      </c>
      <c r="Z337" t="s">
        <v>650</v>
      </c>
      <c r="AA337">
        <v>132</v>
      </c>
      <c r="AB337">
        <v>128</v>
      </c>
      <c r="AC337">
        <v>194</v>
      </c>
    </row>
    <row r="338" spans="1:29">
      <c r="A338" s="6" t="s">
        <v>135</v>
      </c>
      <c r="B338" t="s">
        <v>141</v>
      </c>
      <c r="C338">
        <v>179</v>
      </c>
      <c r="D338" t="s">
        <v>35</v>
      </c>
      <c r="E338" s="1">
        <v>73</v>
      </c>
      <c r="F338">
        <v>195</v>
      </c>
      <c r="G338" s="1">
        <v>18</v>
      </c>
      <c r="H338" t="s">
        <v>42</v>
      </c>
      <c r="I338" t="s">
        <v>43</v>
      </c>
      <c r="J338" s="2">
        <v>67</v>
      </c>
      <c r="K338" s="23">
        <v>5.2340425531914887</v>
      </c>
      <c r="L338" s="23">
        <v>41.87234042553191</v>
      </c>
      <c r="M338" s="23">
        <v>122.12765957446808</v>
      </c>
      <c r="N338" s="5" t="s">
        <v>600</v>
      </c>
      <c r="O338" s="2" t="s">
        <v>651</v>
      </c>
      <c r="P338" s="23">
        <v>111.50627615062761</v>
      </c>
      <c r="Q338" s="14">
        <v>2.4741379310344827</v>
      </c>
      <c r="R338" s="14">
        <v>17.318965517241377</v>
      </c>
      <c r="S338" s="14">
        <v>19.793103448275861</v>
      </c>
      <c r="T338" s="14">
        <v>37.818965517241381</v>
      </c>
      <c r="U338" s="14">
        <v>98.811715481171547</v>
      </c>
      <c r="V338" s="24">
        <v>1.2605042016806723E-2</v>
      </c>
      <c r="W338" s="14">
        <f>S338+T338/2+U338+P338</f>
        <v>249.02057783869571</v>
      </c>
      <c r="X338" s="22">
        <v>-5</v>
      </c>
      <c r="Y338">
        <v>0</v>
      </c>
      <c r="Z338" t="s">
        <v>650</v>
      </c>
      <c r="AA338">
        <v>325</v>
      </c>
      <c r="AB338">
        <v>239</v>
      </c>
      <c r="AC338">
        <v>288</v>
      </c>
    </row>
    <row r="339" spans="1:29">
      <c r="A339" t="s">
        <v>266</v>
      </c>
      <c r="B339" t="s">
        <v>281</v>
      </c>
      <c r="C339">
        <v>12</v>
      </c>
      <c r="D339" t="s">
        <v>35</v>
      </c>
      <c r="E339" s="1">
        <v>76</v>
      </c>
      <c r="F339">
        <v>213</v>
      </c>
      <c r="G339" s="1">
        <v>18</v>
      </c>
      <c r="H339" t="s">
        <v>42</v>
      </c>
      <c r="I339" t="s">
        <v>44</v>
      </c>
      <c r="J339" s="2">
        <v>65</v>
      </c>
      <c r="K339" s="23">
        <v>10.468085106382977</v>
      </c>
      <c r="L339" s="23">
        <v>34.893617021276597</v>
      </c>
      <c r="M339" s="23">
        <v>92.468085106382972</v>
      </c>
      <c r="N339" s="5" t="s">
        <v>600</v>
      </c>
      <c r="O339" s="2" t="s">
        <v>651</v>
      </c>
      <c r="P339" s="23">
        <v>120.54289071680375</v>
      </c>
      <c r="Q339" s="14">
        <v>4.0470035252643948</v>
      </c>
      <c r="R339" s="14">
        <v>13.200940070505288</v>
      </c>
      <c r="S339" s="14">
        <v>17.247943595769684</v>
      </c>
      <c r="T339" s="14">
        <v>40.855464159811987</v>
      </c>
      <c r="U339" s="14">
        <v>90.190364277320796</v>
      </c>
      <c r="V339" s="24">
        <v>5.0528789659224443E-2</v>
      </c>
      <c r="W339" s="14">
        <f>S339+T339/2+U339+P339</f>
        <v>248.40893066980021</v>
      </c>
      <c r="X339" s="22">
        <v>-13</v>
      </c>
      <c r="Y339">
        <v>0</v>
      </c>
      <c r="Z339" t="s">
        <v>650</v>
      </c>
      <c r="AA339">
        <v>1251</v>
      </c>
      <c r="AB339">
        <v>851</v>
      </c>
      <c r="AC339">
        <v>936</v>
      </c>
    </row>
    <row r="340" spans="1:29">
      <c r="A340" t="s">
        <v>322</v>
      </c>
      <c r="B340" t="s">
        <v>329</v>
      </c>
      <c r="C340">
        <v>110</v>
      </c>
      <c r="D340" t="s">
        <v>35</v>
      </c>
      <c r="E340" s="1">
        <v>77</v>
      </c>
      <c r="F340">
        <v>220</v>
      </c>
      <c r="G340" s="1">
        <v>18</v>
      </c>
      <c r="H340" t="s">
        <v>42</v>
      </c>
      <c r="I340" t="s">
        <v>44</v>
      </c>
      <c r="J340" s="2">
        <v>74</v>
      </c>
      <c r="K340" s="23">
        <v>15.702127659574469</v>
      </c>
      <c r="L340" s="23">
        <v>20.936170212765955</v>
      </c>
      <c r="M340" s="23">
        <v>92.468085106382972</v>
      </c>
      <c r="N340" s="3" t="s">
        <v>614</v>
      </c>
      <c r="O340" s="2" t="s">
        <v>651</v>
      </c>
      <c r="P340" s="23">
        <v>110.38461538461539</v>
      </c>
      <c r="Q340" s="14">
        <v>8.7234042553191493</v>
      </c>
      <c r="R340" s="14">
        <v>10.468085106382979</v>
      </c>
      <c r="S340" s="14">
        <v>19.191489361702128</v>
      </c>
      <c r="T340" s="14">
        <v>34.893617021276597</v>
      </c>
      <c r="U340" s="14">
        <v>100.92307692307693</v>
      </c>
      <c r="V340" s="24">
        <v>0.39215686274509803</v>
      </c>
      <c r="W340" s="14">
        <f>S340+T340/2+U340+P340</f>
        <v>247.94599018003274</v>
      </c>
      <c r="X340" s="22">
        <v>-6</v>
      </c>
      <c r="Y340">
        <v>0</v>
      </c>
      <c r="Z340" t="s">
        <v>650</v>
      </c>
      <c r="AA340">
        <v>70</v>
      </c>
      <c r="AB340">
        <v>52</v>
      </c>
      <c r="AC340">
        <v>64</v>
      </c>
    </row>
    <row r="341" spans="1:29">
      <c r="A341" t="s">
        <v>234</v>
      </c>
      <c r="B341" t="s">
        <v>240</v>
      </c>
      <c r="C341">
        <v>17</v>
      </c>
      <c r="D341" t="s">
        <v>34</v>
      </c>
      <c r="E341" s="1">
        <v>74</v>
      </c>
      <c r="F341">
        <v>203</v>
      </c>
      <c r="G341" s="1">
        <v>18</v>
      </c>
      <c r="H341" t="s">
        <v>42</v>
      </c>
      <c r="I341" t="s">
        <v>44</v>
      </c>
      <c r="J341" s="2">
        <v>35</v>
      </c>
      <c r="K341" s="23">
        <v>48.851063829787229</v>
      </c>
      <c r="L341" s="23">
        <v>61.063829787234042</v>
      </c>
      <c r="M341" s="23">
        <v>24.425531914893615</v>
      </c>
      <c r="N341" s="3" t="s">
        <v>603</v>
      </c>
      <c r="O341" s="2" t="s">
        <v>651</v>
      </c>
      <c r="P341" s="23">
        <v>81.29188255613127</v>
      </c>
      <c r="Q341" s="14">
        <v>6.5944055944055942</v>
      </c>
      <c r="R341" s="14">
        <v>29.38811188811189</v>
      </c>
      <c r="S341" s="14">
        <v>35.98251748251748</v>
      </c>
      <c r="T341" s="14">
        <v>27.954545454545457</v>
      </c>
      <c r="U341" s="14">
        <v>116.41450777202073</v>
      </c>
      <c r="V341" s="24">
        <v>-1.3816925734024179E-2</v>
      </c>
      <c r="W341" s="14">
        <f>S341+T341/2+U341+P341</f>
        <v>247.66618053794221</v>
      </c>
      <c r="X341" s="22">
        <v>28</v>
      </c>
      <c r="Y341">
        <v>0</v>
      </c>
      <c r="Z341" t="s">
        <v>651</v>
      </c>
      <c r="AA341">
        <v>574</v>
      </c>
      <c r="AB341">
        <v>579</v>
      </c>
      <c r="AC341">
        <v>822</v>
      </c>
    </row>
    <row r="342" spans="1:29">
      <c r="A342" t="s">
        <v>478</v>
      </c>
      <c r="B342" t="s">
        <v>482</v>
      </c>
      <c r="C342">
        <v>58</v>
      </c>
      <c r="D342" t="s">
        <v>34</v>
      </c>
      <c r="E342" s="1">
        <v>72</v>
      </c>
      <c r="F342">
        <v>195</v>
      </c>
      <c r="G342" s="1">
        <v>18</v>
      </c>
      <c r="H342" t="s">
        <v>41</v>
      </c>
      <c r="I342" t="s">
        <v>44</v>
      </c>
      <c r="J342" s="2">
        <v>36</v>
      </c>
      <c r="K342" s="23">
        <v>10.468085106382977</v>
      </c>
      <c r="L342" s="23">
        <v>13.957446808510637</v>
      </c>
      <c r="M342" s="23">
        <v>0</v>
      </c>
      <c r="N342" s="5" t="s">
        <v>600</v>
      </c>
      <c r="O342" s="2" t="s">
        <v>651</v>
      </c>
      <c r="P342" s="23">
        <v>76.800000000000011</v>
      </c>
      <c r="Q342" s="14">
        <v>15.658291457286433</v>
      </c>
      <c r="R342" s="14">
        <v>21.015075376884422</v>
      </c>
      <c r="S342" s="14">
        <v>36.673366834170857</v>
      </c>
      <c r="T342" s="14">
        <v>20.603015075376884</v>
      </c>
      <c r="U342" s="14">
        <v>123.6</v>
      </c>
      <c r="V342" s="24"/>
      <c r="W342" s="14">
        <f>S342+T342/2+U342+P342</f>
        <v>247.37487437185931</v>
      </c>
      <c r="Y342">
        <v>0</v>
      </c>
      <c r="Z342" t="s">
        <v>650</v>
      </c>
      <c r="AA342">
        <v>192</v>
      </c>
      <c r="AB342">
        <v>205</v>
      </c>
      <c r="AC342">
        <v>309</v>
      </c>
    </row>
    <row r="343" spans="1:29">
      <c r="A343" t="s">
        <v>306</v>
      </c>
      <c r="B343" t="s">
        <v>310</v>
      </c>
      <c r="C343">
        <v>56</v>
      </c>
      <c r="D343" t="s">
        <v>35</v>
      </c>
      <c r="E343" s="1">
        <v>72</v>
      </c>
      <c r="F343">
        <v>203</v>
      </c>
      <c r="G343" s="1">
        <v>19</v>
      </c>
      <c r="H343" t="s">
        <v>42</v>
      </c>
      <c r="I343" t="s">
        <v>44</v>
      </c>
      <c r="J343" s="2">
        <v>68</v>
      </c>
      <c r="K343" s="23">
        <v>31.404255319148938</v>
      </c>
      <c r="L343" s="23">
        <v>66.297872340425528</v>
      </c>
      <c r="M343" s="23">
        <v>102.93617021276594</v>
      </c>
      <c r="N343" s="5" t="s">
        <v>600</v>
      </c>
      <c r="O343" s="2" t="s">
        <v>651</v>
      </c>
      <c r="P343" s="23">
        <v>43.016393442622956</v>
      </c>
      <c r="Q343" s="14">
        <v>9.7840909090909083</v>
      </c>
      <c r="R343" s="14">
        <v>20.96590909090909</v>
      </c>
      <c r="S343" s="14">
        <v>30.75</v>
      </c>
      <c r="T343" s="14">
        <v>32.147727272727273</v>
      </c>
      <c r="U343" s="14">
        <v>157.27868852459017</v>
      </c>
      <c r="V343" s="24">
        <v>0.11538461538461539</v>
      </c>
      <c r="W343" s="14">
        <f>S343+T343/2+U343+P343</f>
        <v>247.11894560357675</v>
      </c>
      <c r="Y343">
        <v>0</v>
      </c>
      <c r="Z343" t="s">
        <v>650</v>
      </c>
      <c r="AA343">
        <v>96</v>
      </c>
      <c r="AB343">
        <v>183</v>
      </c>
      <c r="AC343">
        <v>351</v>
      </c>
    </row>
    <row r="344" spans="1:29">
      <c r="A344" t="s">
        <v>478</v>
      </c>
      <c r="B344" t="s">
        <v>489</v>
      </c>
      <c r="C344">
        <v>169</v>
      </c>
      <c r="D344" t="s">
        <v>34</v>
      </c>
      <c r="E344" s="1">
        <v>69</v>
      </c>
      <c r="F344">
        <v>173</v>
      </c>
      <c r="G344" s="1">
        <v>18</v>
      </c>
      <c r="H344" t="s">
        <v>41</v>
      </c>
      <c r="I344" t="s">
        <v>43</v>
      </c>
      <c r="J344" s="2">
        <v>55</v>
      </c>
      <c r="K344" s="23">
        <v>34.893617021276597</v>
      </c>
      <c r="L344" s="23">
        <v>41.87234042553191</v>
      </c>
      <c r="M344" s="23">
        <v>97.702127659574458</v>
      </c>
      <c r="N344" s="3" t="s">
        <v>608</v>
      </c>
      <c r="O344" s="2" t="s">
        <v>651</v>
      </c>
      <c r="P344" s="23">
        <v>57.043478260869563</v>
      </c>
      <c r="Q344" s="14">
        <v>13.054726368159203</v>
      </c>
      <c r="R344" s="14">
        <v>21.621890547263682</v>
      </c>
      <c r="S344" s="14">
        <v>34.676616915422883</v>
      </c>
      <c r="T344" s="14">
        <v>20.805970149253731</v>
      </c>
      <c r="U344" s="14">
        <v>143.79710144927537</v>
      </c>
      <c r="V344" s="24"/>
      <c r="W344" s="14">
        <f>S344+T344/2+U344+P344</f>
        <v>245.92018170019469</v>
      </c>
      <c r="Y344">
        <v>0</v>
      </c>
      <c r="Z344" t="s">
        <v>650</v>
      </c>
      <c r="AA344">
        <v>144</v>
      </c>
      <c r="AB344">
        <v>207</v>
      </c>
      <c r="AC344">
        <v>363</v>
      </c>
    </row>
    <row r="345" spans="1:29">
      <c r="A345" t="s">
        <v>498</v>
      </c>
      <c r="B345" t="s">
        <v>501</v>
      </c>
      <c r="C345">
        <v>33</v>
      </c>
      <c r="D345" t="s">
        <v>65</v>
      </c>
      <c r="E345" s="1">
        <v>74</v>
      </c>
      <c r="F345">
        <v>179</v>
      </c>
      <c r="G345" s="1">
        <v>18</v>
      </c>
      <c r="H345" t="s">
        <v>41</v>
      </c>
      <c r="I345" t="s">
        <v>44</v>
      </c>
      <c r="J345" s="2">
        <v>36</v>
      </c>
      <c r="K345" s="23">
        <v>36.638297872340424</v>
      </c>
      <c r="L345" s="23">
        <v>29.659574468085108</v>
      </c>
      <c r="M345" s="23">
        <v>38.382978723404257</v>
      </c>
      <c r="N345" s="3" t="s">
        <v>65</v>
      </c>
      <c r="O345" s="2" t="s">
        <v>651</v>
      </c>
      <c r="P345" s="23">
        <v>21.767590618336886</v>
      </c>
      <c r="Q345" s="14">
        <v>21.44480171489818</v>
      </c>
      <c r="R345" s="14">
        <v>29.530546623794212</v>
      </c>
      <c r="S345" s="14">
        <v>50.975348338692392</v>
      </c>
      <c r="T345" s="14">
        <v>15.995712754555198</v>
      </c>
      <c r="U345" s="14">
        <v>164.61194029850748</v>
      </c>
      <c r="V345" s="24"/>
      <c r="W345" s="14">
        <f>S345+T345/2+U345+P345</f>
        <v>245.35273563281436</v>
      </c>
      <c r="Y345">
        <v>1</v>
      </c>
      <c r="Z345" t="s">
        <v>650</v>
      </c>
      <c r="AA345">
        <v>249</v>
      </c>
      <c r="AB345">
        <v>938</v>
      </c>
      <c r="AC345">
        <v>1883</v>
      </c>
    </row>
    <row r="346" spans="1:29">
      <c r="A346" t="s">
        <v>169</v>
      </c>
      <c r="B346" t="s">
        <v>173</v>
      </c>
      <c r="C346">
        <v>198</v>
      </c>
      <c r="D346" t="s">
        <v>34</v>
      </c>
      <c r="E346" s="1">
        <v>74</v>
      </c>
      <c r="F346">
        <v>197</v>
      </c>
      <c r="G346" s="1">
        <v>19</v>
      </c>
      <c r="H346" t="s">
        <v>41</v>
      </c>
      <c r="I346" t="s">
        <v>43</v>
      </c>
      <c r="J346" s="2">
        <v>46</v>
      </c>
      <c r="K346" s="23">
        <v>27.914893617021274</v>
      </c>
      <c r="L346" s="23">
        <v>57.574468085106382</v>
      </c>
      <c r="M346" s="23">
        <v>127.36170212765957</v>
      </c>
      <c r="N346" s="3" t="s">
        <v>630</v>
      </c>
      <c r="O346" s="2" t="s">
        <v>651</v>
      </c>
      <c r="P346" s="23">
        <v>135.64485981308411</v>
      </c>
      <c r="Q346" s="14">
        <v>7.4545454545454541</v>
      </c>
      <c r="R346" s="14">
        <v>12.947368421052632</v>
      </c>
      <c r="S346" s="14">
        <v>20.401913875598087</v>
      </c>
      <c r="T346" s="14">
        <v>30.995215311004785</v>
      </c>
      <c r="U346" s="14">
        <v>73.186915887850475</v>
      </c>
      <c r="V346" s="24"/>
      <c r="W346" s="14">
        <f>S346+T346/2+U346+P346</f>
        <v>244.73129723203505</v>
      </c>
      <c r="Y346">
        <v>0</v>
      </c>
      <c r="Z346" t="s">
        <v>650</v>
      </c>
      <c r="AA346">
        <v>354</v>
      </c>
      <c r="AB346">
        <v>214</v>
      </c>
      <c r="AC346">
        <v>191</v>
      </c>
    </row>
    <row r="347" spans="1:29">
      <c r="A347" t="s">
        <v>306</v>
      </c>
      <c r="B347" t="s">
        <v>319</v>
      </c>
      <c r="C347">
        <v>81</v>
      </c>
      <c r="D347" t="s">
        <v>65</v>
      </c>
      <c r="E347" s="1">
        <v>75</v>
      </c>
      <c r="F347">
        <v>209</v>
      </c>
      <c r="G347" s="1">
        <v>18</v>
      </c>
      <c r="H347" t="s">
        <v>41</v>
      </c>
      <c r="I347" t="s">
        <v>43</v>
      </c>
      <c r="J347" s="2">
        <v>43</v>
      </c>
      <c r="K347" s="23">
        <v>38.382978723404257</v>
      </c>
      <c r="L347" s="23">
        <v>55.829787234042549</v>
      </c>
      <c r="M347" s="23">
        <v>225.06382978723406</v>
      </c>
      <c r="N347" s="5" t="s">
        <v>65</v>
      </c>
      <c r="O347" s="2" t="s">
        <v>651</v>
      </c>
      <c r="P347" s="23">
        <v>99.364705882352936</v>
      </c>
      <c r="Q347" s="14">
        <v>10.802395209580839</v>
      </c>
      <c r="R347" s="14">
        <v>13.748502994011975</v>
      </c>
      <c r="S347" s="14">
        <v>24.550898203592812</v>
      </c>
      <c r="T347" s="14">
        <v>28.479041916167663</v>
      </c>
      <c r="U347" s="14">
        <v>105.15294117647059</v>
      </c>
      <c r="V347" s="24"/>
      <c r="W347" s="14">
        <f>S347+T347/2+U347+P347</f>
        <v>243.30806622050017</v>
      </c>
      <c r="Y347">
        <v>0</v>
      </c>
      <c r="Z347" t="s">
        <v>650</v>
      </c>
      <c r="AA347">
        <v>206</v>
      </c>
      <c r="AB347">
        <v>170</v>
      </c>
      <c r="AC347">
        <v>218</v>
      </c>
    </row>
    <row r="348" spans="1:29">
      <c r="A348" t="s">
        <v>445</v>
      </c>
      <c r="B348" t="s">
        <v>455</v>
      </c>
      <c r="C348">
        <v>156</v>
      </c>
      <c r="D348" t="s">
        <v>35</v>
      </c>
      <c r="E348" s="1">
        <v>69</v>
      </c>
      <c r="F348">
        <v>167</v>
      </c>
      <c r="G348" s="1">
        <v>19</v>
      </c>
      <c r="H348" t="s">
        <v>42</v>
      </c>
      <c r="I348" t="s">
        <v>43</v>
      </c>
      <c r="J348" s="2">
        <v>69</v>
      </c>
      <c r="K348" s="23">
        <v>20.936170212765955</v>
      </c>
      <c r="L348" s="23">
        <v>54.085106382978722</v>
      </c>
      <c r="M348" s="23">
        <v>33.148936170212764</v>
      </c>
      <c r="N348" s="5" t="s">
        <v>599</v>
      </c>
      <c r="O348" s="2" t="s">
        <v>651</v>
      </c>
      <c r="P348" s="23">
        <v>69.680129240710826</v>
      </c>
      <c r="Q348" s="14">
        <v>9.6313213703099514</v>
      </c>
      <c r="R348" s="14">
        <v>24.880913539967374</v>
      </c>
      <c r="S348" s="14">
        <v>34.512234910277321</v>
      </c>
      <c r="T348" s="14">
        <v>13.64437194127243</v>
      </c>
      <c r="U348" s="14">
        <v>131.80936995153473</v>
      </c>
      <c r="V348" s="24">
        <v>7.2697899838449112E-2</v>
      </c>
      <c r="W348" s="14">
        <f>S348+T348/2+U348+P348</f>
        <v>242.82392007315912</v>
      </c>
      <c r="X348" s="22">
        <v>23</v>
      </c>
      <c r="Y348">
        <v>0</v>
      </c>
      <c r="Z348" t="s">
        <v>650</v>
      </c>
      <c r="AA348">
        <v>526</v>
      </c>
      <c r="AB348">
        <v>619</v>
      </c>
      <c r="AC348">
        <v>995</v>
      </c>
    </row>
    <row r="349" spans="1:29">
      <c r="A349" t="s">
        <v>322</v>
      </c>
      <c r="B349" t="s">
        <v>335</v>
      </c>
      <c r="C349">
        <v>10</v>
      </c>
      <c r="D349" t="s">
        <v>66</v>
      </c>
      <c r="E349" s="1">
        <v>76</v>
      </c>
      <c r="F349">
        <v>210</v>
      </c>
      <c r="G349" s="1">
        <v>18</v>
      </c>
      <c r="H349" t="s">
        <v>41</v>
      </c>
      <c r="I349" t="s">
        <v>44</v>
      </c>
      <c r="J349" s="2">
        <v>18</v>
      </c>
      <c r="K349" s="23">
        <v>6.9787234042553186</v>
      </c>
      <c r="L349" s="23">
        <v>3.4893617021276593</v>
      </c>
      <c r="M349" s="23">
        <v>0</v>
      </c>
      <c r="N349" s="3" t="s">
        <v>624</v>
      </c>
      <c r="O349" s="2" t="s">
        <v>651</v>
      </c>
      <c r="P349" s="23">
        <v>84.666666666666657</v>
      </c>
      <c r="Q349" s="14">
        <v>7.8257261410788388</v>
      </c>
      <c r="R349" s="14">
        <v>18.033195020746888</v>
      </c>
      <c r="S349" s="14">
        <v>25.858921161825727</v>
      </c>
      <c r="T349" s="14">
        <v>9.1867219917012459</v>
      </c>
      <c r="U349" s="14">
        <v>127.66666666666667</v>
      </c>
      <c r="V349" s="24"/>
      <c r="W349" s="14">
        <f>S349+T349/2+U349+P349</f>
        <v>242.78561549100968</v>
      </c>
      <c r="Y349">
        <v>0</v>
      </c>
      <c r="Z349" t="s">
        <v>650</v>
      </c>
      <c r="AA349">
        <v>254</v>
      </c>
      <c r="AB349">
        <v>246</v>
      </c>
      <c r="AC349">
        <v>383</v>
      </c>
    </row>
    <row r="350" spans="1:29">
      <c r="A350" s="6" t="s">
        <v>102</v>
      </c>
      <c r="B350" t="s">
        <v>104</v>
      </c>
      <c r="C350">
        <v>152</v>
      </c>
      <c r="D350" t="s">
        <v>35</v>
      </c>
      <c r="E350" s="1">
        <v>77</v>
      </c>
      <c r="F350">
        <v>225</v>
      </c>
      <c r="G350" s="1">
        <v>19</v>
      </c>
      <c r="H350" t="s">
        <v>42</v>
      </c>
      <c r="I350" t="s">
        <v>43</v>
      </c>
      <c r="J350" s="2">
        <v>68</v>
      </c>
      <c r="K350" s="23">
        <v>0</v>
      </c>
      <c r="L350" s="23">
        <v>27.914893617021274</v>
      </c>
      <c r="M350" s="23">
        <v>137.82978723404256</v>
      </c>
      <c r="N350" s="3" t="s">
        <v>600</v>
      </c>
      <c r="O350" s="2" t="s">
        <v>651</v>
      </c>
      <c r="P350" s="23">
        <v>154.27118644067798</v>
      </c>
      <c r="Q350" s="14">
        <v>2.9285714285714284</v>
      </c>
      <c r="R350" s="14">
        <v>4.3928571428571423</v>
      </c>
      <c r="S350" s="14">
        <v>7.3214285714285712</v>
      </c>
      <c r="T350" s="14">
        <v>57.107142857142854</v>
      </c>
      <c r="U350" s="14">
        <v>51.423728813559322</v>
      </c>
      <c r="V350" s="24">
        <v>-0.15254237288135594</v>
      </c>
      <c r="W350" s="14">
        <f>S350+T350/2+U350+P350</f>
        <v>241.56991525423729</v>
      </c>
      <c r="X350" s="22">
        <v>-106</v>
      </c>
      <c r="Y350">
        <v>0</v>
      </c>
      <c r="Z350" t="s">
        <v>651</v>
      </c>
      <c r="AA350">
        <v>111</v>
      </c>
      <c r="AB350">
        <v>59</v>
      </c>
      <c r="AC350">
        <v>37</v>
      </c>
    </row>
    <row r="351" spans="1:29">
      <c r="A351" t="s">
        <v>510</v>
      </c>
      <c r="B351" t="s">
        <v>516</v>
      </c>
      <c r="C351">
        <v>53</v>
      </c>
      <c r="D351" t="s">
        <v>65</v>
      </c>
      <c r="E351" s="1">
        <v>73</v>
      </c>
      <c r="F351">
        <v>189</v>
      </c>
      <c r="G351" s="1">
        <v>18</v>
      </c>
      <c r="H351" t="s">
        <v>41</v>
      </c>
      <c r="I351" t="s">
        <v>44</v>
      </c>
      <c r="J351" s="2">
        <v>14</v>
      </c>
      <c r="K351" s="23">
        <v>1.7446808510638296</v>
      </c>
      <c r="L351" s="23">
        <v>5.2340425531914887</v>
      </c>
      <c r="M351" s="23">
        <v>3.4893617021276593</v>
      </c>
      <c r="N351" s="3" t="s">
        <v>606</v>
      </c>
      <c r="O351" s="2" t="s">
        <v>651</v>
      </c>
      <c r="P351" s="23">
        <v>47.198938992042436</v>
      </c>
      <c r="Q351" s="14">
        <v>20.5</v>
      </c>
      <c r="R351" s="14">
        <v>25.129032258064516</v>
      </c>
      <c r="S351" s="14">
        <v>45.629032258064512</v>
      </c>
      <c r="T351" s="14">
        <v>12.344086021505376</v>
      </c>
      <c r="U351" s="14">
        <v>142.24933687002653</v>
      </c>
      <c r="V351" s="24"/>
      <c r="W351" s="14">
        <f>S351+T351/2+U351+P351</f>
        <v>241.24935113088617</v>
      </c>
      <c r="Y351">
        <v>1</v>
      </c>
      <c r="Z351" t="s">
        <v>650</v>
      </c>
      <c r="AA351">
        <v>217</v>
      </c>
      <c r="AB351">
        <v>377</v>
      </c>
      <c r="AC351">
        <v>654</v>
      </c>
    </row>
    <row r="352" spans="1:29">
      <c r="A352" t="s">
        <v>322</v>
      </c>
      <c r="B352" t="s">
        <v>326</v>
      </c>
      <c r="C352">
        <v>35</v>
      </c>
      <c r="D352" t="s">
        <v>34</v>
      </c>
      <c r="E352" s="1">
        <v>72</v>
      </c>
      <c r="F352">
        <v>190</v>
      </c>
      <c r="G352" s="1">
        <v>18</v>
      </c>
      <c r="H352" t="s">
        <v>41</v>
      </c>
      <c r="I352" t="s">
        <v>43</v>
      </c>
      <c r="J352" s="2">
        <f>21+7+52</f>
        <v>80</v>
      </c>
      <c r="K352" s="23">
        <v>48.851063829787229</v>
      </c>
      <c r="L352" s="23">
        <v>92.468085106382972</v>
      </c>
      <c r="M352" s="23">
        <v>143.06382978723406</v>
      </c>
      <c r="N352" s="3" t="s">
        <v>608</v>
      </c>
      <c r="O352" s="2" t="s">
        <v>651</v>
      </c>
      <c r="P352" s="23">
        <v>47.377777777777773</v>
      </c>
      <c r="Q352" s="14">
        <v>15.931428571428572</v>
      </c>
      <c r="R352" s="14">
        <v>17.337142857142858</v>
      </c>
      <c r="S352" s="14">
        <v>33.268571428571427</v>
      </c>
      <c r="T352" s="14">
        <v>27.645714285714288</v>
      </c>
      <c r="U352" s="14">
        <v>145.32222222222222</v>
      </c>
      <c r="V352" s="24"/>
      <c r="W352" s="14">
        <f>S352+T352/2+U352+P352</f>
        <v>239.79142857142855</v>
      </c>
      <c r="Y352">
        <v>0</v>
      </c>
      <c r="Z352" t="s">
        <v>650</v>
      </c>
      <c r="AA352">
        <v>104</v>
      </c>
      <c r="AB352">
        <v>180</v>
      </c>
      <c r="AC352">
        <v>319</v>
      </c>
    </row>
    <row r="353" spans="1:29">
      <c r="A353" t="s">
        <v>283</v>
      </c>
      <c r="B353" t="s">
        <v>297</v>
      </c>
      <c r="C353">
        <v>6</v>
      </c>
      <c r="D353" t="s">
        <v>37</v>
      </c>
      <c r="E353" s="1">
        <v>75</v>
      </c>
      <c r="F353">
        <v>210</v>
      </c>
      <c r="G353" s="1">
        <v>18</v>
      </c>
      <c r="H353" t="s">
        <v>41</v>
      </c>
      <c r="I353" t="s">
        <v>44</v>
      </c>
      <c r="J353" s="2">
        <f>11+37+5+5</f>
        <v>58</v>
      </c>
      <c r="K353" s="23">
        <v>52.340425531914896</v>
      </c>
      <c r="L353" s="23">
        <v>34.893617021276597</v>
      </c>
      <c r="M353" s="23">
        <v>136.08510638297872</v>
      </c>
      <c r="N353" s="5" t="s">
        <v>600</v>
      </c>
      <c r="O353" s="2" t="s">
        <v>651</v>
      </c>
      <c r="P353" s="23">
        <v>75.075555555555553</v>
      </c>
      <c r="Q353" s="14">
        <v>11.554545454545455</v>
      </c>
      <c r="R353" s="14">
        <v>20.127272727272729</v>
      </c>
      <c r="S353" s="14">
        <v>31.681818181818183</v>
      </c>
      <c r="T353" s="14">
        <v>25.345454545454547</v>
      </c>
      <c r="U353" s="14">
        <v>119.90222222222224</v>
      </c>
      <c r="V353" s="24"/>
      <c r="W353" s="14">
        <f>S353+T353/2+U353+P353</f>
        <v>239.33232323232326</v>
      </c>
      <c r="Y353">
        <v>0</v>
      </c>
      <c r="Z353" t="s">
        <v>650</v>
      </c>
      <c r="AA353">
        <v>206</v>
      </c>
      <c r="AB353">
        <v>225</v>
      </c>
      <c r="AC353">
        <v>329</v>
      </c>
    </row>
    <row r="354" spans="1:29">
      <c r="A354" t="s">
        <v>576</v>
      </c>
      <c r="B354" t="s">
        <v>629</v>
      </c>
      <c r="C354">
        <v>121</v>
      </c>
      <c r="D354" t="s">
        <v>66</v>
      </c>
      <c r="E354" s="1">
        <v>74</v>
      </c>
      <c r="F354">
        <v>201</v>
      </c>
      <c r="G354" s="1">
        <v>19</v>
      </c>
      <c r="H354" t="s">
        <v>41</v>
      </c>
      <c r="I354" t="s">
        <v>44</v>
      </c>
      <c r="J354" s="2">
        <v>30</v>
      </c>
      <c r="K354" s="23">
        <v>17.446808510638299</v>
      </c>
      <c r="L354" s="23">
        <v>31.404255319148938</v>
      </c>
      <c r="M354" s="23">
        <v>88.978723404255305</v>
      </c>
      <c r="N354" s="3" t="s">
        <v>624</v>
      </c>
      <c r="O354" s="2" t="s">
        <v>651</v>
      </c>
      <c r="P354" s="23">
        <v>95.666666666666671</v>
      </c>
      <c r="Q354" s="14">
        <v>20.5</v>
      </c>
      <c r="R354" s="14">
        <v>10.25</v>
      </c>
      <c r="S354" s="14">
        <v>30.75</v>
      </c>
      <c r="T354" s="14">
        <v>20.5</v>
      </c>
      <c r="U354" s="14">
        <v>102.5</v>
      </c>
      <c r="V354" s="24"/>
      <c r="W354" s="14">
        <f>S354+T354/2+U354+P354</f>
        <v>239.16666666666669</v>
      </c>
      <c r="X354" s="22">
        <v>15</v>
      </c>
      <c r="Y354">
        <v>0</v>
      </c>
      <c r="Z354" t="s">
        <v>650</v>
      </c>
      <c r="AA354">
        <v>14</v>
      </c>
      <c r="AB354">
        <v>12</v>
      </c>
      <c r="AC354">
        <v>15</v>
      </c>
    </row>
    <row r="355" spans="1:29">
      <c r="A355" t="s">
        <v>413</v>
      </c>
      <c r="B355" t="s">
        <v>426</v>
      </c>
      <c r="C355">
        <v>76</v>
      </c>
      <c r="D355" t="s">
        <v>35</v>
      </c>
      <c r="E355" s="1">
        <v>75</v>
      </c>
      <c r="F355">
        <v>208</v>
      </c>
      <c r="G355" s="1">
        <v>19</v>
      </c>
      <c r="H355" t="s">
        <v>41</v>
      </c>
      <c r="I355" t="s">
        <v>43</v>
      </c>
      <c r="J355" s="2">
        <v>68</v>
      </c>
      <c r="K355" s="23">
        <v>45.361702127659576</v>
      </c>
      <c r="L355" s="23">
        <v>34.893617021276597</v>
      </c>
      <c r="M355" s="23">
        <v>64.553191489361708</v>
      </c>
      <c r="N355" s="3" t="s">
        <v>614</v>
      </c>
      <c r="O355" s="2" t="s">
        <v>651</v>
      </c>
      <c r="P355" s="23">
        <v>113.27835051546391</v>
      </c>
      <c r="Q355" s="14">
        <v>5.2063492063492056</v>
      </c>
      <c r="R355" s="14">
        <v>8.2433862433862437</v>
      </c>
      <c r="S355" s="14">
        <v>13.449735449735449</v>
      </c>
      <c r="T355" s="14">
        <v>15.185185185185185</v>
      </c>
      <c r="U355" s="14">
        <v>102.28865979381443</v>
      </c>
      <c r="V355" s="24"/>
      <c r="W355" s="14">
        <f>S355+T355/2+U355+P355</f>
        <v>236.60933835160637</v>
      </c>
      <c r="Y355">
        <v>0</v>
      </c>
      <c r="Z355" t="s">
        <v>650</v>
      </c>
      <c r="AA355">
        <v>268</v>
      </c>
      <c r="AB355">
        <v>194</v>
      </c>
      <c r="AC355">
        <v>242</v>
      </c>
    </row>
    <row r="356" spans="1:29">
      <c r="A356" t="s">
        <v>188</v>
      </c>
      <c r="B356" t="s">
        <v>197</v>
      </c>
      <c r="C356">
        <v>16</v>
      </c>
      <c r="D356" t="s">
        <v>34</v>
      </c>
      <c r="E356" s="1">
        <v>72</v>
      </c>
      <c r="F356">
        <v>207</v>
      </c>
      <c r="G356" s="1">
        <v>18</v>
      </c>
      <c r="H356" t="s">
        <v>42</v>
      </c>
      <c r="I356" t="s">
        <v>44</v>
      </c>
      <c r="J356" s="2">
        <v>55</v>
      </c>
      <c r="K356" s="23">
        <v>36.638297872340424</v>
      </c>
      <c r="L356" s="23">
        <v>76.765957446808514</v>
      </c>
      <c r="M356" s="23">
        <v>45.361702127659576</v>
      </c>
      <c r="N356" s="3" t="s">
        <v>603</v>
      </c>
      <c r="O356" s="2" t="s">
        <v>651</v>
      </c>
      <c r="P356" s="23">
        <v>73.209985315712188</v>
      </c>
      <c r="Q356" s="14">
        <v>7.5318518518518518</v>
      </c>
      <c r="R356" s="14">
        <v>28.062222222222221</v>
      </c>
      <c r="S356" s="14">
        <v>35.594074074074072</v>
      </c>
      <c r="T356" s="14">
        <v>15.428148148148148</v>
      </c>
      <c r="U356" s="14">
        <v>119.32745961820852</v>
      </c>
      <c r="V356" s="24">
        <v>-2.9368575624082231E-2</v>
      </c>
      <c r="W356" s="14">
        <f>S356+T356/2+U356+P356</f>
        <v>235.84559308206883</v>
      </c>
      <c r="X356" s="22">
        <v>28</v>
      </c>
      <c r="Y356">
        <v>0</v>
      </c>
      <c r="Z356" t="s">
        <v>651</v>
      </c>
      <c r="AA356">
        <v>608</v>
      </c>
      <c r="AB356">
        <v>681</v>
      </c>
      <c r="AC356">
        <v>991</v>
      </c>
    </row>
    <row r="357" spans="1:29">
      <c r="A357" t="s">
        <v>354</v>
      </c>
      <c r="B357" t="s">
        <v>341</v>
      </c>
      <c r="C357">
        <v>102</v>
      </c>
      <c r="D357" t="s">
        <v>65</v>
      </c>
      <c r="E357" s="1">
        <v>76</v>
      </c>
      <c r="F357">
        <v>215</v>
      </c>
      <c r="G357" s="1">
        <v>19</v>
      </c>
      <c r="H357" t="s">
        <v>42</v>
      </c>
      <c r="I357" t="s">
        <v>44</v>
      </c>
      <c r="J357" s="2">
        <v>59</v>
      </c>
      <c r="K357" s="23">
        <v>8.7234042553191493</v>
      </c>
      <c r="L357" s="23">
        <v>27.914893617021274</v>
      </c>
      <c r="M357" s="23">
        <v>76.765957446808514</v>
      </c>
      <c r="N357" s="3" t="s">
        <v>606</v>
      </c>
      <c r="O357" s="2" t="s">
        <v>651</v>
      </c>
      <c r="P357" s="23">
        <v>64.34607645875252</v>
      </c>
      <c r="Q357" s="14">
        <v>6.6802443991853355</v>
      </c>
      <c r="R357" s="14">
        <v>22.211812627291241</v>
      </c>
      <c r="S357" s="14">
        <v>28.892057026476575</v>
      </c>
      <c r="T357" s="14">
        <v>40.582484725050911</v>
      </c>
      <c r="U357" s="14">
        <v>120.44265593561369</v>
      </c>
      <c r="V357" s="24">
        <v>0.15291750503018109</v>
      </c>
      <c r="W357" s="14">
        <f>S357+T357/2+U357+P357</f>
        <v>233.97203178336824</v>
      </c>
      <c r="X357" s="22">
        <v>10</v>
      </c>
      <c r="Y357">
        <v>0</v>
      </c>
      <c r="Z357" t="s">
        <v>650</v>
      </c>
      <c r="AA357">
        <v>390</v>
      </c>
      <c r="AB357">
        <v>497</v>
      </c>
      <c r="AC357">
        <v>730</v>
      </c>
    </row>
    <row r="358" spans="1:29">
      <c r="A358" t="s">
        <v>188</v>
      </c>
      <c r="B358" t="s">
        <v>189</v>
      </c>
      <c r="C358">
        <v>9</v>
      </c>
      <c r="D358" t="s">
        <v>35</v>
      </c>
      <c r="E358" s="1">
        <v>73</v>
      </c>
      <c r="F358">
        <v>212</v>
      </c>
      <c r="G358" s="1">
        <v>19</v>
      </c>
      <c r="H358" t="s">
        <v>41</v>
      </c>
      <c r="I358" t="s">
        <v>44</v>
      </c>
      <c r="J358" s="2">
        <v>69</v>
      </c>
      <c r="K358" s="23">
        <v>38.382978723404257</v>
      </c>
      <c r="L358" s="23">
        <v>68.042553191489361</v>
      </c>
      <c r="M358" s="23">
        <v>41.87234042553191</v>
      </c>
      <c r="N358" s="5" t="s">
        <v>600</v>
      </c>
      <c r="O358" s="2" t="s">
        <v>651</v>
      </c>
      <c r="P358" s="23">
        <v>48.223572296476306</v>
      </c>
      <c r="Q358" s="14">
        <v>14.772058823529413</v>
      </c>
      <c r="R358" s="14">
        <v>30.147058823529413</v>
      </c>
      <c r="S358" s="14">
        <v>44.919117647058826</v>
      </c>
      <c r="T358" s="14">
        <v>22.007352941176471</v>
      </c>
      <c r="U358" s="14">
        <v>128.33049817739976</v>
      </c>
      <c r="V358" s="24"/>
      <c r="W358" s="14">
        <f>S358+T358/2+U358+P358</f>
        <v>232.47686459152314</v>
      </c>
      <c r="Y358">
        <v>1</v>
      </c>
      <c r="Z358" t="s">
        <v>650</v>
      </c>
      <c r="AA358">
        <v>484</v>
      </c>
      <c r="AB358">
        <v>823</v>
      </c>
      <c r="AC358">
        <v>1288</v>
      </c>
    </row>
    <row r="359" spans="1:29">
      <c r="A359" t="s">
        <v>322</v>
      </c>
      <c r="B359" t="s">
        <v>331</v>
      </c>
      <c r="C359">
        <v>10</v>
      </c>
      <c r="D359" t="s">
        <v>35</v>
      </c>
      <c r="E359" s="1">
        <v>71</v>
      </c>
      <c r="F359">
        <v>187</v>
      </c>
      <c r="G359" s="1">
        <v>18</v>
      </c>
      <c r="H359" t="s">
        <v>41</v>
      </c>
      <c r="I359" t="s">
        <v>44</v>
      </c>
      <c r="J359" s="2">
        <f>7+4+3+48+4</f>
        <v>66</v>
      </c>
      <c r="K359" s="23">
        <v>95.957446808510639</v>
      </c>
      <c r="L359" s="23">
        <v>136.08510638297872</v>
      </c>
      <c r="M359" s="23">
        <v>85.489361702127667</v>
      </c>
      <c r="N359" s="3" t="s">
        <v>602</v>
      </c>
      <c r="O359" s="2" t="s">
        <v>651</v>
      </c>
      <c r="P359" s="23">
        <v>49.696969696969695</v>
      </c>
      <c r="Q359" s="14">
        <v>14.349999999999998</v>
      </c>
      <c r="R359" s="14">
        <v>14.862499999999999</v>
      </c>
      <c r="S359" s="14">
        <v>29.212499999999999</v>
      </c>
      <c r="T359" s="14">
        <v>25.624999999999996</v>
      </c>
      <c r="U359" s="14">
        <v>140.64242424242423</v>
      </c>
      <c r="V359" s="24"/>
      <c r="W359" s="14">
        <f>S359+T359/2+U359+P359</f>
        <v>232.36439393939392</v>
      </c>
      <c r="Y359">
        <v>0</v>
      </c>
      <c r="Z359" t="s">
        <v>650</v>
      </c>
      <c r="AA359">
        <v>100</v>
      </c>
      <c r="AB359">
        <v>165</v>
      </c>
      <c r="AC359">
        <v>283</v>
      </c>
    </row>
    <row r="360" spans="1:29">
      <c r="A360" t="s">
        <v>266</v>
      </c>
      <c r="B360" t="s">
        <v>275</v>
      </c>
      <c r="C360">
        <v>2</v>
      </c>
      <c r="D360" t="s">
        <v>38</v>
      </c>
      <c r="E360" s="1">
        <v>73</v>
      </c>
      <c r="F360">
        <v>181</v>
      </c>
      <c r="G360" s="1">
        <v>18</v>
      </c>
      <c r="H360" t="s">
        <v>41</v>
      </c>
      <c r="I360" t="s">
        <v>44</v>
      </c>
      <c r="J360" s="2">
        <f>45+7+18+10+18</f>
        <v>98</v>
      </c>
      <c r="K360" s="23">
        <v>69.787234042553195</v>
      </c>
      <c r="L360" s="23">
        <v>61.063829787234042</v>
      </c>
      <c r="M360" s="23">
        <v>24.425531914893615</v>
      </c>
      <c r="N360" s="3" t="s">
        <v>615</v>
      </c>
      <c r="O360" s="2" t="s">
        <v>651</v>
      </c>
      <c r="P360" s="23">
        <v>30.75</v>
      </c>
      <c r="Q360" s="14">
        <v>28.941176470588232</v>
      </c>
      <c r="R360" s="14">
        <v>19.294117647058822</v>
      </c>
      <c r="S360" s="14">
        <v>48.235294117647058</v>
      </c>
      <c r="T360" s="14">
        <v>19.294117647058822</v>
      </c>
      <c r="U360" s="14">
        <v>143.5</v>
      </c>
      <c r="V360" s="24"/>
      <c r="W360" s="14">
        <f>S360+T360/2+U360+P360</f>
        <v>232.13235294117646</v>
      </c>
      <c r="Y360">
        <v>1</v>
      </c>
      <c r="Z360" t="s">
        <v>650</v>
      </c>
      <c r="AA360">
        <v>9</v>
      </c>
      <c r="AB360">
        <v>24</v>
      </c>
      <c r="AC360">
        <v>42</v>
      </c>
    </row>
    <row r="361" spans="1:29">
      <c r="A361" t="s">
        <v>204</v>
      </c>
      <c r="B361" t="s">
        <v>216</v>
      </c>
      <c r="C361">
        <v>38</v>
      </c>
      <c r="D361" t="s">
        <v>65</v>
      </c>
      <c r="E361" s="1">
        <v>75</v>
      </c>
      <c r="F361">
        <v>177</v>
      </c>
      <c r="G361" s="1">
        <v>18</v>
      </c>
      <c r="H361" t="s">
        <v>42</v>
      </c>
      <c r="I361" t="s">
        <v>44</v>
      </c>
      <c r="J361" s="2">
        <v>55</v>
      </c>
      <c r="K361" s="23">
        <v>8.7234042553191493</v>
      </c>
      <c r="L361" s="23">
        <v>24.425531914893615</v>
      </c>
      <c r="M361" s="23">
        <v>73.276595744680847</v>
      </c>
      <c r="N361" s="3" t="s">
        <v>621</v>
      </c>
      <c r="O361" s="2" t="s">
        <v>651</v>
      </c>
      <c r="P361" s="23">
        <v>100.97014925373134</v>
      </c>
      <c r="Q361" s="14">
        <v>2.5625</v>
      </c>
      <c r="R361" s="14">
        <v>20.5</v>
      </c>
      <c r="S361" s="14">
        <v>23.0625</v>
      </c>
      <c r="T361" s="14">
        <v>49.96875</v>
      </c>
      <c r="U361" s="14">
        <v>82.611940298507449</v>
      </c>
      <c r="V361" s="24">
        <v>0.14285714285714285</v>
      </c>
      <c r="W361" s="14">
        <f>S361+T361/2+U361+P361</f>
        <v>231.62896455223878</v>
      </c>
      <c r="X361" s="22">
        <v>-1</v>
      </c>
      <c r="Y361">
        <v>0</v>
      </c>
      <c r="Z361" t="s">
        <v>650</v>
      </c>
      <c r="AA361">
        <v>165</v>
      </c>
      <c r="AB361">
        <v>134</v>
      </c>
      <c r="AC361">
        <v>135</v>
      </c>
    </row>
    <row r="362" spans="1:29">
      <c r="A362" t="s">
        <v>204</v>
      </c>
      <c r="B362" t="s">
        <v>217</v>
      </c>
      <c r="C362">
        <v>43</v>
      </c>
      <c r="D362" t="s">
        <v>35</v>
      </c>
      <c r="E362" s="1">
        <v>74</v>
      </c>
      <c r="F362">
        <v>193</v>
      </c>
      <c r="G362" s="1">
        <v>18</v>
      </c>
      <c r="H362" t="s">
        <v>42</v>
      </c>
      <c r="I362" t="s">
        <v>43</v>
      </c>
      <c r="J362" s="2">
        <v>57</v>
      </c>
      <c r="K362" s="23">
        <v>15.702127659574469</v>
      </c>
      <c r="L362" s="23">
        <v>54.085106382978722</v>
      </c>
      <c r="M362" s="23">
        <v>48.851063829787229</v>
      </c>
      <c r="N362" s="3" t="s">
        <v>602</v>
      </c>
      <c r="O362" s="2" t="s">
        <v>651</v>
      </c>
      <c r="P362" s="23">
        <v>47.549234135667398</v>
      </c>
      <c r="Q362" s="14">
        <v>8.7921225382932171</v>
      </c>
      <c r="R362" s="14">
        <v>28.888402625820572</v>
      </c>
      <c r="S362" s="14">
        <v>37.680525164113789</v>
      </c>
      <c r="T362" s="14">
        <v>18.66083150984683</v>
      </c>
      <c r="U362" s="14">
        <v>136.90590809628009</v>
      </c>
      <c r="V362" s="24">
        <v>-5.9080962800875277E-2</v>
      </c>
      <c r="W362" s="14">
        <f>S362+T362/2+U362+P362</f>
        <v>231.4660831509847</v>
      </c>
      <c r="X362" s="22">
        <v>43</v>
      </c>
      <c r="Y362">
        <v>0</v>
      </c>
      <c r="Z362" t="s">
        <v>651</v>
      </c>
      <c r="AA362">
        <v>265</v>
      </c>
      <c r="AB362">
        <v>457</v>
      </c>
      <c r="AC362">
        <v>763</v>
      </c>
    </row>
    <row r="363" spans="1:29">
      <c r="A363" t="s">
        <v>322</v>
      </c>
      <c r="B363" t="s">
        <v>337</v>
      </c>
      <c r="C363">
        <v>7</v>
      </c>
      <c r="D363" t="s">
        <v>34</v>
      </c>
      <c r="E363" s="1">
        <v>73</v>
      </c>
      <c r="F363">
        <v>215</v>
      </c>
      <c r="G363" s="1">
        <v>19</v>
      </c>
      <c r="H363" t="s">
        <v>41</v>
      </c>
      <c r="I363" t="s">
        <v>44</v>
      </c>
      <c r="J363" s="2">
        <v>43</v>
      </c>
      <c r="K363" s="23">
        <v>31.404255319148938</v>
      </c>
      <c r="L363" s="23">
        <v>41.87234042553191</v>
      </c>
      <c r="M363" s="23">
        <v>45.361702127659576</v>
      </c>
      <c r="N363" s="3" t="s">
        <v>611</v>
      </c>
      <c r="O363" s="2" t="s">
        <v>651</v>
      </c>
      <c r="P363" s="23">
        <v>55.142405063291143</v>
      </c>
      <c r="Q363" s="14">
        <v>14.661392405063291</v>
      </c>
      <c r="R363" s="14">
        <v>22.446202531645568</v>
      </c>
      <c r="S363" s="14">
        <v>37.107594936708857</v>
      </c>
      <c r="T363" s="14">
        <v>17.905063291139239</v>
      </c>
      <c r="U363" s="14">
        <v>129.09810126582278</v>
      </c>
      <c r="V363" s="24"/>
      <c r="W363" s="14">
        <f>S363+T363/2+U363+P363</f>
        <v>230.3006329113924</v>
      </c>
      <c r="Y363">
        <v>0</v>
      </c>
      <c r="Z363" t="s">
        <v>650</v>
      </c>
      <c r="AA363">
        <v>425</v>
      </c>
      <c r="AB363">
        <v>632</v>
      </c>
      <c r="AC363">
        <v>995</v>
      </c>
    </row>
    <row r="364" spans="1:29">
      <c r="A364" t="s">
        <v>188</v>
      </c>
      <c r="B364" t="s">
        <v>202</v>
      </c>
      <c r="C364">
        <v>108</v>
      </c>
      <c r="D364" t="s">
        <v>35</v>
      </c>
      <c r="E364" s="1">
        <v>73</v>
      </c>
      <c r="F364">
        <v>191</v>
      </c>
      <c r="G364" s="1">
        <v>20</v>
      </c>
      <c r="H364" t="s">
        <v>42</v>
      </c>
      <c r="I364" t="s">
        <v>44</v>
      </c>
      <c r="J364" s="2">
        <v>37</v>
      </c>
      <c r="K364" s="23">
        <v>1.7446808510638296</v>
      </c>
      <c r="L364" s="23">
        <v>27.914893617021274</v>
      </c>
      <c r="M364" s="23">
        <v>17.446808510638299</v>
      </c>
      <c r="N364" s="3" t="s">
        <v>633</v>
      </c>
      <c r="O364" s="2" t="s">
        <v>651</v>
      </c>
      <c r="P364" s="23">
        <v>47.648648648648646</v>
      </c>
      <c r="Q364" s="14">
        <v>8.567164179104477</v>
      </c>
      <c r="R364" s="14">
        <v>26.925373134328357</v>
      </c>
      <c r="S364" s="14">
        <v>35.492537313432834</v>
      </c>
      <c r="T364" s="14">
        <v>12.238805970149254</v>
      </c>
      <c r="U364" s="14">
        <v>140.72972972972974</v>
      </c>
      <c r="V364" s="24">
        <v>0.20270270270270271</v>
      </c>
      <c r="W364" s="14">
        <f>S364+T364/2+U364+P364</f>
        <v>229.99031867688586</v>
      </c>
      <c r="X364" s="22">
        <v>28</v>
      </c>
      <c r="Y364">
        <v>0</v>
      </c>
      <c r="Z364" t="s">
        <v>650</v>
      </c>
      <c r="AA364">
        <v>43</v>
      </c>
      <c r="AB364">
        <v>74</v>
      </c>
      <c r="AC364">
        <v>127</v>
      </c>
    </row>
    <row r="365" spans="1:29">
      <c r="A365" t="s">
        <v>266</v>
      </c>
      <c r="B365" t="s">
        <v>272</v>
      </c>
      <c r="C365">
        <v>66</v>
      </c>
      <c r="D365" t="s">
        <v>34</v>
      </c>
      <c r="E365" s="1">
        <v>70</v>
      </c>
      <c r="F365">
        <v>183</v>
      </c>
      <c r="G365" s="1">
        <v>18</v>
      </c>
      <c r="H365" t="s">
        <v>42</v>
      </c>
      <c r="I365" t="s">
        <v>43</v>
      </c>
      <c r="J365" s="2">
        <f>25+7+64</f>
        <v>96</v>
      </c>
      <c r="K365" s="23">
        <v>26.170212765957448</v>
      </c>
      <c r="L365" s="23">
        <v>130.85106382978722</v>
      </c>
      <c r="M365" s="23">
        <v>24.425531914893615</v>
      </c>
      <c r="N365" s="3" t="s">
        <v>608</v>
      </c>
      <c r="O365" s="2" t="s">
        <v>651</v>
      </c>
      <c r="P365" s="23">
        <v>31.53846153846154</v>
      </c>
      <c r="Q365" s="14">
        <v>12.947368421052632</v>
      </c>
      <c r="R365" s="14">
        <v>25.894736842105264</v>
      </c>
      <c r="S365" s="14">
        <v>38.842105263157897</v>
      </c>
      <c r="T365" s="14">
        <v>25.894736842105264</v>
      </c>
      <c r="U365" s="14">
        <v>145.07692307692307</v>
      </c>
      <c r="V365" s="24">
        <v>0.19230769230769232</v>
      </c>
      <c r="W365" s="14">
        <f>S365+T365/2+U365+P365</f>
        <v>228.40485829959513</v>
      </c>
      <c r="X365" s="22">
        <v>46</v>
      </c>
      <c r="Y365">
        <v>0</v>
      </c>
      <c r="Z365" t="s">
        <v>650</v>
      </c>
      <c r="AA365">
        <v>10</v>
      </c>
      <c r="AB365">
        <v>26</v>
      </c>
      <c r="AC365">
        <v>46</v>
      </c>
    </row>
    <row r="366" spans="1:29">
      <c r="A366" t="s">
        <v>234</v>
      </c>
      <c r="B366" t="s">
        <v>243</v>
      </c>
      <c r="C366">
        <v>12</v>
      </c>
      <c r="D366" t="s">
        <v>37</v>
      </c>
      <c r="E366" s="1">
        <v>74</v>
      </c>
      <c r="F366">
        <v>179</v>
      </c>
      <c r="G366" s="1">
        <v>18</v>
      </c>
      <c r="H366" t="s">
        <v>41</v>
      </c>
      <c r="I366" t="s">
        <v>43</v>
      </c>
      <c r="J366" s="2">
        <v>52</v>
      </c>
      <c r="K366" s="23">
        <v>15.702127659574469</v>
      </c>
      <c r="L366" s="23">
        <v>26.170212765957448</v>
      </c>
      <c r="M366" s="23">
        <v>27.914893617021274</v>
      </c>
      <c r="N366" s="3" t="s">
        <v>607</v>
      </c>
      <c r="O366" s="2" t="s">
        <v>651</v>
      </c>
      <c r="P366" s="23">
        <v>67.529411764705884</v>
      </c>
      <c r="Q366" s="14">
        <v>16.96551724137931</v>
      </c>
      <c r="R366" s="14">
        <v>31.103448275862068</v>
      </c>
      <c r="S366" s="14">
        <v>48.068965517241381</v>
      </c>
      <c r="T366" s="14">
        <v>16.96551724137931</v>
      </c>
      <c r="U366" s="14">
        <v>103.70588235294117</v>
      </c>
      <c r="V366" s="24"/>
      <c r="W366" s="14">
        <f>S366+T366/2+U366+P366</f>
        <v>227.78701825557809</v>
      </c>
      <c r="Y366">
        <v>1</v>
      </c>
      <c r="Z366" t="s">
        <v>650</v>
      </c>
      <c r="AA366">
        <v>28</v>
      </c>
      <c r="AB366">
        <v>34</v>
      </c>
      <c r="AC366">
        <v>43</v>
      </c>
    </row>
    <row r="367" spans="1:29">
      <c r="A367" s="6" t="s">
        <v>148</v>
      </c>
      <c r="B367" t="s">
        <v>161</v>
      </c>
      <c r="C367">
        <v>41</v>
      </c>
      <c r="D367" t="s">
        <v>65</v>
      </c>
      <c r="E367" s="1">
        <v>75</v>
      </c>
      <c r="F367">
        <v>228</v>
      </c>
      <c r="G367" s="1">
        <v>18</v>
      </c>
      <c r="H367" t="s">
        <v>42</v>
      </c>
      <c r="I367" t="s">
        <v>44</v>
      </c>
      <c r="J367" s="2">
        <v>16</v>
      </c>
      <c r="K367" s="23">
        <v>0</v>
      </c>
      <c r="L367" s="23">
        <v>5.2340425531914887</v>
      </c>
      <c r="M367" s="23">
        <v>13.957446808510637</v>
      </c>
      <c r="N367" s="3" t="s">
        <v>65</v>
      </c>
      <c r="O367" s="2" t="s">
        <v>651</v>
      </c>
      <c r="P367" s="23">
        <v>111.62773722627738</v>
      </c>
      <c r="Q367" s="14">
        <v>1.524163568773234</v>
      </c>
      <c r="R367" s="14">
        <v>11.583643122676579</v>
      </c>
      <c r="S367" s="14">
        <v>13.107806691449813</v>
      </c>
      <c r="T367" s="14">
        <v>43.286245353159849</v>
      </c>
      <c r="U367" s="14">
        <v>81.401459854014604</v>
      </c>
      <c r="V367" s="24">
        <v>7.2992700729927001E-2</v>
      </c>
      <c r="W367" s="14">
        <f>S367+T367/2+U367+P367</f>
        <v>227.78012644832171</v>
      </c>
      <c r="X367" s="22">
        <v>-31</v>
      </c>
      <c r="Y367">
        <v>0</v>
      </c>
      <c r="Z367" t="s">
        <v>650</v>
      </c>
      <c r="AA367">
        <v>373</v>
      </c>
      <c r="AB367">
        <v>274</v>
      </c>
      <c r="AC367">
        <v>272</v>
      </c>
    </row>
    <row r="368" spans="1:29">
      <c r="A368" s="6" t="s">
        <v>17</v>
      </c>
      <c r="B368" t="s">
        <v>26</v>
      </c>
      <c r="C368">
        <v>85</v>
      </c>
      <c r="D368" t="s">
        <v>34</v>
      </c>
      <c r="E368" s="1">
        <v>69</v>
      </c>
      <c r="F368">
        <v>174</v>
      </c>
      <c r="G368" s="1">
        <v>18</v>
      </c>
      <c r="H368" t="s">
        <v>42</v>
      </c>
      <c r="I368" t="s">
        <v>44</v>
      </c>
      <c r="J368" s="2">
        <f>60+6+24</f>
        <v>90</v>
      </c>
      <c r="K368" s="23">
        <v>8.7234042553191493</v>
      </c>
      <c r="L368" s="23">
        <v>52.340425531914896</v>
      </c>
      <c r="M368" s="23">
        <v>52.340425531914896</v>
      </c>
      <c r="N368" s="3" t="s">
        <v>608</v>
      </c>
      <c r="O368" s="2" t="s">
        <v>651</v>
      </c>
      <c r="P368" s="23">
        <v>59.541401273885349</v>
      </c>
      <c r="Q368" s="14">
        <v>4.3443708609271523</v>
      </c>
      <c r="R368" s="14">
        <v>17.377483443708609</v>
      </c>
      <c r="S368" s="14">
        <v>21.721854304635762</v>
      </c>
      <c r="T368" s="14">
        <v>55.390728476821195</v>
      </c>
      <c r="U368" s="14">
        <v>118.03821656050954</v>
      </c>
      <c r="V368" s="24">
        <v>0.21019108280254778</v>
      </c>
      <c r="W368" s="14">
        <f>S368+T368/2+U368+P368</f>
        <v>226.99683637744124</v>
      </c>
      <c r="X368" s="22">
        <v>-1</v>
      </c>
      <c r="Y368">
        <v>0</v>
      </c>
      <c r="Z368" t="s">
        <v>650</v>
      </c>
      <c r="AA368">
        <v>114</v>
      </c>
      <c r="AB368">
        <v>157</v>
      </c>
      <c r="AC368">
        <v>226</v>
      </c>
    </row>
    <row r="369" spans="1:29">
      <c r="A369" t="s">
        <v>445</v>
      </c>
      <c r="B369" t="s">
        <v>450</v>
      </c>
      <c r="C369">
        <v>50</v>
      </c>
      <c r="D369" t="s">
        <v>34</v>
      </c>
      <c r="E369" s="1">
        <v>78</v>
      </c>
      <c r="F369">
        <v>227</v>
      </c>
      <c r="G369" s="1">
        <v>18</v>
      </c>
      <c r="H369" t="s">
        <v>41</v>
      </c>
      <c r="I369" t="s">
        <v>44</v>
      </c>
      <c r="J369" s="2">
        <v>53</v>
      </c>
      <c r="K369" s="23">
        <v>15.702127659574469</v>
      </c>
      <c r="L369" s="23">
        <v>59.319148936170215</v>
      </c>
      <c r="M369" s="23">
        <v>87.234042553191486</v>
      </c>
      <c r="N369" s="5" t="s">
        <v>608</v>
      </c>
      <c r="O369" s="2" t="s">
        <v>651</v>
      </c>
      <c r="P369" s="23">
        <v>78.371681415929203</v>
      </c>
      <c r="Q369" s="14">
        <v>10.728971962616821</v>
      </c>
      <c r="R369" s="14">
        <v>14.560747663551401</v>
      </c>
      <c r="S369" s="14">
        <v>25.289719626168225</v>
      </c>
      <c r="T369" s="14">
        <v>29.88785046728972</v>
      </c>
      <c r="U369" s="14">
        <v>107.39823008849558</v>
      </c>
      <c r="V369" s="24"/>
      <c r="W369" s="14">
        <f>S369+T369/2+U369+P369</f>
        <v>226.00355636423788</v>
      </c>
      <c r="Y369">
        <v>0</v>
      </c>
      <c r="Z369" t="s">
        <v>650</v>
      </c>
      <c r="AA369">
        <v>108</v>
      </c>
      <c r="AB369">
        <v>113</v>
      </c>
      <c r="AC369">
        <v>148</v>
      </c>
    </row>
    <row r="370" spans="1:29">
      <c r="A370" s="6" t="s">
        <v>69</v>
      </c>
      <c r="B370" t="s">
        <v>74</v>
      </c>
      <c r="C370">
        <v>24</v>
      </c>
      <c r="D370" t="s">
        <v>65</v>
      </c>
      <c r="E370" s="1">
        <v>73</v>
      </c>
      <c r="F370">
        <v>205</v>
      </c>
      <c r="G370" s="1">
        <v>19</v>
      </c>
      <c r="H370" t="s">
        <v>41</v>
      </c>
      <c r="I370" t="s">
        <v>44</v>
      </c>
      <c r="J370" s="2">
        <f>45+2+5+45+6</f>
        <v>103</v>
      </c>
      <c r="K370" s="23">
        <v>33.148936170212764</v>
      </c>
      <c r="L370" s="23">
        <v>26.170212765957448</v>
      </c>
      <c r="M370" s="23">
        <v>34.893617021276597</v>
      </c>
      <c r="N370" s="5" t="s">
        <v>605</v>
      </c>
      <c r="O370" s="2" t="s">
        <v>651</v>
      </c>
      <c r="P370" s="23">
        <v>49.415435139573077</v>
      </c>
      <c r="Q370" s="14">
        <v>16.806611570247931</v>
      </c>
      <c r="R370" s="14">
        <v>29.818181818181817</v>
      </c>
      <c r="S370" s="14">
        <v>46.624793388429751</v>
      </c>
      <c r="T370" s="14">
        <v>12.198347107438016</v>
      </c>
      <c r="U370" s="14">
        <v>123.20197044334975</v>
      </c>
      <c r="V370" s="24"/>
      <c r="W370" s="14">
        <f>S370+T370/2+U370+P370</f>
        <v>225.34137252507159</v>
      </c>
      <c r="Y370">
        <v>1</v>
      </c>
      <c r="Z370" t="s">
        <v>650</v>
      </c>
      <c r="AA370">
        <v>367</v>
      </c>
      <c r="AB370">
        <v>609</v>
      </c>
      <c r="AC370">
        <v>915</v>
      </c>
    </row>
    <row r="371" spans="1:29">
      <c r="A371" t="s">
        <v>525</v>
      </c>
      <c r="B371" t="s">
        <v>535</v>
      </c>
      <c r="C371">
        <v>166</v>
      </c>
      <c r="D371" t="s">
        <v>35</v>
      </c>
      <c r="E371" s="1">
        <v>70</v>
      </c>
      <c r="F371">
        <v>184</v>
      </c>
      <c r="G371" s="1">
        <v>19</v>
      </c>
      <c r="H371" t="s">
        <v>41</v>
      </c>
      <c r="I371" t="s">
        <v>44</v>
      </c>
      <c r="J371" s="2">
        <v>68</v>
      </c>
      <c r="K371" s="23">
        <v>75.021276595744681</v>
      </c>
      <c r="L371" s="23">
        <v>106.42553191489361</v>
      </c>
      <c r="M371" s="23">
        <v>94.21276595744682</v>
      </c>
      <c r="N371" s="3" t="s">
        <v>600</v>
      </c>
      <c r="O371" s="2" t="s">
        <v>651</v>
      </c>
      <c r="P371" s="23">
        <v>85.037037037037038</v>
      </c>
      <c r="Q371" s="14">
        <v>13.666666666666668</v>
      </c>
      <c r="R371" s="14">
        <v>9.4615384615384617</v>
      </c>
      <c r="S371" s="14">
        <v>23.128205128205128</v>
      </c>
      <c r="T371" s="14">
        <v>23.128205128205128</v>
      </c>
      <c r="U371" s="14">
        <v>105.28395061728395</v>
      </c>
      <c r="V371" s="24"/>
      <c r="W371" s="14">
        <f>S371+T371/2+U371+P371</f>
        <v>225.01329534662867</v>
      </c>
      <c r="Y371">
        <v>0</v>
      </c>
      <c r="Z371" t="s">
        <v>650</v>
      </c>
      <c r="AA371">
        <v>84</v>
      </c>
      <c r="AB371">
        <v>81</v>
      </c>
      <c r="AC371">
        <v>104</v>
      </c>
    </row>
    <row r="372" spans="1:29">
      <c r="A372" s="6" t="s">
        <v>135</v>
      </c>
      <c r="B372" t="s">
        <v>140</v>
      </c>
      <c r="C372">
        <v>48</v>
      </c>
      <c r="D372" t="s">
        <v>37</v>
      </c>
      <c r="E372" s="1">
        <v>73</v>
      </c>
      <c r="F372">
        <v>196</v>
      </c>
      <c r="G372" s="1">
        <v>18</v>
      </c>
      <c r="H372" t="s">
        <v>41</v>
      </c>
      <c r="I372" t="s">
        <v>44</v>
      </c>
      <c r="J372" s="2">
        <v>64</v>
      </c>
      <c r="K372" s="23">
        <v>57.574468085106382</v>
      </c>
      <c r="L372" s="23">
        <v>73.276595744680847</v>
      </c>
      <c r="M372" s="23">
        <v>73.276595744680847</v>
      </c>
      <c r="N372" s="5" t="s">
        <v>614</v>
      </c>
      <c r="O372" s="2" t="s">
        <v>651</v>
      </c>
      <c r="P372" s="23">
        <v>95.348837209302332</v>
      </c>
      <c r="Q372" s="14">
        <v>8.8648648648648649</v>
      </c>
      <c r="R372" s="14">
        <v>13.297297297297298</v>
      </c>
      <c r="S372" s="14">
        <v>22.162162162162161</v>
      </c>
      <c r="T372" s="14">
        <v>35.45945945945946</v>
      </c>
      <c r="U372" s="14">
        <v>89.627906976744185</v>
      </c>
      <c r="V372" s="24"/>
      <c r="W372" s="14">
        <f>S372+T372/2+U372+P372</f>
        <v>224.86863607793842</v>
      </c>
      <c r="Y372">
        <v>0</v>
      </c>
      <c r="Z372" t="s">
        <v>650</v>
      </c>
      <c r="AA372">
        <v>50</v>
      </c>
      <c r="AB372">
        <v>43</v>
      </c>
      <c r="AC372">
        <v>47</v>
      </c>
    </row>
    <row r="373" spans="1:29">
      <c r="A373" s="6" t="s">
        <v>87</v>
      </c>
      <c r="B373" t="s">
        <v>96</v>
      </c>
      <c r="C373">
        <v>13</v>
      </c>
      <c r="D373" t="s">
        <v>35</v>
      </c>
      <c r="E373" s="1">
        <v>71</v>
      </c>
      <c r="F373">
        <v>183</v>
      </c>
      <c r="G373" s="1">
        <v>18</v>
      </c>
      <c r="H373" t="s">
        <v>41</v>
      </c>
      <c r="I373" t="s">
        <v>43</v>
      </c>
      <c r="J373" s="2">
        <v>65</v>
      </c>
      <c r="K373" s="23">
        <v>78.510638297872347</v>
      </c>
      <c r="L373" s="23">
        <v>88.978723404255305</v>
      </c>
      <c r="M373" s="23">
        <v>17.446808510638299</v>
      </c>
      <c r="N373" s="5" t="s">
        <v>600</v>
      </c>
      <c r="O373" s="2" t="s">
        <v>651</v>
      </c>
      <c r="P373" s="23">
        <v>88.700389105058363</v>
      </c>
      <c r="Q373" s="14">
        <v>22.363636363636363</v>
      </c>
      <c r="R373" s="14">
        <v>14.909090909090908</v>
      </c>
      <c r="S373" s="14">
        <v>37.272727272727273</v>
      </c>
      <c r="T373" s="14">
        <v>14.909090909090908</v>
      </c>
      <c r="U373" s="14">
        <v>90.29571984435799</v>
      </c>
      <c r="V373" s="24"/>
      <c r="W373" s="14">
        <f>S373+T373/2+U373+P373</f>
        <v>223.72338167668909</v>
      </c>
      <c r="Y373">
        <v>0</v>
      </c>
      <c r="Z373" t="s">
        <v>650</v>
      </c>
      <c r="AA373">
        <v>278</v>
      </c>
      <c r="AB373">
        <v>257</v>
      </c>
      <c r="AC373">
        <v>283</v>
      </c>
    </row>
    <row r="374" spans="1:29">
      <c r="A374" t="s">
        <v>251</v>
      </c>
      <c r="B374" t="s">
        <v>260</v>
      </c>
      <c r="C374">
        <v>21</v>
      </c>
      <c r="D374" t="s">
        <v>35</v>
      </c>
      <c r="E374" s="1">
        <v>74</v>
      </c>
      <c r="F374">
        <v>185</v>
      </c>
      <c r="G374" s="1">
        <v>18</v>
      </c>
      <c r="H374" t="s">
        <v>41</v>
      </c>
      <c r="I374" t="s">
        <v>43</v>
      </c>
      <c r="J374" s="2">
        <v>55</v>
      </c>
      <c r="K374" s="23">
        <v>66.297872340425528</v>
      </c>
      <c r="L374" s="23">
        <v>80.255319148936167</v>
      </c>
      <c r="M374" s="23">
        <v>151.78723404255319</v>
      </c>
      <c r="N374" s="3" t="s">
        <v>602</v>
      </c>
      <c r="O374" s="2" t="s">
        <v>651</v>
      </c>
      <c r="P374" s="23">
        <v>83.643286573146298</v>
      </c>
      <c r="Q374" s="14">
        <v>9.4233870967741939</v>
      </c>
      <c r="R374" s="14">
        <v>16.532258064516128</v>
      </c>
      <c r="S374" s="14">
        <v>25.95564516129032</v>
      </c>
      <c r="T374" s="14">
        <v>20.5</v>
      </c>
      <c r="U374" s="14">
        <v>103.69138276553106</v>
      </c>
      <c r="V374" s="24"/>
      <c r="W374" s="14">
        <f>S374+T374/2+U374+P374</f>
        <v>223.54031449996768</v>
      </c>
      <c r="Y374">
        <v>0</v>
      </c>
      <c r="Z374" t="s">
        <v>650</v>
      </c>
      <c r="AA374">
        <v>509</v>
      </c>
      <c r="AB374">
        <v>499</v>
      </c>
      <c r="AC374">
        <v>631</v>
      </c>
    </row>
    <row r="375" spans="1:29">
      <c r="A375" s="6" t="s">
        <v>17</v>
      </c>
      <c r="B375" t="s">
        <v>27</v>
      </c>
      <c r="C375">
        <v>116</v>
      </c>
      <c r="D375" t="s">
        <v>35</v>
      </c>
      <c r="E375" s="1">
        <v>73</v>
      </c>
      <c r="F375">
        <v>188</v>
      </c>
      <c r="G375" s="1">
        <v>19</v>
      </c>
      <c r="H375" t="s">
        <v>41</v>
      </c>
      <c r="I375" t="s">
        <v>44</v>
      </c>
      <c r="J375" s="2">
        <v>57</v>
      </c>
      <c r="K375" s="23">
        <v>50.595744680851062</v>
      </c>
      <c r="L375" s="23">
        <v>57.574468085106382</v>
      </c>
      <c r="M375" s="23">
        <v>13.957446808510637</v>
      </c>
      <c r="N375" s="3" t="s">
        <v>602</v>
      </c>
      <c r="O375" s="2" t="s">
        <v>651</v>
      </c>
      <c r="P375" s="23">
        <v>49.631578947368418</v>
      </c>
      <c r="Q375" s="14">
        <v>13.890710382513662</v>
      </c>
      <c r="R375" s="14">
        <v>26.437158469945356</v>
      </c>
      <c r="S375" s="14">
        <v>40.327868852459019</v>
      </c>
      <c r="T375" s="14">
        <v>17.027322404371585</v>
      </c>
      <c r="U375" s="14">
        <v>124.29473684210527</v>
      </c>
      <c r="V375" s="24"/>
      <c r="W375" s="14">
        <f>S375+T375/2+U375+P375</f>
        <v>222.76784584411848</v>
      </c>
      <c r="Y375">
        <v>0</v>
      </c>
      <c r="Z375" t="s">
        <v>650</v>
      </c>
      <c r="AA375">
        <v>115</v>
      </c>
      <c r="AB375">
        <v>190</v>
      </c>
      <c r="AC375">
        <v>288</v>
      </c>
    </row>
    <row r="376" spans="1:29">
      <c r="A376" t="s">
        <v>234</v>
      </c>
      <c r="B376" t="s">
        <v>246</v>
      </c>
      <c r="C376">
        <v>120</v>
      </c>
      <c r="D376" t="s">
        <v>34</v>
      </c>
      <c r="E376" s="1">
        <v>75</v>
      </c>
      <c r="F376">
        <v>207</v>
      </c>
      <c r="G376" s="1">
        <v>18</v>
      </c>
      <c r="H376" t="s">
        <v>42</v>
      </c>
      <c r="I376" t="s">
        <v>44</v>
      </c>
      <c r="J376" s="2">
        <v>60</v>
      </c>
      <c r="K376" s="23">
        <v>5.2340425531914887</v>
      </c>
      <c r="L376" s="23">
        <v>47.10638297872341</v>
      </c>
      <c r="M376" s="23">
        <v>20.936170212765955</v>
      </c>
      <c r="N376" s="3" t="s">
        <v>608</v>
      </c>
      <c r="O376" s="2" t="s">
        <v>651</v>
      </c>
      <c r="P376" s="23">
        <v>51.82789317507418</v>
      </c>
      <c r="Q376" s="14">
        <v>6.2121212121212119</v>
      </c>
      <c r="R376" s="14">
        <v>25.345454545454544</v>
      </c>
      <c r="S376" s="14">
        <v>31.557575757575755</v>
      </c>
      <c r="T376" s="14">
        <v>12.424242424242424</v>
      </c>
      <c r="U376" s="14">
        <v>132.36795252225519</v>
      </c>
      <c r="V376" s="24">
        <v>0.11869436201780416</v>
      </c>
      <c r="W376" s="14">
        <f>S376+T376/2+U376+P376</f>
        <v>221.96554266702634</v>
      </c>
      <c r="X376" s="22">
        <v>19</v>
      </c>
      <c r="Y376">
        <v>0</v>
      </c>
      <c r="Z376" t="s">
        <v>650</v>
      </c>
      <c r="AA376">
        <v>213</v>
      </c>
      <c r="AB376">
        <v>337</v>
      </c>
      <c r="AC376">
        <v>544</v>
      </c>
    </row>
    <row r="377" spans="1:29">
      <c r="A377" t="s">
        <v>556</v>
      </c>
      <c r="B377" t="s">
        <v>558</v>
      </c>
      <c r="C377">
        <v>12</v>
      </c>
      <c r="D377" t="s">
        <v>35</v>
      </c>
      <c r="E377" s="1">
        <v>74</v>
      </c>
      <c r="F377">
        <v>206</v>
      </c>
      <c r="G377" s="1">
        <v>19</v>
      </c>
      <c r="H377" t="s">
        <v>42</v>
      </c>
      <c r="I377" t="s">
        <v>44</v>
      </c>
      <c r="J377" s="2">
        <v>62</v>
      </c>
      <c r="K377" s="23">
        <v>13.957446808510637</v>
      </c>
      <c r="L377" s="23">
        <v>85.489361702127667</v>
      </c>
      <c r="M377" s="23">
        <v>31.404255319148938</v>
      </c>
      <c r="N377" s="3" t="s">
        <v>600</v>
      </c>
      <c r="O377" s="2" t="s">
        <v>651</v>
      </c>
      <c r="P377" s="23">
        <v>43.02469135802469</v>
      </c>
      <c r="Q377" s="14">
        <v>7.8944099378881978</v>
      </c>
      <c r="R377" s="14">
        <v>28.13975155279503</v>
      </c>
      <c r="S377" s="14">
        <v>36.034161490683225</v>
      </c>
      <c r="T377" s="14">
        <v>21.2639751552795</v>
      </c>
      <c r="U377" s="14">
        <v>132.23765432098764</v>
      </c>
      <c r="V377" s="24">
        <v>-6.9444444444444448E-2</v>
      </c>
      <c r="W377" s="14">
        <f>S377+T377/2+U377+P377</f>
        <v>221.92849474733529</v>
      </c>
      <c r="X377" s="22">
        <v>31</v>
      </c>
      <c r="Y377">
        <v>0</v>
      </c>
      <c r="Z377" t="s">
        <v>651</v>
      </c>
      <c r="AA377">
        <v>340</v>
      </c>
      <c r="AB377">
        <v>648</v>
      </c>
      <c r="AC377">
        <v>1045</v>
      </c>
    </row>
    <row r="378" spans="1:29">
      <c r="A378" t="s">
        <v>430</v>
      </c>
      <c r="B378" t="s">
        <v>443</v>
      </c>
      <c r="C378">
        <v>3</v>
      </c>
      <c r="D378" t="s">
        <v>35</v>
      </c>
      <c r="E378" s="1">
        <v>75</v>
      </c>
      <c r="F378">
        <v>200</v>
      </c>
      <c r="G378" s="1">
        <v>18</v>
      </c>
      <c r="H378" t="s">
        <v>41</v>
      </c>
      <c r="I378" t="s">
        <v>44</v>
      </c>
      <c r="J378" s="2">
        <f>3+1+68+5</f>
        <v>77</v>
      </c>
      <c r="K378" s="23">
        <v>92.468085106382972</v>
      </c>
      <c r="L378" s="23">
        <v>148.29787234042553</v>
      </c>
      <c r="M378" s="23">
        <v>55.829787234042549</v>
      </c>
      <c r="N378" s="5" t="s">
        <v>600</v>
      </c>
      <c r="O378" s="2" t="s">
        <v>651</v>
      </c>
      <c r="P378" s="23">
        <v>20.976744186046513</v>
      </c>
      <c r="Q378" s="14">
        <v>18.578125</v>
      </c>
      <c r="R378" s="14">
        <v>35.234375</v>
      </c>
      <c r="S378" s="14">
        <v>53.8125</v>
      </c>
      <c r="T378" s="14">
        <v>24.34375</v>
      </c>
      <c r="U378" s="14">
        <v>134.75968992248062</v>
      </c>
      <c r="V378" s="24"/>
      <c r="W378" s="14">
        <f>S378+T378/2+U378+P378</f>
        <v>221.72080910852713</v>
      </c>
      <c r="Y378">
        <v>1</v>
      </c>
      <c r="Z378" t="s">
        <v>650</v>
      </c>
      <c r="AA378">
        <v>33</v>
      </c>
      <c r="AB378">
        <v>129</v>
      </c>
      <c r="AC378">
        <v>212</v>
      </c>
    </row>
    <row r="379" spans="1:29">
      <c r="A379" t="s">
        <v>266</v>
      </c>
      <c r="B379" t="s">
        <v>269</v>
      </c>
      <c r="C379">
        <v>21</v>
      </c>
      <c r="D379" t="s">
        <v>37</v>
      </c>
      <c r="E379" s="1">
        <v>74</v>
      </c>
      <c r="F379">
        <v>208</v>
      </c>
      <c r="G379" s="1">
        <v>18</v>
      </c>
      <c r="H379" t="s">
        <v>41</v>
      </c>
      <c r="I379" t="s">
        <v>44</v>
      </c>
      <c r="J379" s="2">
        <v>45</v>
      </c>
      <c r="K379" s="23">
        <v>10.468085106382977</v>
      </c>
      <c r="L379" s="23">
        <v>12.212765957446807</v>
      </c>
      <c r="M379" s="23">
        <v>31.404255319148938</v>
      </c>
      <c r="N379" s="5" t="s">
        <v>607</v>
      </c>
      <c r="O379" s="2" t="s">
        <v>651</v>
      </c>
      <c r="P379" s="23">
        <v>29.227722772277225</v>
      </c>
      <c r="Q379" s="14">
        <v>15.702127659574469</v>
      </c>
      <c r="R379" s="14">
        <v>13.957446808510639</v>
      </c>
      <c r="S379" s="14">
        <v>29.659574468085108</v>
      </c>
      <c r="T379" s="14">
        <v>10.468085106382979</v>
      </c>
      <c r="U379" s="14">
        <v>157.50495049504951</v>
      </c>
      <c r="V379" s="24"/>
      <c r="W379" s="14">
        <f>S379+T379/2+U379+P379</f>
        <v>221.62629028860334</v>
      </c>
      <c r="Y379">
        <v>0</v>
      </c>
      <c r="Z379" t="s">
        <v>650</v>
      </c>
      <c r="AA379">
        <v>36</v>
      </c>
      <c r="AB379">
        <v>101</v>
      </c>
      <c r="AC379">
        <v>194</v>
      </c>
    </row>
    <row r="380" spans="1:29">
      <c r="A380" t="s">
        <v>283</v>
      </c>
      <c r="B380" t="s">
        <v>285</v>
      </c>
      <c r="C380">
        <v>162</v>
      </c>
      <c r="D380" t="s">
        <v>65</v>
      </c>
      <c r="E380" s="1">
        <v>70</v>
      </c>
      <c r="F380">
        <v>175</v>
      </c>
      <c r="G380" s="1">
        <v>18</v>
      </c>
      <c r="H380" t="s">
        <v>41</v>
      </c>
      <c r="I380" t="s">
        <v>44</v>
      </c>
      <c r="J380" s="2">
        <v>50</v>
      </c>
      <c r="K380" s="23">
        <v>15.702127659574469</v>
      </c>
      <c r="L380" s="23">
        <v>17.446808510638299</v>
      </c>
      <c r="M380" s="23">
        <v>13.957446808510637</v>
      </c>
      <c r="N380" s="5" t="s">
        <v>606</v>
      </c>
      <c r="O380" s="2" t="s">
        <v>651</v>
      </c>
      <c r="P380" s="23">
        <v>49.088435374149661</v>
      </c>
      <c r="Q380" s="14">
        <v>14.43661971830986</v>
      </c>
      <c r="R380" s="14">
        <v>28.87323943661972</v>
      </c>
      <c r="S380" s="14">
        <v>43.309859154929576</v>
      </c>
      <c r="T380" s="14">
        <v>15.014084507042254</v>
      </c>
      <c r="U380" s="14">
        <v>121.60544217687075</v>
      </c>
      <c r="V380" s="24"/>
      <c r="W380" s="14">
        <f>S380+T380/2+U380+P380</f>
        <v>221.51077895947114</v>
      </c>
      <c r="Y380">
        <v>0</v>
      </c>
      <c r="Z380" t="s">
        <v>650</v>
      </c>
      <c r="AA380">
        <v>88</v>
      </c>
      <c r="AB380">
        <v>147</v>
      </c>
      <c r="AC380">
        <v>218</v>
      </c>
    </row>
    <row r="381" spans="1:29">
      <c r="A381" t="s">
        <v>498</v>
      </c>
      <c r="B381" t="s">
        <v>499</v>
      </c>
      <c r="C381">
        <v>13</v>
      </c>
      <c r="D381" t="s">
        <v>119</v>
      </c>
      <c r="E381" s="1">
        <v>71</v>
      </c>
      <c r="F381">
        <v>190</v>
      </c>
      <c r="G381" s="1">
        <v>19</v>
      </c>
      <c r="H381" t="s">
        <v>41</v>
      </c>
      <c r="I381" t="s">
        <v>44</v>
      </c>
      <c r="J381" s="2">
        <v>66</v>
      </c>
      <c r="K381" s="23">
        <v>59.319148936170215</v>
      </c>
      <c r="L381" s="23">
        <v>88.978723404255305</v>
      </c>
      <c r="M381" s="23">
        <v>129.10638297872342</v>
      </c>
      <c r="N381" s="3" t="s">
        <v>599</v>
      </c>
      <c r="O381" s="2" t="s">
        <v>651</v>
      </c>
      <c r="P381" s="23">
        <v>48.185567010309278</v>
      </c>
      <c r="Q381" s="14">
        <v>18.597938144329898</v>
      </c>
      <c r="R381" s="14">
        <v>20.288659793814432</v>
      </c>
      <c r="S381" s="14">
        <v>38.886597938144327</v>
      </c>
      <c r="T381" s="14">
        <v>21.979381443298969</v>
      </c>
      <c r="U381" s="14">
        <v>123.14089347079037</v>
      </c>
      <c r="V381" s="24"/>
      <c r="W381" s="14">
        <f>S381+T381/2+U381+P381</f>
        <v>221.20274914089347</v>
      </c>
      <c r="Y381">
        <v>0</v>
      </c>
      <c r="Z381" t="s">
        <v>650</v>
      </c>
      <c r="AA381">
        <v>171</v>
      </c>
      <c r="AB381">
        <v>291</v>
      </c>
      <c r="AC381">
        <v>437</v>
      </c>
    </row>
    <row r="382" spans="1:29">
      <c r="A382" t="s">
        <v>556</v>
      </c>
      <c r="B382" t="s">
        <v>560</v>
      </c>
      <c r="C382">
        <v>119</v>
      </c>
      <c r="D382" t="s">
        <v>35</v>
      </c>
      <c r="E382" s="1">
        <v>75</v>
      </c>
      <c r="F382">
        <v>215</v>
      </c>
      <c r="G382" s="1">
        <v>18</v>
      </c>
      <c r="H382" t="s">
        <v>41</v>
      </c>
      <c r="I382" t="s">
        <v>44</v>
      </c>
      <c r="J382" s="2">
        <v>57</v>
      </c>
      <c r="K382" s="23">
        <v>41.87234042553191</v>
      </c>
      <c r="L382" s="23">
        <v>68.042553191489361</v>
      </c>
      <c r="M382" s="23">
        <v>76.765957446808514</v>
      </c>
      <c r="N382" s="5" t="s">
        <v>602</v>
      </c>
      <c r="O382" s="2" t="s">
        <v>651</v>
      </c>
      <c r="P382" s="23">
        <v>92.423728813559336</v>
      </c>
      <c r="Q382" s="14">
        <v>7.7758620689655169</v>
      </c>
      <c r="R382" s="14">
        <v>11.310344827586206</v>
      </c>
      <c r="S382" s="14">
        <v>19.086206896551722</v>
      </c>
      <c r="T382" s="14">
        <v>24.741379310344826</v>
      </c>
      <c r="U382" s="14">
        <v>96.940677966101688</v>
      </c>
      <c r="V382" s="24"/>
      <c r="W382" s="14">
        <f>S382+T382/2+U382+P382</f>
        <v>220.82130333138517</v>
      </c>
      <c r="Y382">
        <v>0</v>
      </c>
      <c r="Z382" t="s">
        <v>650</v>
      </c>
      <c r="AA382">
        <v>266</v>
      </c>
      <c r="AB382">
        <v>236</v>
      </c>
      <c r="AC382">
        <v>279</v>
      </c>
    </row>
    <row r="383" spans="1:29">
      <c r="A383" s="6" t="s">
        <v>102</v>
      </c>
      <c r="B383" t="s">
        <v>110</v>
      </c>
      <c r="C383">
        <v>102</v>
      </c>
      <c r="D383" t="s">
        <v>119</v>
      </c>
      <c r="E383" s="1">
        <v>69</v>
      </c>
      <c r="F383">
        <v>177</v>
      </c>
      <c r="G383" s="1">
        <v>18</v>
      </c>
      <c r="H383" t="s">
        <v>41</v>
      </c>
      <c r="I383" t="s">
        <v>43</v>
      </c>
      <c r="J383" s="2">
        <f>23+7+1+24+23+1+6</f>
        <v>85</v>
      </c>
      <c r="K383" s="23">
        <v>38.382978723404257</v>
      </c>
      <c r="L383" s="23">
        <v>54.085106382978722</v>
      </c>
      <c r="M383" s="23">
        <v>31.404255319148938</v>
      </c>
      <c r="N383" s="3" t="s">
        <v>628</v>
      </c>
      <c r="O383" s="2" t="s">
        <v>651</v>
      </c>
      <c r="P383" s="23">
        <v>65.884393063583815</v>
      </c>
      <c r="Q383" s="14">
        <v>13.257485029940119</v>
      </c>
      <c r="R383" s="14">
        <v>14.730538922155688</v>
      </c>
      <c r="S383" s="14">
        <v>27.988023952095809</v>
      </c>
      <c r="T383" s="14">
        <v>15.712574850299401</v>
      </c>
      <c r="U383" s="14">
        <v>118.49710982658959</v>
      </c>
      <c r="V383" s="24"/>
      <c r="W383" s="14">
        <f>S383+T383/2+U383+P383</f>
        <v>220.22581426741891</v>
      </c>
      <c r="Y383">
        <v>0</v>
      </c>
      <c r="Z383" t="s">
        <v>650</v>
      </c>
      <c r="AA383">
        <v>139</v>
      </c>
      <c r="AB383">
        <v>173</v>
      </c>
      <c r="AC383">
        <v>250</v>
      </c>
    </row>
    <row r="384" spans="1:29">
      <c r="A384" s="6" t="s">
        <v>148</v>
      </c>
      <c r="B384" t="s">
        <v>152</v>
      </c>
      <c r="C384">
        <v>53</v>
      </c>
      <c r="D384" t="s">
        <v>35</v>
      </c>
      <c r="E384" s="1">
        <v>74</v>
      </c>
      <c r="F384">
        <v>202</v>
      </c>
      <c r="G384" s="1">
        <v>18</v>
      </c>
      <c r="H384" t="s">
        <v>42</v>
      </c>
      <c r="I384" t="s">
        <v>43</v>
      </c>
      <c r="J384" s="2">
        <v>76</v>
      </c>
      <c r="K384" s="23">
        <v>24.425531914893615</v>
      </c>
      <c r="L384" s="23">
        <v>34.893617021276597</v>
      </c>
      <c r="M384" s="23">
        <v>141.31914893617019</v>
      </c>
      <c r="N384" s="5" t="s">
        <v>599</v>
      </c>
      <c r="O384" s="2" t="s">
        <v>651</v>
      </c>
      <c r="P384" s="23">
        <v>92.666666666666671</v>
      </c>
      <c r="Q384" s="14">
        <v>2.0672268907563023</v>
      </c>
      <c r="R384" s="14">
        <v>17.22689075630252</v>
      </c>
      <c r="S384" s="14">
        <v>19.294117647058822</v>
      </c>
      <c r="T384" s="14">
        <v>53.747899159663866</v>
      </c>
      <c r="U384" s="14">
        <v>81.333333333333329</v>
      </c>
      <c r="V384" s="24">
        <v>-0.13821138211382114</v>
      </c>
      <c r="W384" s="14">
        <f>S384+T384/2+U384+P384</f>
        <v>220.16806722689074</v>
      </c>
      <c r="X384" s="22">
        <v>-6</v>
      </c>
      <c r="Y384">
        <v>0</v>
      </c>
      <c r="Z384" t="s">
        <v>651</v>
      </c>
      <c r="AA384">
        <v>139</v>
      </c>
      <c r="AB384">
        <v>123</v>
      </c>
      <c r="AC384">
        <v>122</v>
      </c>
    </row>
    <row r="385" spans="1:29">
      <c r="A385" t="s">
        <v>283</v>
      </c>
      <c r="B385" t="s">
        <v>392</v>
      </c>
      <c r="C385">
        <v>1</v>
      </c>
      <c r="D385" t="s">
        <v>34</v>
      </c>
      <c r="E385" s="1">
        <v>70</v>
      </c>
      <c r="F385">
        <v>168</v>
      </c>
      <c r="G385" s="1">
        <v>18</v>
      </c>
      <c r="H385" t="s">
        <v>41</v>
      </c>
      <c r="I385" t="s">
        <v>44</v>
      </c>
      <c r="J385" s="2">
        <f>24+4+7+7+50</f>
        <v>92</v>
      </c>
      <c r="K385" s="23">
        <v>95.957446808510639</v>
      </c>
      <c r="L385" s="23">
        <v>230.29787234042553</v>
      </c>
      <c r="M385" s="23">
        <v>69.787234042553195</v>
      </c>
      <c r="N385" s="5" t="s">
        <v>608</v>
      </c>
      <c r="O385" s="2" t="s">
        <v>651</v>
      </c>
      <c r="P385" s="23">
        <v>17.083333333333336</v>
      </c>
      <c r="Q385" s="14">
        <v>16.399999999999999</v>
      </c>
      <c r="R385" s="14">
        <v>24.599999999999998</v>
      </c>
      <c r="S385" s="14">
        <v>41</v>
      </c>
      <c r="T385" s="14">
        <v>16.399999999999999</v>
      </c>
      <c r="U385" s="14">
        <v>153.75</v>
      </c>
      <c r="V385" s="24"/>
      <c r="W385" s="14">
        <f>S385+T385/2+U385+P385</f>
        <v>220.03333333333333</v>
      </c>
      <c r="Y385">
        <v>0</v>
      </c>
      <c r="Z385" t="s">
        <v>650</v>
      </c>
      <c r="AA385">
        <v>5</v>
      </c>
      <c r="AB385">
        <v>24</v>
      </c>
      <c r="AC385">
        <v>45</v>
      </c>
    </row>
    <row r="386" spans="1:29">
      <c r="A386" t="s">
        <v>413</v>
      </c>
      <c r="B386" t="s">
        <v>414</v>
      </c>
      <c r="C386">
        <v>17</v>
      </c>
      <c r="D386" t="s">
        <v>35</v>
      </c>
      <c r="E386" s="1">
        <v>74</v>
      </c>
      <c r="F386">
        <v>200</v>
      </c>
      <c r="G386" s="1">
        <v>19</v>
      </c>
      <c r="H386" t="s">
        <v>42</v>
      </c>
      <c r="I386" t="s">
        <v>44</v>
      </c>
      <c r="J386" s="2">
        <v>65</v>
      </c>
      <c r="K386" s="23">
        <v>20.936170212765955</v>
      </c>
      <c r="L386" s="23">
        <v>57.574468085106382</v>
      </c>
      <c r="M386" s="23">
        <v>90.723404255319153</v>
      </c>
      <c r="N386" s="3" t="s">
        <v>614</v>
      </c>
      <c r="O386" s="2" t="s">
        <v>651</v>
      </c>
      <c r="P386" s="23">
        <v>73.343108504398828</v>
      </c>
      <c r="Q386" s="14">
        <v>2.6529411764705881</v>
      </c>
      <c r="R386" s="14">
        <v>17.123529411764707</v>
      </c>
      <c r="S386" s="14">
        <v>19.776470588235295</v>
      </c>
      <c r="T386" s="14">
        <v>56.194117647058825</v>
      </c>
      <c r="U386" s="14">
        <v>98.111436950146626</v>
      </c>
      <c r="V386" s="24">
        <v>2.0527859237536656E-2</v>
      </c>
      <c r="W386" s="14">
        <f>S386+T386/2+U386+P386</f>
        <v>219.32807486631017</v>
      </c>
      <c r="X386" s="22">
        <v>-6</v>
      </c>
      <c r="Y386">
        <v>0</v>
      </c>
      <c r="Z386" t="s">
        <v>650</v>
      </c>
      <c r="AA386">
        <v>305</v>
      </c>
      <c r="AB386">
        <v>341</v>
      </c>
      <c r="AC386">
        <v>408</v>
      </c>
    </row>
    <row r="387" spans="1:29">
      <c r="A387" t="s">
        <v>251</v>
      </c>
      <c r="B387" t="s">
        <v>253</v>
      </c>
      <c r="C387">
        <v>117</v>
      </c>
      <c r="D387" t="s">
        <v>65</v>
      </c>
      <c r="E387" s="1">
        <v>72</v>
      </c>
      <c r="F387">
        <v>190</v>
      </c>
      <c r="G387" s="1">
        <v>18</v>
      </c>
      <c r="H387" t="s">
        <v>41</v>
      </c>
      <c r="I387" t="s">
        <v>43</v>
      </c>
      <c r="J387" s="2">
        <v>57</v>
      </c>
      <c r="K387" s="23">
        <v>45.361702127659576</v>
      </c>
      <c r="L387" s="23">
        <v>29.659574468085108</v>
      </c>
      <c r="M387" s="23">
        <v>95.957446808510639</v>
      </c>
      <c r="N387" s="5" t="s">
        <v>621</v>
      </c>
      <c r="O387" s="2" t="s">
        <v>651</v>
      </c>
      <c r="P387" s="23">
        <v>75.692307692307693</v>
      </c>
      <c r="Q387" s="14">
        <v>12.299999999999999</v>
      </c>
      <c r="R387" s="14">
        <v>20.5</v>
      </c>
      <c r="S387" s="14">
        <v>32.799999999999997</v>
      </c>
      <c r="T387" s="14">
        <v>0</v>
      </c>
      <c r="U387" s="14">
        <v>110.38461538461539</v>
      </c>
      <c r="V387" s="24"/>
      <c r="W387" s="14">
        <f>S387+T387/2+U387+P387</f>
        <v>218.87692307692305</v>
      </c>
      <c r="Y387">
        <v>0</v>
      </c>
      <c r="Z387" t="s">
        <v>650</v>
      </c>
      <c r="AA387">
        <v>24</v>
      </c>
      <c r="AB387">
        <v>26</v>
      </c>
      <c r="AC387">
        <v>35</v>
      </c>
    </row>
    <row r="388" spans="1:29">
      <c r="A388" s="6" t="s">
        <v>135</v>
      </c>
      <c r="B388" t="s">
        <v>396</v>
      </c>
      <c r="C388">
        <v>13</v>
      </c>
      <c r="D388" t="s">
        <v>34</v>
      </c>
      <c r="E388" s="1">
        <v>75</v>
      </c>
      <c r="F388">
        <v>205</v>
      </c>
      <c r="G388" s="1">
        <v>19</v>
      </c>
      <c r="H388" t="s">
        <v>42</v>
      </c>
      <c r="I388" t="s">
        <v>44</v>
      </c>
      <c r="J388" s="2">
        <v>37</v>
      </c>
      <c r="K388" s="23">
        <v>6.9787234042553186</v>
      </c>
      <c r="L388" s="23">
        <v>15.702127659574469</v>
      </c>
      <c r="M388" s="23">
        <v>41.87234042553191</v>
      </c>
      <c r="N388" s="5" t="s">
        <v>611</v>
      </c>
      <c r="O388" s="2" t="s">
        <v>651</v>
      </c>
      <c r="P388" s="23">
        <v>74.223474178403762</v>
      </c>
      <c r="Q388" s="14">
        <v>4.4385321100917432</v>
      </c>
      <c r="R388" s="14">
        <v>18.355963302752293</v>
      </c>
      <c r="S388" s="14">
        <v>22.794495412844039</v>
      </c>
      <c r="T388" s="14">
        <v>32.72477064220184</v>
      </c>
      <c r="U388" s="14">
        <v>105.25258215962441</v>
      </c>
      <c r="V388" s="24">
        <v>-2.913533834586466E-2</v>
      </c>
      <c r="W388" s="14">
        <f>S388+T388/2+U388+P388</f>
        <v>218.63293707197312</v>
      </c>
      <c r="X388" s="22">
        <v>-1</v>
      </c>
      <c r="Y388">
        <v>0</v>
      </c>
      <c r="Z388" t="s">
        <v>651</v>
      </c>
      <c r="AA388">
        <v>964</v>
      </c>
      <c r="AB388">
        <v>1065</v>
      </c>
      <c r="AC388">
        <v>1367</v>
      </c>
    </row>
    <row r="389" spans="1:29">
      <c r="A389" t="s">
        <v>430</v>
      </c>
      <c r="B389" t="s">
        <v>431</v>
      </c>
      <c r="C389">
        <v>3</v>
      </c>
      <c r="D389" t="s">
        <v>35</v>
      </c>
      <c r="E389" s="1">
        <v>76</v>
      </c>
      <c r="F389">
        <v>197</v>
      </c>
      <c r="G389" s="1">
        <v>18</v>
      </c>
      <c r="H389" t="s">
        <v>41</v>
      </c>
      <c r="I389" t="s">
        <v>43</v>
      </c>
      <c r="J389" s="2">
        <v>62</v>
      </c>
      <c r="K389" s="23">
        <v>43.617021276595743</v>
      </c>
      <c r="L389" s="23">
        <v>83.744680851063819</v>
      </c>
      <c r="M389" s="23">
        <v>69.787234042553195</v>
      </c>
      <c r="N389" s="3" t="s">
        <v>599</v>
      </c>
      <c r="O389" s="2" t="s">
        <v>651</v>
      </c>
      <c r="P389" s="23">
        <v>46.857142857142854</v>
      </c>
      <c r="Q389" s="14">
        <v>25.625</v>
      </c>
      <c r="R389" s="14">
        <v>25.625</v>
      </c>
      <c r="S389" s="14">
        <v>51.25</v>
      </c>
      <c r="T389" s="14">
        <v>20.5</v>
      </c>
      <c r="U389" s="14">
        <v>109.33333333333333</v>
      </c>
      <c r="V389" s="24"/>
      <c r="W389" s="14">
        <f>S389+T389/2+U389+P389</f>
        <v>217.69047619047618</v>
      </c>
      <c r="Y389">
        <v>1</v>
      </c>
      <c r="Z389" t="s">
        <v>650</v>
      </c>
      <c r="AA389">
        <v>12</v>
      </c>
      <c r="AB389">
        <v>21</v>
      </c>
      <c r="AC389">
        <v>28</v>
      </c>
    </row>
    <row r="390" spans="1:29">
      <c r="A390" s="6" t="s">
        <v>49</v>
      </c>
      <c r="B390" t="s">
        <v>53</v>
      </c>
      <c r="C390">
        <v>54</v>
      </c>
      <c r="D390" t="s">
        <v>34</v>
      </c>
      <c r="E390" s="1">
        <v>76</v>
      </c>
      <c r="F390">
        <v>205</v>
      </c>
      <c r="G390" s="1">
        <v>18</v>
      </c>
      <c r="H390" t="s">
        <v>42</v>
      </c>
      <c r="I390" t="s">
        <v>43</v>
      </c>
      <c r="J390" s="2">
        <v>25</v>
      </c>
      <c r="K390" s="23">
        <v>29.659574468085108</v>
      </c>
      <c r="L390" s="23">
        <v>24.425531914893615</v>
      </c>
      <c r="M390" s="23">
        <v>13.957446808510637</v>
      </c>
      <c r="N390" s="3" t="s">
        <v>603</v>
      </c>
      <c r="O390" s="2" t="s">
        <v>651</v>
      </c>
      <c r="P390" s="23">
        <v>96</v>
      </c>
      <c r="Q390" s="14">
        <v>7.235294117647058</v>
      </c>
      <c r="R390" s="14">
        <v>14.470588235294116</v>
      </c>
      <c r="S390" s="14">
        <v>21.705882352941174</v>
      </c>
      <c r="T390" s="14">
        <v>33.764705882352942</v>
      </c>
      <c r="U390" s="14">
        <v>82</v>
      </c>
      <c r="V390" s="24">
        <v>0.25</v>
      </c>
      <c r="W390" s="14">
        <f>S390+T390/2+U390+P390</f>
        <v>216.58823529411765</v>
      </c>
      <c r="Y390">
        <v>0</v>
      </c>
      <c r="Z390" t="s">
        <v>650</v>
      </c>
      <c r="AA390">
        <v>48</v>
      </c>
      <c r="AB390">
        <v>41</v>
      </c>
      <c r="AC390">
        <v>41</v>
      </c>
    </row>
    <row r="391" spans="1:29">
      <c r="A391" s="6" t="s">
        <v>135</v>
      </c>
      <c r="B391" t="s">
        <v>187</v>
      </c>
      <c r="C391">
        <v>21</v>
      </c>
      <c r="D391" t="s">
        <v>34</v>
      </c>
      <c r="E391" s="1">
        <v>72</v>
      </c>
      <c r="F391">
        <v>183</v>
      </c>
      <c r="G391" s="1">
        <v>18</v>
      </c>
      <c r="H391" t="s">
        <v>41</v>
      </c>
      <c r="I391" t="s">
        <v>43</v>
      </c>
      <c r="J391" s="2">
        <v>81</v>
      </c>
      <c r="K391" s="23">
        <v>57.574468085106382</v>
      </c>
      <c r="L391" s="23">
        <v>82</v>
      </c>
      <c r="M391" s="23">
        <v>66.297872340425528</v>
      </c>
      <c r="N391" s="5" t="s">
        <v>608</v>
      </c>
      <c r="O391" s="2" t="s">
        <v>651</v>
      </c>
      <c r="P391" s="23">
        <v>34.637931034482762</v>
      </c>
      <c r="Q391" s="14">
        <v>13.541284403669726</v>
      </c>
      <c r="R391" s="14">
        <v>24.825688073394495</v>
      </c>
      <c r="S391" s="14">
        <v>38.366972477064223</v>
      </c>
      <c r="T391" s="14">
        <v>34.605504587155963</v>
      </c>
      <c r="U391" s="14">
        <v>125.82758620689656</v>
      </c>
      <c r="V391" s="24"/>
      <c r="W391" s="14">
        <f>S391+T391/2+U391+P391</f>
        <v>216.13524201202151</v>
      </c>
      <c r="Y391">
        <v>0</v>
      </c>
      <c r="Z391" t="s">
        <v>650</v>
      </c>
      <c r="AA391">
        <v>49</v>
      </c>
      <c r="AB391">
        <v>116</v>
      </c>
      <c r="AC391">
        <v>178</v>
      </c>
    </row>
    <row r="392" spans="1:29">
      <c r="A392" t="s">
        <v>266</v>
      </c>
      <c r="B392" t="s">
        <v>267</v>
      </c>
      <c r="C392">
        <v>7</v>
      </c>
      <c r="D392" t="s">
        <v>65</v>
      </c>
      <c r="E392" s="1">
        <v>71</v>
      </c>
      <c r="F392">
        <v>198</v>
      </c>
      <c r="G392" s="1">
        <v>19</v>
      </c>
      <c r="H392" t="s">
        <v>41</v>
      </c>
      <c r="I392" t="s">
        <v>44</v>
      </c>
      <c r="J392" s="2">
        <v>52</v>
      </c>
      <c r="K392" s="23">
        <v>24.425531914893615</v>
      </c>
      <c r="L392" s="23">
        <v>17.446808510638299</v>
      </c>
      <c r="M392" s="23">
        <v>45.361702127659576</v>
      </c>
      <c r="N392" s="3" t="s">
        <v>618</v>
      </c>
      <c r="O392" s="2" t="s">
        <v>651</v>
      </c>
      <c r="P392" s="23">
        <v>110.57575757575756</v>
      </c>
      <c r="Q392" s="14">
        <v>3.7272727272727275</v>
      </c>
      <c r="R392" s="14">
        <v>7.454545454545455</v>
      </c>
      <c r="S392" s="14">
        <v>11.181818181818182</v>
      </c>
      <c r="T392" s="14">
        <v>41</v>
      </c>
      <c r="U392" s="14">
        <v>73.303030303030297</v>
      </c>
      <c r="V392" s="24"/>
      <c r="W392" s="14">
        <f>S392+T392/2+U392+P392</f>
        <v>215.56060606060603</v>
      </c>
      <c r="Y392">
        <v>0</v>
      </c>
      <c r="Z392" t="s">
        <v>650</v>
      </c>
      <c r="AA392">
        <v>89</v>
      </c>
      <c r="AB392">
        <v>66</v>
      </c>
      <c r="AC392">
        <v>59</v>
      </c>
    </row>
    <row r="393" spans="1:29">
      <c r="A393" t="s">
        <v>354</v>
      </c>
      <c r="B393" t="s">
        <v>353</v>
      </c>
      <c r="C393">
        <v>73</v>
      </c>
      <c r="D393" t="s">
        <v>119</v>
      </c>
      <c r="E393" s="1">
        <v>71</v>
      </c>
      <c r="F393">
        <v>200</v>
      </c>
      <c r="G393" s="1">
        <v>19</v>
      </c>
      <c r="H393" t="s">
        <v>42</v>
      </c>
      <c r="I393" t="s">
        <v>43</v>
      </c>
      <c r="J393" s="2">
        <v>52</v>
      </c>
      <c r="K393" s="23">
        <v>22.680851063829788</v>
      </c>
      <c r="L393" s="23">
        <v>48.851063829787229</v>
      </c>
      <c r="M393" s="23">
        <v>76.765957446808514</v>
      </c>
      <c r="N393" s="3" t="s">
        <v>600</v>
      </c>
      <c r="O393" s="2" t="s">
        <v>651</v>
      </c>
      <c r="P393" s="23">
        <v>78.343949044585983</v>
      </c>
      <c r="Q393" s="14">
        <v>4.7206823027718547</v>
      </c>
      <c r="R393" s="14">
        <v>11.189765458422174</v>
      </c>
      <c r="S393" s="14">
        <v>15.91044776119403</v>
      </c>
      <c r="T393" s="14">
        <v>31.995735607675904</v>
      </c>
      <c r="U393" s="14">
        <v>104.98089171974522</v>
      </c>
      <c r="V393" s="24">
        <v>-4.8832271762208071E-2</v>
      </c>
      <c r="W393" s="14">
        <f>S393+T393/2+U393+P393</f>
        <v>215.23315632936317</v>
      </c>
      <c r="X393" s="22">
        <v>-20</v>
      </c>
      <c r="Y393">
        <v>0</v>
      </c>
      <c r="Z393" t="s">
        <v>651</v>
      </c>
      <c r="AA393">
        <v>450</v>
      </c>
      <c r="AB393">
        <v>471</v>
      </c>
      <c r="AC393">
        <v>603</v>
      </c>
    </row>
    <row r="394" spans="1:29">
      <c r="A394" t="s">
        <v>234</v>
      </c>
      <c r="B394" t="s">
        <v>238</v>
      </c>
      <c r="C394">
        <v>7</v>
      </c>
      <c r="D394" t="s">
        <v>35</v>
      </c>
      <c r="E394" s="1">
        <v>75</v>
      </c>
      <c r="F394">
        <v>221</v>
      </c>
      <c r="G394" s="1">
        <v>18</v>
      </c>
      <c r="H394" t="s">
        <v>42</v>
      </c>
      <c r="I394" t="s">
        <v>44</v>
      </c>
      <c r="J394" s="2">
        <v>77</v>
      </c>
      <c r="K394" s="23">
        <v>13.957446808510637</v>
      </c>
      <c r="L394" s="23">
        <v>68.042553191489361</v>
      </c>
      <c r="M394" s="23">
        <v>87.234042553191486</v>
      </c>
      <c r="N394" s="3" t="s">
        <v>599</v>
      </c>
      <c r="O394" s="2" t="s">
        <v>651</v>
      </c>
      <c r="P394" s="23">
        <v>95.40384615384616</v>
      </c>
      <c r="Q394" s="14">
        <v>1.64</v>
      </c>
      <c r="R394" s="14">
        <v>9.02</v>
      </c>
      <c r="S394" s="14">
        <v>10.66</v>
      </c>
      <c r="T394" s="14">
        <v>14.76</v>
      </c>
      <c r="U394" s="14">
        <v>101.71153846153847</v>
      </c>
      <c r="V394" s="24">
        <v>0</v>
      </c>
      <c r="W394" s="14">
        <f>S394+T394/2+U394+P394</f>
        <v>215.15538461538463</v>
      </c>
      <c r="X394" s="22">
        <v>-58</v>
      </c>
      <c r="Y394">
        <v>0</v>
      </c>
      <c r="Z394" t="s">
        <v>650</v>
      </c>
      <c r="AA394">
        <v>121</v>
      </c>
      <c r="AB394">
        <v>104</v>
      </c>
      <c r="AC394">
        <v>129</v>
      </c>
    </row>
    <row r="395" spans="1:29">
      <c r="A395" t="s">
        <v>539</v>
      </c>
      <c r="B395" t="s">
        <v>553</v>
      </c>
      <c r="C395">
        <v>106</v>
      </c>
      <c r="D395" t="s">
        <v>65</v>
      </c>
      <c r="E395" s="1">
        <v>71</v>
      </c>
      <c r="F395">
        <v>175</v>
      </c>
      <c r="G395" s="1">
        <v>18</v>
      </c>
      <c r="H395" t="s">
        <v>41</v>
      </c>
      <c r="I395" t="s">
        <v>44</v>
      </c>
      <c r="J395" s="2">
        <f>3+27+15</f>
        <v>45</v>
      </c>
      <c r="K395" s="23">
        <v>43.617021276595743</v>
      </c>
      <c r="L395" s="23">
        <v>64.553191489361708</v>
      </c>
      <c r="M395" s="23">
        <v>200.63829787234042</v>
      </c>
      <c r="N395" s="5" t="s">
        <v>65</v>
      </c>
      <c r="O395" s="2" t="s">
        <v>651</v>
      </c>
      <c r="P395" s="23">
        <v>80.955414012738856</v>
      </c>
      <c r="Q395" s="14">
        <v>14.565789473684211</v>
      </c>
      <c r="R395" s="14">
        <v>11.328947368421053</v>
      </c>
      <c r="S395" s="14">
        <v>25.894736842105264</v>
      </c>
      <c r="T395" s="14">
        <v>25.894736842105264</v>
      </c>
      <c r="U395" s="14">
        <v>95.057324840764323</v>
      </c>
      <c r="V395" s="24"/>
      <c r="W395" s="14">
        <f>S395+T395/2+U395+P395</f>
        <v>214.85484411666107</v>
      </c>
      <c r="X395" s="22">
        <v>2</v>
      </c>
      <c r="Y395">
        <v>0</v>
      </c>
      <c r="Z395" t="s">
        <v>650</v>
      </c>
      <c r="AA395">
        <v>155</v>
      </c>
      <c r="AB395">
        <v>157</v>
      </c>
      <c r="AC395">
        <v>182</v>
      </c>
    </row>
    <row r="396" spans="1:29">
      <c r="A396" t="s">
        <v>251</v>
      </c>
      <c r="B396" t="s">
        <v>257</v>
      </c>
      <c r="C396">
        <v>159</v>
      </c>
      <c r="D396" t="s">
        <v>66</v>
      </c>
      <c r="E396" s="1">
        <v>75</v>
      </c>
      <c r="F396">
        <v>213</v>
      </c>
      <c r="G396" s="1">
        <v>20</v>
      </c>
      <c r="H396" t="s">
        <v>42</v>
      </c>
      <c r="I396" t="s">
        <v>44</v>
      </c>
      <c r="J396" s="2">
        <f>4+16+16+11+7+20</f>
        <v>74</v>
      </c>
      <c r="K396" s="23">
        <v>5.2340425531914887</v>
      </c>
      <c r="L396" s="23">
        <v>19.191489361702128</v>
      </c>
      <c r="M396" s="23">
        <v>48.851063829787229</v>
      </c>
      <c r="N396" s="5" t="s">
        <v>624</v>
      </c>
      <c r="O396" s="2" t="s">
        <v>651</v>
      </c>
      <c r="P396" s="23">
        <v>91.461538461538467</v>
      </c>
      <c r="Q396" s="14">
        <v>4.0999999999999996</v>
      </c>
      <c r="R396" s="14">
        <v>8.1999999999999993</v>
      </c>
      <c r="S396" s="14">
        <v>12.299999999999999</v>
      </c>
      <c r="T396" s="14">
        <v>32.799999999999997</v>
      </c>
      <c r="U396" s="14">
        <v>94.615384615384613</v>
      </c>
      <c r="V396" s="24">
        <v>-0.15384615384615385</v>
      </c>
      <c r="W396" s="14">
        <f>S396+T396/2+U396+P396</f>
        <v>214.77692307692308</v>
      </c>
      <c r="X396" s="22">
        <v>-40</v>
      </c>
      <c r="Y396">
        <v>0</v>
      </c>
      <c r="Z396" t="s">
        <v>651</v>
      </c>
      <c r="AA396">
        <v>29</v>
      </c>
      <c r="AB396">
        <v>26</v>
      </c>
      <c r="AC396">
        <v>30</v>
      </c>
    </row>
    <row r="397" spans="1:29">
      <c r="A397" t="s">
        <v>322</v>
      </c>
      <c r="B397" t="s">
        <v>327</v>
      </c>
      <c r="C397">
        <v>99</v>
      </c>
      <c r="D397" t="s">
        <v>38</v>
      </c>
      <c r="E397" s="1">
        <v>72</v>
      </c>
      <c r="F397">
        <v>190</v>
      </c>
      <c r="G397" s="1">
        <v>18</v>
      </c>
      <c r="H397" t="s">
        <v>41</v>
      </c>
      <c r="I397" t="s">
        <v>43</v>
      </c>
      <c r="J397" s="2">
        <v>18</v>
      </c>
      <c r="K397" s="23">
        <v>3.4893617021276593</v>
      </c>
      <c r="L397" s="23">
        <v>3.4893617021276593</v>
      </c>
      <c r="M397" s="23">
        <v>6.9787234042553186</v>
      </c>
      <c r="N397" s="3" t="s">
        <v>615</v>
      </c>
      <c r="O397" s="2" t="s">
        <v>651</v>
      </c>
      <c r="P397" s="23">
        <v>34.916129032258063</v>
      </c>
      <c r="Q397" s="14">
        <v>14.518032786885245</v>
      </c>
      <c r="R397" s="14">
        <v>22.314754098360655</v>
      </c>
      <c r="S397" s="14">
        <v>36.832786885245902</v>
      </c>
      <c r="T397" s="14">
        <v>20.4327868852459</v>
      </c>
      <c r="U397" s="14">
        <v>132.25806451612902</v>
      </c>
      <c r="V397" s="24"/>
      <c r="W397" s="14">
        <f>S397+T397/2+U397+P397</f>
        <v>214.22337387625592</v>
      </c>
      <c r="Y397">
        <v>0</v>
      </c>
      <c r="Z397" t="s">
        <v>650</v>
      </c>
      <c r="AA397">
        <v>132</v>
      </c>
      <c r="AB397">
        <v>310</v>
      </c>
      <c r="AC397">
        <v>500</v>
      </c>
    </row>
    <row r="398" spans="1:29">
      <c r="A398" t="s">
        <v>461</v>
      </c>
      <c r="B398" t="s">
        <v>475</v>
      </c>
      <c r="C398">
        <v>67</v>
      </c>
      <c r="D398" t="s">
        <v>35</v>
      </c>
      <c r="E398" s="1">
        <v>70</v>
      </c>
      <c r="F398">
        <v>170</v>
      </c>
      <c r="G398" s="1">
        <v>18</v>
      </c>
      <c r="H398" t="s">
        <v>42</v>
      </c>
      <c r="I398" t="s">
        <v>44</v>
      </c>
      <c r="J398" s="2">
        <v>72</v>
      </c>
      <c r="K398" s="23">
        <v>45.361702127659576</v>
      </c>
      <c r="L398" s="23">
        <v>61.063829787234042</v>
      </c>
      <c r="M398" s="23">
        <v>64.553191489361708</v>
      </c>
      <c r="N398" s="3" t="s">
        <v>599</v>
      </c>
      <c r="O398" s="2" t="s">
        <v>651</v>
      </c>
      <c r="P398" s="23">
        <v>77.399999999999991</v>
      </c>
      <c r="Q398" s="14">
        <v>4.6282208588957054</v>
      </c>
      <c r="R398" s="14">
        <v>18.613496932515339</v>
      </c>
      <c r="S398" s="14">
        <v>23.241717791411045</v>
      </c>
      <c r="T398" s="14">
        <v>25.25398773006135</v>
      </c>
      <c r="U398" s="14">
        <v>100.5</v>
      </c>
      <c r="V398" s="24">
        <v>-1.221001221001221E-3</v>
      </c>
      <c r="W398" s="14">
        <f>S398+T398/2+U398+P398</f>
        <v>213.76871165644172</v>
      </c>
      <c r="X398" s="22">
        <v>0</v>
      </c>
      <c r="Y398">
        <v>0</v>
      </c>
      <c r="Z398" t="s">
        <v>651</v>
      </c>
      <c r="AA398">
        <v>774</v>
      </c>
      <c r="AB398">
        <v>820</v>
      </c>
      <c r="AC398">
        <v>1005</v>
      </c>
    </row>
    <row r="399" spans="1:29">
      <c r="A399" t="s">
        <v>354</v>
      </c>
      <c r="B399" t="s">
        <v>339</v>
      </c>
      <c r="C399">
        <v>173</v>
      </c>
      <c r="D399" t="s">
        <v>34</v>
      </c>
      <c r="E399" s="1">
        <v>73</v>
      </c>
      <c r="F399">
        <v>196</v>
      </c>
      <c r="G399" s="1">
        <v>19</v>
      </c>
      <c r="H399" t="s">
        <v>41</v>
      </c>
      <c r="I399" t="s">
        <v>44</v>
      </c>
      <c r="J399" s="2">
        <v>26</v>
      </c>
      <c r="K399" s="23">
        <v>41.87234042553191</v>
      </c>
      <c r="L399" s="23">
        <v>73.276595744680847</v>
      </c>
      <c r="M399" s="23">
        <v>24.425531914893615</v>
      </c>
      <c r="N399" s="5" t="s">
        <v>623</v>
      </c>
      <c r="O399" s="2" t="s">
        <v>651</v>
      </c>
      <c r="P399" s="23">
        <v>33.723549488054609</v>
      </c>
      <c r="Q399" s="14">
        <v>15.975862068965517</v>
      </c>
      <c r="R399" s="14">
        <v>20.924137931034483</v>
      </c>
      <c r="S399" s="14">
        <v>36.9</v>
      </c>
      <c r="T399" s="14">
        <v>22.479310344827589</v>
      </c>
      <c r="U399" s="14">
        <v>131.25597269624575</v>
      </c>
      <c r="V399" s="24"/>
      <c r="W399" s="14">
        <f>S399+T399/2+U399+P399</f>
        <v>213.11917735671415</v>
      </c>
      <c r="Y399">
        <v>0</v>
      </c>
      <c r="Z399" t="s">
        <v>650</v>
      </c>
      <c r="AA399">
        <v>241</v>
      </c>
      <c r="AB399">
        <v>586</v>
      </c>
      <c r="AC399">
        <v>938</v>
      </c>
    </row>
    <row r="400" spans="1:29">
      <c r="A400" t="s">
        <v>525</v>
      </c>
      <c r="B400" t="s">
        <v>526</v>
      </c>
      <c r="C400">
        <v>53</v>
      </c>
      <c r="D400" t="s">
        <v>65</v>
      </c>
      <c r="E400" s="1">
        <v>73</v>
      </c>
      <c r="F400">
        <v>214</v>
      </c>
      <c r="G400" s="1">
        <v>19</v>
      </c>
      <c r="H400" t="s">
        <v>42</v>
      </c>
      <c r="I400" t="s">
        <v>43</v>
      </c>
      <c r="J400" s="2">
        <v>67</v>
      </c>
      <c r="K400" s="23">
        <v>20.936170212765955</v>
      </c>
      <c r="L400" s="23">
        <v>90.723404255319153</v>
      </c>
      <c r="M400" s="23">
        <v>153.53191489361703</v>
      </c>
      <c r="N400" s="3" t="s">
        <v>600</v>
      </c>
      <c r="O400" s="2" t="s">
        <v>651</v>
      </c>
      <c r="P400" s="23">
        <v>55.12605042016807</v>
      </c>
      <c r="Q400" s="14">
        <v>2.8275862068965516</v>
      </c>
      <c r="R400" s="14">
        <v>15.551724137931034</v>
      </c>
      <c r="S400" s="14">
        <v>18.379310344827587</v>
      </c>
      <c r="T400" s="14">
        <v>29.689655172413794</v>
      </c>
      <c r="U400" s="14">
        <v>124.03361344537815</v>
      </c>
      <c r="V400" s="24">
        <v>7.5630252100840331E-2</v>
      </c>
      <c r="W400" s="14">
        <f>S400+T400/2+U400+P400</f>
        <v>212.38380179658071</v>
      </c>
      <c r="X400" s="22">
        <v>-8</v>
      </c>
      <c r="Y400">
        <v>0</v>
      </c>
      <c r="Z400" t="s">
        <v>650</v>
      </c>
      <c r="AA400">
        <v>80</v>
      </c>
      <c r="AB400">
        <v>119</v>
      </c>
      <c r="AC400">
        <v>180</v>
      </c>
    </row>
    <row r="401" spans="1:29">
      <c r="A401" t="s">
        <v>461</v>
      </c>
      <c r="B401" t="s">
        <v>467</v>
      </c>
      <c r="C401">
        <v>45</v>
      </c>
      <c r="D401" t="s">
        <v>38</v>
      </c>
      <c r="E401" s="1">
        <v>72</v>
      </c>
      <c r="F401">
        <v>180</v>
      </c>
      <c r="G401" s="1">
        <v>18</v>
      </c>
      <c r="H401" t="s">
        <v>41</v>
      </c>
      <c r="I401" t="s">
        <v>44</v>
      </c>
      <c r="J401" s="2">
        <v>2</v>
      </c>
      <c r="K401" s="23">
        <v>0</v>
      </c>
      <c r="L401" s="23">
        <v>0</v>
      </c>
      <c r="M401" s="23">
        <v>0</v>
      </c>
      <c r="N401" s="3" t="s">
        <v>38</v>
      </c>
      <c r="O401" s="2" t="s">
        <v>651</v>
      </c>
      <c r="P401" s="23">
        <v>53.576687116564415</v>
      </c>
      <c r="Q401" s="14">
        <v>14.349999999999998</v>
      </c>
      <c r="R401" s="14">
        <v>11.018749999999999</v>
      </c>
      <c r="S401" s="14">
        <v>25.368749999999999</v>
      </c>
      <c r="T401" s="14">
        <v>20.5</v>
      </c>
      <c r="U401" s="14">
        <v>122.74846625766871</v>
      </c>
      <c r="V401" s="24"/>
      <c r="W401" s="14">
        <f>S401+T401/2+U401+P401</f>
        <v>211.94390337423312</v>
      </c>
      <c r="Y401">
        <v>0</v>
      </c>
      <c r="Z401" t="s">
        <v>650</v>
      </c>
      <c r="AA401">
        <v>213</v>
      </c>
      <c r="AB401">
        <v>326</v>
      </c>
      <c r="AC401">
        <v>488</v>
      </c>
    </row>
    <row r="402" spans="1:29">
      <c r="A402" t="s">
        <v>397</v>
      </c>
      <c r="B402" t="s">
        <v>411</v>
      </c>
      <c r="C402">
        <v>71</v>
      </c>
      <c r="D402" t="s">
        <v>85</v>
      </c>
      <c r="E402" s="1">
        <v>72</v>
      </c>
      <c r="F402">
        <v>200</v>
      </c>
      <c r="G402" s="1">
        <v>18</v>
      </c>
      <c r="H402" t="s">
        <v>42</v>
      </c>
      <c r="I402" t="s">
        <v>44</v>
      </c>
      <c r="J402" s="2">
        <v>50</v>
      </c>
      <c r="K402" s="23">
        <v>8.7234042553191493</v>
      </c>
      <c r="L402" s="23">
        <v>20.936170212765955</v>
      </c>
      <c r="M402" s="23">
        <v>73.276595744680847</v>
      </c>
      <c r="N402" s="3" t="s">
        <v>36</v>
      </c>
      <c r="O402" s="2" t="s">
        <v>651</v>
      </c>
      <c r="P402" s="23">
        <v>62.732240437158467</v>
      </c>
      <c r="Q402" s="14">
        <v>5.0826446280991737</v>
      </c>
      <c r="R402" s="14">
        <v>21.798898071625345</v>
      </c>
      <c r="S402" s="14">
        <v>26.88154269972452</v>
      </c>
      <c r="T402" s="14">
        <v>20.782369146005511</v>
      </c>
      <c r="U402" s="14">
        <v>111.46174863387978</v>
      </c>
      <c r="V402" s="24">
        <v>-2.7322404371584699E-3</v>
      </c>
      <c r="W402" s="14">
        <f>S402+T402/2+U402+P402</f>
        <v>211.46671634376554</v>
      </c>
      <c r="X402" s="22">
        <v>6</v>
      </c>
      <c r="Y402">
        <v>0</v>
      </c>
      <c r="Z402" t="s">
        <v>651</v>
      </c>
      <c r="AA402">
        <v>560</v>
      </c>
      <c r="AB402">
        <v>732</v>
      </c>
      <c r="AC402">
        <v>995</v>
      </c>
    </row>
    <row r="403" spans="1:29">
      <c r="A403" s="6" t="s">
        <v>49</v>
      </c>
      <c r="B403" t="s">
        <v>56</v>
      </c>
      <c r="C403">
        <v>150</v>
      </c>
      <c r="D403" t="s">
        <v>35</v>
      </c>
      <c r="E403" s="1">
        <v>70</v>
      </c>
      <c r="F403">
        <v>175</v>
      </c>
      <c r="G403" s="1">
        <v>18</v>
      </c>
      <c r="H403" t="s">
        <v>41</v>
      </c>
      <c r="I403" t="s">
        <v>44</v>
      </c>
      <c r="J403" s="2">
        <v>51</v>
      </c>
      <c r="K403" s="23">
        <v>43.617021276595743</v>
      </c>
      <c r="L403" s="23">
        <v>76.765957446808514</v>
      </c>
      <c r="M403" s="23">
        <v>41.87234042553191</v>
      </c>
      <c r="N403" s="5" t="s">
        <v>602</v>
      </c>
      <c r="O403" s="2" t="s">
        <v>651</v>
      </c>
      <c r="P403" s="23">
        <v>40.549450549450555</v>
      </c>
      <c r="Q403" s="14">
        <v>18.067796610169491</v>
      </c>
      <c r="R403" s="14">
        <v>25.016949152542374</v>
      </c>
      <c r="S403" s="14">
        <v>43.084745762711862</v>
      </c>
      <c r="T403" s="14">
        <v>37.988700564971751</v>
      </c>
      <c r="U403" s="14">
        <v>108.13186813186813</v>
      </c>
      <c r="V403" s="24"/>
      <c r="W403" s="14">
        <f>S403+T403/2+U403+P403</f>
        <v>210.76041472651644</v>
      </c>
      <c r="Y403">
        <v>0</v>
      </c>
      <c r="Z403" t="s">
        <v>650</v>
      </c>
      <c r="AA403">
        <v>90</v>
      </c>
      <c r="AB403">
        <v>182</v>
      </c>
      <c r="AC403">
        <v>240</v>
      </c>
    </row>
    <row r="404" spans="1:29">
      <c r="A404" t="s">
        <v>306</v>
      </c>
      <c r="B404" t="s">
        <v>316</v>
      </c>
      <c r="C404">
        <v>61</v>
      </c>
      <c r="D404" t="s">
        <v>34</v>
      </c>
      <c r="E404" s="1">
        <v>76</v>
      </c>
      <c r="F404">
        <v>207</v>
      </c>
      <c r="G404" s="1">
        <v>19</v>
      </c>
      <c r="H404" t="s">
        <v>41</v>
      </c>
      <c r="I404" t="s">
        <v>44</v>
      </c>
      <c r="J404" s="2">
        <v>37</v>
      </c>
      <c r="K404" s="23">
        <v>20.936170212765955</v>
      </c>
      <c r="L404" s="23">
        <v>41.87234042553191</v>
      </c>
      <c r="M404" s="23">
        <v>38.382978723404257</v>
      </c>
      <c r="N404" s="5" t="s">
        <v>632</v>
      </c>
      <c r="O404" s="2" t="s">
        <v>651</v>
      </c>
      <c r="P404" s="23">
        <v>74.725806451612897</v>
      </c>
      <c r="Q404" s="14">
        <v>9.8119658119658109</v>
      </c>
      <c r="R404" s="14">
        <v>15.418803418803417</v>
      </c>
      <c r="S404" s="14">
        <v>25.23076923076923</v>
      </c>
      <c r="T404" s="14">
        <v>27.333333333333332</v>
      </c>
      <c r="U404" s="14">
        <v>95.887096774193552</v>
      </c>
      <c r="V404" s="24"/>
      <c r="W404" s="14">
        <f>S404+T404/2+U404+P404</f>
        <v>209.51033912324235</v>
      </c>
      <c r="Y404">
        <v>0</v>
      </c>
      <c r="Z404" t="s">
        <v>650</v>
      </c>
      <c r="AA404">
        <v>113</v>
      </c>
      <c r="AB404">
        <v>124</v>
      </c>
      <c r="AC404">
        <v>145</v>
      </c>
    </row>
    <row r="405" spans="1:29">
      <c r="A405" t="s">
        <v>461</v>
      </c>
      <c r="B405" t="s">
        <v>463</v>
      </c>
      <c r="C405">
        <v>124</v>
      </c>
      <c r="D405" t="s">
        <v>35</v>
      </c>
      <c r="E405" s="1">
        <v>71</v>
      </c>
      <c r="F405">
        <v>198</v>
      </c>
      <c r="G405" s="1">
        <v>18</v>
      </c>
      <c r="H405" t="s">
        <v>42</v>
      </c>
      <c r="I405" t="s">
        <v>43</v>
      </c>
      <c r="J405" s="2">
        <v>69</v>
      </c>
      <c r="K405" s="23">
        <v>22.680851063829788</v>
      </c>
      <c r="L405" s="23">
        <v>43.617021276595743</v>
      </c>
      <c r="M405" s="23">
        <v>40.127659574468083</v>
      </c>
      <c r="N405" s="3" t="s">
        <v>599</v>
      </c>
      <c r="O405" s="2" t="s">
        <v>651</v>
      </c>
      <c r="P405" s="23">
        <v>61.5</v>
      </c>
      <c r="Q405" s="14">
        <v>7.8095238095238093</v>
      </c>
      <c r="R405" s="14">
        <v>13.666666666666666</v>
      </c>
      <c r="S405" s="14">
        <v>21.476190476190474</v>
      </c>
      <c r="T405" s="14">
        <v>50.761904761904759</v>
      </c>
      <c r="U405" s="14">
        <v>100.79166666666667</v>
      </c>
      <c r="V405" s="24">
        <v>-0.2978723404255319</v>
      </c>
      <c r="W405" s="14">
        <f>S405+T405/2+U405+P405</f>
        <v>209.14880952380952</v>
      </c>
      <c r="X405" s="22">
        <v>-2</v>
      </c>
      <c r="Y405">
        <v>0</v>
      </c>
      <c r="Z405" t="s">
        <v>651</v>
      </c>
      <c r="AA405">
        <v>36</v>
      </c>
      <c r="AB405">
        <v>48</v>
      </c>
      <c r="AC405">
        <v>59</v>
      </c>
    </row>
    <row r="406" spans="1:29">
      <c r="A406" t="s">
        <v>220</v>
      </c>
      <c r="B406" t="s">
        <v>229</v>
      </c>
      <c r="C406">
        <v>17</v>
      </c>
      <c r="D406" t="s">
        <v>35</v>
      </c>
      <c r="E406" s="1">
        <v>75</v>
      </c>
      <c r="F406">
        <v>181</v>
      </c>
      <c r="G406" s="1">
        <v>18</v>
      </c>
      <c r="H406" t="s">
        <v>42</v>
      </c>
      <c r="I406" t="s">
        <v>44</v>
      </c>
      <c r="J406" s="2">
        <v>74</v>
      </c>
      <c r="K406" s="23">
        <v>8.7234042553191493</v>
      </c>
      <c r="L406" s="23">
        <v>52.340425531914896</v>
      </c>
      <c r="M406" s="23">
        <v>24.425531914893615</v>
      </c>
      <c r="N406" s="5" t="s">
        <v>599</v>
      </c>
      <c r="O406" s="2" t="s">
        <v>651</v>
      </c>
      <c r="P406" s="23">
        <v>43.836477987421382</v>
      </c>
      <c r="Q406" s="14">
        <v>7.0131578947368425</v>
      </c>
      <c r="R406" s="14">
        <v>20.5</v>
      </c>
      <c r="S406" s="14">
        <v>27.513157894736842</v>
      </c>
      <c r="T406" s="14">
        <v>26.973684210526315</v>
      </c>
      <c r="U406" s="14">
        <v>123.77358490566039</v>
      </c>
      <c r="V406" s="24">
        <v>-3.7735849056603772E-2</v>
      </c>
      <c r="W406" s="14">
        <f>S406+T406/2+U406+P406</f>
        <v>208.61006289308176</v>
      </c>
      <c r="X406" s="22">
        <v>7</v>
      </c>
      <c r="Y406">
        <v>0</v>
      </c>
      <c r="Z406" t="s">
        <v>651</v>
      </c>
      <c r="AA406">
        <v>85</v>
      </c>
      <c r="AB406">
        <v>159</v>
      </c>
      <c r="AC406">
        <v>240</v>
      </c>
    </row>
    <row r="407" spans="1:29">
      <c r="A407" t="s">
        <v>354</v>
      </c>
      <c r="B407" t="s">
        <v>346</v>
      </c>
      <c r="C407">
        <v>51</v>
      </c>
      <c r="D407" t="s">
        <v>65</v>
      </c>
      <c r="E407" s="1">
        <v>71</v>
      </c>
      <c r="F407">
        <v>186</v>
      </c>
      <c r="G407" s="1">
        <v>19</v>
      </c>
      <c r="H407" t="s">
        <v>41</v>
      </c>
      <c r="I407" t="s">
        <v>43</v>
      </c>
      <c r="J407" s="2">
        <v>33</v>
      </c>
      <c r="K407" s="23">
        <v>6.9787234042553186</v>
      </c>
      <c r="L407" s="23">
        <v>10.468085106382977</v>
      </c>
      <c r="M407" s="23">
        <v>3.4893617021276593</v>
      </c>
      <c r="N407" s="3" t="s">
        <v>605</v>
      </c>
      <c r="O407" s="2" t="s">
        <v>651</v>
      </c>
      <c r="P407" s="23">
        <v>43.137440758293835</v>
      </c>
      <c r="Q407" s="14">
        <v>14.389423076923077</v>
      </c>
      <c r="R407" s="14">
        <v>17.740384615384613</v>
      </c>
      <c r="S407" s="14">
        <v>32.129807692307693</v>
      </c>
      <c r="T407" s="14">
        <v>16.754807692307693</v>
      </c>
      <c r="U407" s="14">
        <v>124.36018957345971</v>
      </c>
      <c r="V407" s="24"/>
      <c r="W407" s="14">
        <f>S407+T407/2+U407+P407</f>
        <v>208.0048418702151</v>
      </c>
      <c r="Y407">
        <v>0</v>
      </c>
      <c r="Z407" t="s">
        <v>650</v>
      </c>
      <c r="AA407">
        <v>222</v>
      </c>
      <c r="AB407">
        <v>422</v>
      </c>
      <c r="AC407">
        <v>640</v>
      </c>
    </row>
    <row r="408" spans="1:29">
      <c r="A408" t="s">
        <v>461</v>
      </c>
      <c r="B408" t="s">
        <v>476</v>
      </c>
      <c r="C408">
        <v>21</v>
      </c>
      <c r="D408" t="s">
        <v>35</v>
      </c>
      <c r="E408" s="1">
        <v>76</v>
      </c>
      <c r="F408">
        <v>204</v>
      </c>
      <c r="G408" s="1">
        <v>19</v>
      </c>
      <c r="H408" t="s">
        <v>41</v>
      </c>
      <c r="I408" t="s">
        <v>44</v>
      </c>
      <c r="J408" s="2">
        <v>37</v>
      </c>
      <c r="K408" s="23">
        <v>10.468085106382977</v>
      </c>
      <c r="L408" s="23">
        <v>19.191489361702128</v>
      </c>
      <c r="M408" s="23">
        <v>38.382978723404257</v>
      </c>
      <c r="N408" s="5" t="s">
        <v>601</v>
      </c>
      <c r="O408" s="2" t="s">
        <v>651</v>
      </c>
      <c r="P408" s="23">
        <v>58.546610169491522</v>
      </c>
      <c r="Q408" s="14">
        <v>10.206008583690988</v>
      </c>
      <c r="R408" s="14">
        <v>16.188841201716738</v>
      </c>
      <c r="S408" s="14">
        <v>26.394849785407725</v>
      </c>
      <c r="T408" s="14">
        <v>13.549356223175966</v>
      </c>
      <c r="U408" s="14">
        <v>115.35593220338983</v>
      </c>
      <c r="V408" s="24"/>
      <c r="W408" s="14">
        <f>S408+T408/2+U408+P408</f>
        <v>207.07207026987706</v>
      </c>
      <c r="Y408">
        <v>0</v>
      </c>
      <c r="Z408" t="s">
        <v>650</v>
      </c>
      <c r="AA408">
        <v>337</v>
      </c>
      <c r="AB408">
        <v>472</v>
      </c>
      <c r="AC408">
        <v>664</v>
      </c>
    </row>
    <row r="409" spans="1:29">
      <c r="A409" t="s">
        <v>266</v>
      </c>
      <c r="B409" t="s">
        <v>274</v>
      </c>
      <c r="C409">
        <v>27</v>
      </c>
      <c r="D409" t="s">
        <v>35</v>
      </c>
      <c r="E409" s="1">
        <v>75</v>
      </c>
      <c r="F409">
        <v>195</v>
      </c>
      <c r="G409" s="1">
        <v>18</v>
      </c>
      <c r="H409" t="s">
        <v>41</v>
      </c>
      <c r="I409" t="s">
        <v>44</v>
      </c>
      <c r="J409" s="2">
        <v>74</v>
      </c>
      <c r="K409" s="23">
        <v>85.489361702127667</v>
      </c>
      <c r="L409" s="23">
        <v>75.021276595744681</v>
      </c>
      <c r="M409" s="23">
        <v>120.38297872340425</v>
      </c>
      <c r="N409" s="5" t="s">
        <v>599</v>
      </c>
      <c r="O409" s="2" t="s">
        <v>651</v>
      </c>
      <c r="P409" s="23">
        <v>80.217391304347828</v>
      </c>
      <c r="Q409" s="14">
        <v>8.6823529411764699</v>
      </c>
      <c r="R409" s="14">
        <v>18.329411764705881</v>
      </c>
      <c r="S409" s="14">
        <v>27.011764705882353</v>
      </c>
      <c r="T409" s="14">
        <v>17.36470588235294</v>
      </c>
      <c r="U409" s="14">
        <v>90.913043478260875</v>
      </c>
      <c r="V409" s="24"/>
      <c r="W409" s="14">
        <f>S409+T409/2+U409+P409</f>
        <v>206.82455242966751</v>
      </c>
      <c r="Y409">
        <v>0</v>
      </c>
      <c r="Z409" t="s">
        <v>650</v>
      </c>
      <c r="AA409">
        <v>90</v>
      </c>
      <c r="AB409">
        <v>92</v>
      </c>
      <c r="AC409">
        <v>102</v>
      </c>
    </row>
    <row r="410" spans="1:29">
      <c r="A410" t="s">
        <v>498</v>
      </c>
      <c r="B410" t="s">
        <v>503</v>
      </c>
      <c r="C410">
        <v>7</v>
      </c>
      <c r="D410" t="s">
        <v>34</v>
      </c>
      <c r="E410" s="1">
        <v>70</v>
      </c>
      <c r="F410">
        <v>175</v>
      </c>
      <c r="G410" s="1">
        <v>19</v>
      </c>
      <c r="H410" t="s">
        <v>42</v>
      </c>
      <c r="I410" t="s">
        <v>44</v>
      </c>
      <c r="J410" s="2">
        <v>54</v>
      </c>
      <c r="K410" s="23">
        <v>8.7234042553191493</v>
      </c>
      <c r="L410" s="23">
        <v>50.595744680851062</v>
      </c>
      <c r="M410" s="23">
        <v>59.319148936170215</v>
      </c>
      <c r="N410" s="5" t="s">
        <v>622</v>
      </c>
      <c r="O410" s="2" t="s">
        <v>651</v>
      </c>
      <c r="P410" s="23">
        <v>9.9393939393939394</v>
      </c>
      <c r="Q410" s="14">
        <v>6.0740740740740744</v>
      </c>
      <c r="R410" s="14">
        <v>54.666666666666671</v>
      </c>
      <c r="S410" s="14">
        <v>60.740740740740748</v>
      </c>
      <c r="T410" s="14">
        <v>18.222222222222221</v>
      </c>
      <c r="U410" s="14">
        <v>126.72727272727272</v>
      </c>
      <c r="V410" s="24">
        <v>-3.0303030303030304E-2</v>
      </c>
      <c r="W410" s="14">
        <f>S410+T410/2+U410+P410</f>
        <v>206.51851851851853</v>
      </c>
      <c r="X410" s="22">
        <v>157</v>
      </c>
      <c r="Y410">
        <v>1</v>
      </c>
      <c r="Z410" t="s">
        <v>651</v>
      </c>
      <c r="AA410">
        <v>4</v>
      </c>
      <c r="AB410">
        <v>33</v>
      </c>
      <c r="AC410">
        <v>51</v>
      </c>
    </row>
    <row r="411" spans="1:29">
      <c r="A411" s="6" t="s">
        <v>148</v>
      </c>
      <c r="B411" t="s">
        <v>157</v>
      </c>
      <c r="C411">
        <v>95</v>
      </c>
      <c r="D411" t="s">
        <v>38</v>
      </c>
      <c r="E411" s="1">
        <v>72</v>
      </c>
      <c r="F411">
        <v>189</v>
      </c>
      <c r="G411" s="1">
        <v>18</v>
      </c>
      <c r="H411" t="s">
        <v>41</v>
      </c>
      <c r="I411" t="s">
        <v>44</v>
      </c>
      <c r="J411" s="2">
        <v>49</v>
      </c>
      <c r="K411" s="23">
        <v>20.936170212765955</v>
      </c>
      <c r="L411" s="23">
        <v>38.382978723404257</v>
      </c>
      <c r="M411" s="23">
        <v>27.914893617021274</v>
      </c>
      <c r="N411" s="3" t="s">
        <v>38</v>
      </c>
      <c r="O411" s="2" t="s">
        <v>651</v>
      </c>
      <c r="P411" s="23">
        <v>33.621676891615543</v>
      </c>
      <c r="Q411" s="14">
        <v>15.876416065911432</v>
      </c>
      <c r="R411" s="14">
        <v>26.770339855818744</v>
      </c>
      <c r="S411" s="14">
        <v>42.646755921730175</v>
      </c>
      <c r="T411" s="14">
        <v>26.854788877445934</v>
      </c>
      <c r="U411" s="14">
        <v>115.37014314928425</v>
      </c>
      <c r="V411" s="24"/>
      <c r="W411" s="14">
        <f>S411+T411/2+U411+P411</f>
        <v>205.06597040135296</v>
      </c>
      <c r="Y411">
        <v>0</v>
      </c>
      <c r="Z411" t="s">
        <v>650</v>
      </c>
      <c r="AA411">
        <v>401</v>
      </c>
      <c r="AB411">
        <v>978</v>
      </c>
      <c r="AC411">
        <v>1376</v>
      </c>
    </row>
    <row r="412" spans="1:29">
      <c r="A412" t="s">
        <v>445</v>
      </c>
      <c r="B412" t="s">
        <v>453</v>
      </c>
      <c r="C412">
        <v>131</v>
      </c>
      <c r="D412" t="s">
        <v>34</v>
      </c>
      <c r="E412" s="1">
        <v>74</v>
      </c>
      <c r="F412">
        <v>198</v>
      </c>
      <c r="G412" s="1">
        <v>18</v>
      </c>
      <c r="H412" t="s">
        <v>42</v>
      </c>
      <c r="I412" t="s">
        <v>44</v>
      </c>
      <c r="J412" s="2">
        <v>43</v>
      </c>
      <c r="K412" s="23">
        <v>17.446808510638299</v>
      </c>
      <c r="L412" s="23">
        <v>59.319148936170215</v>
      </c>
      <c r="M412" s="23">
        <v>122.12765957446808</v>
      </c>
      <c r="N412" s="5" t="s">
        <v>603</v>
      </c>
      <c r="O412" s="2" t="s">
        <v>651</v>
      </c>
      <c r="P412" s="23">
        <v>84.536082474226788</v>
      </c>
      <c r="Q412" s="14">
        <v>1.6907216494845361</v>
      </c>
      <c r="R412" s="14">
        <v>7.608247422680412</v>
      </c>
      <c r="S412" s="14">
        <v>9.2989690721649492</v>
      </c>
      <c r="T412" s="14">
        <v>76.927835051546396</v>
      </c>
      <c r="U412" s="14">
        <v>72.701030927835049</v>
      </c>
      <c r="V412" s="24">
        <v>3.0927835051546393E-2</v>
      </c>
      <c r="W412" s="14">
        <f>S412+T412/2+U412+P412</f>
        <v>205</v>
      </c>
      <c r="X412" s="22">
        <v>-84</v>
      </c>
      <c r="Y412">
        <v>0</v>
      </c>
      <c r="Z412" t="s">
        <v>650</v>
      </c>
      <c r="AA412">
        <v>100</v>
      </c>
      <c r="AB412">
        <v>97</v>
      </c>
      <c r="AC412">
        <v>86</v>
      </c>
    </row>
    <row r="413" spans="1:29">
      <c r="A413" t="s">
        <v>169</v>
      </c>
      <c r="B413" t="s">
        <v>177</v>
      </c>
      <c r="C413">
        <v>150</v>
      </c>
      <c r="D413" t="s">
        <v>34</v>
      </c>
      <c r="E413" s="1">
        <v>72</v>
      </c>
      <c r="F413">
        <v>194</v>
      </c>
      <c r="G413" s="1">
        <v>19</v>
      </c>
      <c r="H413" t="s">
        <v>42</v>
      </c>
      <c r="I413" t="s">
        <v>43</v>
      </c>
      <c r="J413" s="2">
        <v>52</v>
      </c>
      <c r="K413" s="23">
        <v>8.7234042553191493</v>
      </c>
      <c r="L413" s="23">
        <v>29.659574468085108</v>
      </c>
      <c r="M413" s="23">
        <v>47.10638297872341</v>
      </c>
      <c r="N413" s="3" t="s">
        <v>608</v>
      </c>
      <c r="O413" s="2" t="s">
        <v>651</v>
      </c>
      <c r="P413" s="23">
        <v>79.266666666666666</v>
      </c>
      <c r="Q413" s="14">
        <v>2.1025641025641022</v>
      </c>
      <c r="R413" s="14">
        <v>15.418803418803417</v>
      </c>
      <c r="S413" s="14">
        <v>17.52136752136752</v>
      </c>
      <c r="T413" s="14">
        <v>21.025641025641026</v>
      </c>
      <c r="U413" s="14">
        <v>97.375</v>
      </c>
      <c r="V413" s="24">
        <v>-7.5313807531380755E-2</v>
      </c>
      <c r="W413" s="14">
        <f>S413+T413/2+U413+P413</f>
        <v>204.6758547008547</v>
      </c>
      <c r="X413" s="22">
        <v>-12</v>
      </c>
      <c r="Y413">
        <v>0</v>
      </c>
      <c r="Z413" t="s">
        <v>651</v>
      </c>
      <c r="AA413">
        <v>232</v>
      </c>
      <c r="AB413">
        <v>240</v>
      </c>
      <c r="AC413">
        <v>285</v>
      </c>
    </row>
    <row r="414" spans="1:29">
      <c r="A414" t="s">
        <v>188</v>
      </c>
      <c r="B414" t="s">
        <v>195</v>
      </c>
      <c r="C414">
        <v>12</v>
      </c>
      <c r="D414" t="s">
        <v>35</v>
      </c>
      <c r="E414" s="1">
        <v>75</v>
      </c>
      <c r="F414">
        <v>179</v>
      </c>
      <c r="G414" s="1">
        <v>18</v>
      </c>
      <c r="H414" t="s">
        <v>42</v>
      </c>
      <c r="I414" t="s">
        <v>43</v>
      </c>
      <c r="J414" s="2">
        <v>67</v>
      </c>
      <c r="K414" s="23">
        <v>29.659574468085108</v>
      </c>
      <c r="L414" s="23">
        <v>90.723404255319153</v>
      </c>
      <c r="M414" s="23">
        <v>90.723404255319153</v>
      </c>
      <c r="N414" s="3" t="s">
        <v>614</v>
      </c>
      <c r="O414" s="2" t="s">
        <v>651</v>
      </c>
      <c r="P414" s="23">
        <v>93.714285714285708</v>
      </c>
      <c r="Q414" s="14">
        <v>0</v>
      </c>
      <c r="R414" s="14">
        <v>27.333333333333332</v>
      </c>
      <c r="S414" s="14">
        <v>27.333333333333332</v>
      </c>
      <c r="T414" s="14">
        <v>0</v>
      </c>
      <c r="U414" s="14">
        <v>82</v>
      </c>
      <c r="V414" s="24">
        <v>0.14285714285714285</v>
      </c>
      <c r="W414" s="14">
        <f>S414+T414/2+U414+P414</f>
        <v>203.04761904761904</v>
      </c>
      <c r="X414" s="22">
        <v>7</v>
      </c>
      <c r="Y414">
        <v>0</v>
      </c>
      <c r="Z414" t="s">
        <v>650</v>
      </c>
      <c r="AA414">
        <v>8</v>
      </c>
      <c r="AB414">
        <v>7</v>
      </c>
      <c r="AC414">
        <v>7</v>
      </c>
    </row>
    <row r="415" spans="1:29">
      <c r="A415" t="s">
        <v>234</v>
      </c>
      <c r="B415" t="s">
        <v>245</v>
      </c>
      <c r="C415">
        <v>66</v>
      </c>
      <c r="D415" t="s">
        <v>34</v>
      </c>
      <c r="E415" s="1">
        <v>75</v>
      </c>
      <c r="F415">
        <v>206</v>
      </c>
      <c r="G415" s="1">
        <v>19</v>
      </c>
      <c r="H415" t="s">
        <v>42</v>
      </c>
      <c r="I415" t="s">
        <v>43</v>
      </c>
      <c r="J415" s="2">
        <v>38</v>
      </c>
      <c r="K415" s="23">
        <v>1.7446808510638296</v>
      </c>
      <c r="L415" s="23">
        <v>8.7234042553191493</v>
      </c>
      <c r="M415" s="23">
        <v>17.446808510638299</v>
      </c>
      <c r="N415" s="3" t="s">
        <v>611</v>
      </c>
      <c r="O415" s="2" t="s">
        <v>651</v>
      </c>
      <c r="P415" s="23">
        <v>54.321766561514195</v>
      </c>
      <c r="Q415" s="14">
        <v>4.745980707395498</v>
      </c>
      <c r="R415" s="14">
        <v>19.511254019292604</v>
      </c>
      <c r="S415" s="14">
        <v>24.2572347266881</v>
      </c>
      <c r="T415" s="14">
        <v>23.20257234726688</v>
      </c>
      <c r="U415" s="14">
        <v>111.74763406940063</v>
      </c>
      <c r="V415" s="24">
        <v>0.14826498422712933</v>
      </c>
      <c r="W415" s="14">
        <f>S415+T415/2+U415+P415</f>
        <v>201.92792153123639</v>
      </c>
      <c r="X415" s="22">
        <v>0</v>
      </c>
      <c r="Y415">
        <v>0</v>
      </c>
      <c r="Z415" t="s">
        <v>650</v>
      </c>
      <c r="AA415">
        <v>210</v>
      </c>
      <c r="AB415">
        <v>317</v>
      </c>
      <c r="AC415">
        <v>432</v>
      </c>
    </row>
    <row r="416" spans="1:29">
      <c r="A416" s="6" t="s">
        <v>102</v>
      </c>
      <c r="B416" t="s">
        <v>112</v>
      </c>
      <c r="C416">
        <v>23</v>
      </c>
      <c r="D416" t="s">
        <v>35</v>
      </c>
      <c r="E416" s="1">
        <v>73</v>
      </c>
      <c r="F416">
        <v>200</v>
      </c>
      <c r="G416" s="1">
        <v>18</v>
      </c>
      <c r="H416" t="s">
        <v>42</v>
      </c>
      <c r="I416" t="s">
        <v>43</v>
      </c>
      <c r="J416" s="2">
        <v>48</v>
      </c>
      <c r="K416" s="23">
        <v>12.212765957446807</v>
      </c>
      <c r="L416" s="23">
        <v>29.659574468085108</v>
      </c>
      <c r="M416" s="23">
        <v>82</v>
      </c>
      <c r="N416" s="3" t="s">
        <v>599</v>
      </c>
      <c r="O416" s="2" t="s">
        <v>651</v>
      </c>
      <c r="P416" s="23">
        <v>87.178947368421049</v>
      </c>
      <c r="Q416" s="14">
        <v>3.0695187165775399</v>
      </c>
      <c r="R416" s="14">
        <v>12.71657754010695</v>
      </c>
      <c r="S416" s="14">
        <v>15.786096256684491</v>
      </c>
      <c r="T416" s="14">
        <v>24.55614973262032</v>
      </c>
      <c r="U416" s="14">
        <v>84.805263157894743</v>
      </c>
      <c r="V416" s="24">
        <v>-7.3684210526315783E-2</v>
      </c>
      <c r="W416" s="14">
        <f>S416+T416/2+U416+P416</f>
        <v>200.04838164931044</v>
      </c>
      <c r="X416" s="22">
        <v>-23</v>
      </c>
      <c r="Y416">
        <v>0</v>
      </c>
      <c r="Z416" t="s">
        <v>651</v>
      </c>
      <c r="AA416">
        <v>404</v>
      </c>
      <c r="AB416">
        <v>380</v>
      </c>
      <c r="AC416">
        <v>393</v>
      </c>
    </row>
    <row r="417" spans="1:29">
      <c r="A417" t="s">
        <v>539</v>
      </c>
      <c r="B417" t="s">
        <v>555</v>
      </c>
      <c r="C417">
        <v>35</v>
      </c>
      <c r="D417" t="s">
        <v>35</v>
      </c>
      <c r="E417" s="1">
        <v>73</v>
      </c>
      <c r="F417">
        <v>205</v>
      </c>
      <c r="G417" s="1">
        <v>18</v>
      </c>
      <c r="H417" t="s">
        <v>42</v>
      </c>
      <c r="I417" t="s">
        <v>44</v>
      </c>
      <c r="J417" s="2">
        <v>70</v>
      </c>
      <c r="K417" s="23">
        <v>8.7234042553191493</v>
      </c>
      <c r="L417" s="23">
        <v>43.617021276595743</v>
      </c>
      <c r="M417" s="23">
        <v>57.574468085106382</v>
      </c>
      <c r="N417" s="5" t="s">
        <v>614</v>
      </c>
      <c r="O417" s="2" t="s">
        <v>651</v>
      </c>
      <c r="P417" s="23">
        <v>42.484909456740446</v>
      </c>
      <c r="Q417" s="14">
        <v>5.8038422649140546</v>
      </c>
      <c r="R417" s="14">
        <v>20.479271991911023</v>
      </c>
      <c r="S417" s="14">
        <v>26.283114256825076</v>
      </c>
      <c r="T417" s="14">
        <v>32.501516683518709</v>
      </c>
      <c r="U417" s="14">
        <v>114.75050301810865</v>
      </c>
      <c r="V417" s="24">
        <v>0.13480885311871227</v>
      </c>
      <c r="W417" s="14">
        <f>S417+T417/2+U417+P417</f>
        <v>199.76928507343351</v>
      </c>
      <c r="X417" s="22">
        <v>3</v>
      </c>
      <c r="Y417">
        <v>0</v>
      </c>
      <c r="Z417" t="s">
        <v>650</v>
      </c>
      <c r="AA417">
        <v>515</v>
      </c>
      <c r="AB417">
        <v>994</v>
      </c>
      <c r="AC417">
        <v>1391</v>
      </c>
    </row>
    <row r="418" spans="1:29">
      <c r="A418" t="s">
        <v>266</v>
      </c>
      <c r="B418" t="s">
        <v>273</v>
      </c>
      <c r="C418">
        <v>37</v>
      </c>
      <c r="D418" t="s">
        <v>37</v>
      </c>
      <c r="E418" s="1">
        <v>74</v>
      </c>
      <c r="F418">
        <v>196</v>
      </c>
      <c r="G418" s="1">
        <v>18</v>
      </c>
      <c r="H418" t="s">
        <v>42</v>
      </c>
      <c r="I418" t="s">
        <v>44</v>
      </c>
      <c r="J418" s="2">
        <v>75</v>
      </c>
      <c r="K418" s="23">
        <v>5.2340425531914887</v>
      </c>
      <c r="L418" s="23">
        <v>43.617021276595743</v>
      </c>
      <c r="M418" s="23">
        <v>143.06382978723406</v>
      </c>
      <c r="N418" s="5" t="s">
        <v>599</v>
      </c>
      <c r="O418" s="2" t="s">
        <v>651</v>
      </c>
      <c r="P418" s="23">
        <v>74.064516129032256</v>
      </c>
      <c r="Q418" s="14">
        <v>3.4166666666666665</v>
      </c>
      <c r="R418" s="14">
        <v>13.666666666666666</v>
      </c>
      <c r="S418" s="14">
        <v>17.083333333333332</v>
      </c>
      <c r="T418" s="14">
        <v>47.833333333333329</v>
      </c>
      <c r="U418" s="14">
        <v>84.645161290322577</v>
      </c>
      <c r="V418" s="24">
        <v>-3.2258064516129031E-2</v>
      </c>
      <c r="W418" s="14">
        <f>S418+T418/2+U418+P418</f>
        <v>199.70967741935482</v>
      </c>
      <c r="X418" s="22">
        <v>-14</v>
      </c>
      <c r="Y418">
        <v>0</v>
      </c>
      <c r="Z418" t="s">
        <v>651</v>
      </c>
      <c r="AA418">
        <v>28</v>
      </c>
      <c r="AB418">
        <v>31</v>
      </c>
      <c r="AC418">
        <v>32</v>
      </c>
    </row>
    <row r="419" spans="1:29">
      <c r="A419" t="s">
        <v>461</v>
      </c>
      <c r="B419" t="s">
        <v>468</v>
      </c>
      <c r="C419">
        <v>117</v>
      </c>
      <c r="D419" t="s">
        <v>34</v>
      </c>
      <c r="E419" s="1">
        <v>74</v>
      </c>
      <c r="F419">
        <v>194</v>
      </c>
      <c r="G419" s="1">
        <v>18</v>
      </c>
      <c r="H419" t="s">
        <v>42</v>
      </c>
      <c r="I419" t="s">
        <v>44</v>
      </c>
      <c r="J419" s="2">
        <f>25+40+7</f>
        <v>72</v>
      </c>
      <c r="K419" s="23">
        <v>10.468085106382977</v>
      </c>
      <c r="L419" s="23">
        <v>41.87234042553191</v>
      </c>
      <c r="M419" s="23">
        <v>87.234042553191486</v>
      </c>
      <c r="N419" s="3" t="s">
        <v>608</v>
      </c>
      <c r="O419" s="2" t="s">
        <v>651</v>
      </c>
      <c r="P419" s="23">
        <v>85.15384615384616</v>
      </c>
      <c r="Q419" s="14">
        <v>3.9047619047619047</v>
      </c>
      <c r="R419" s="14">
        <v>19.523809523809522</v>
      </c>
      <c r="S419" s="14">
        <v>23.428571428571427</v>
      </c>
      <c r="T419" s="14">
        <v>23.428571428571427</v>
      </c>
      <c r="U419" s="14">
        <v>78.846153846153854</v>
      </c>
      <c r="V419" s="24">
        <v>-0.46153846153846156</v>
      </c>
      <c r="W419" s="14">
        <f>S419+T419/2+U419+P419</f>
        <v>199.14285714285717</v>
      </c>
      <c r="X419" s="22">
        <v>0</v>
      </c>
      <c r="Y419">
        <v>0</v>
      </c>
      <c r="Z419" t="s">
        <v>651</v>
      </c>
      <c r="AA419">
        <v>27</v>
      </c>
      <c r="AB419">
        <v>26</v>
      </c>
      <c r="AC419">
        <v>25</v>
      </c>
    </row>
    <row r="420" spans="1:29">
      <c r="A420" t="s">
        <v>556</v>
      </c>
      <c r="B420" t="s">
        <v>572</v>
      </c>
      <c r="C420">
        <v>30</v>
      </c>
      <c r="D420" t="s">
        <v>35</v>
      </c>
      <c r="E420" s="1">
        <v>72</v>
      </c>
      <c r="F420">
        <v>180</v>
      </c>
      <c r="G420" s="1">
        <v>18</v>
      </c>
      <c r="H420" t="s">
        <v>41</v>
      </c>
      <c r="I420" t="s">
        <v>44</v>
      </c>
      <c r="J420" s="2">
        <v>72</v>
      </c>
      <c r="K420" s="23">
        <v>40.127659574468083</v>
      </c>
      <c r="L420" s="23">
        <v>82</v>
      </c>
      <c r="M420" s="23">
        <v>41.87234042553191</v>
      </c>
      <c r="N420" s="3" t="s">
        <v>599</v>
      </c>
      <c r="O420" s="2" t="s">
        <v>651</v>
      </c>
      <c r="P420" s="23">
        <v>33.869565217391305</v>
      </c>
      <c r="Q420" s="14">
        <v>13.666666666666666</v>
      </c>
      <c r="R420" s="14">
        <v>25.38095238095238</v>
      </c>
      <c r="S420" s="14">
        <v>39.047619047619044</v>
      </c>
      <c r="T420" s="14">
        <v>27.333333333333332</v>
      </c>
      <c r="U420" s="14">
        <v>112.30434782608697</v>
      </c>
      <c r="V420" s="24"/>
      <c r="W420" s="14">
        <f>S420+T420/2+U420+P420</f>
        <v>198.88819875776397</v>
      </c>
      <c r="Y420">
        <v>0</v>
      </c>
      <c r="Z420" t="s">
        <v>650</v>
      </c>
      <c r="AA420">
        <v>19</v>
      </c>
      <c r="AB420">
        <v>46</v>
      </c>
      <c r="AC420">
        <v>63</v>
      </c>
    </row>
    <row r="421" spans="1:29">
      <c r="A421" t="s">
        <v>322</v>
      </c>
      <c r="B421" t="s">
        <v>328</v>
      </c>
      <c r="C421">
        <v>47</v>
      </c>
      <c r="D421" t="s">
        <v>35</v>
      </c>
      <c r="E421" s="1">
        <v>70</v>
      </c>
      <c r="F421">
        <v>170</v>
      </c>
      <c r="G421" s="1">
        <v>18</v>
      </c>
      <c r="H421" t="s">
        <v>42</v>
      </c>
      <c r="I421" t="s">
        <v>44</v>
      </c>
      <c r="J421" s="2">
        <v>67</v>
      </c>
      <c r="K421" s="23">
        <v>17.446808510638299</v>
      </c>
      <c r="L421" s="23">
        <v>111.6595744680851</v>
      </c>
      <c r="M421" s="23">
        <v>17.446808510638299</v>
      </c>
      <c r="N421" s="3" t="s">
        <v>614</v>
      </c>
      <c r="O421" s="2" t="s">
        <v>651</v>
      </c>
      <c r="P421" s="23">
        <v>60.373626373626379</v>
      </c>
      <c r="Q421" s="14">
        <v>4.1694915254237293</v>
      </c>
      <c r="R421" s="14">
        <v>22.700564971751412</v>
      </c>
      <c r="S421" s="14">
        <v>26.870056497175142</v>
      </c>
      <c r="T421" s="14">
        <v>7.4124293785310735</v>
      </c>
      <c r="U421" s="14">
        <v>107.23076923076923</v>
      </c>
      <c r="V421" s="24">
        <v>0</v>
      </c>
      <c r="W421" s="14">
        <f>S421+T421/2+U421+P421</f>
        <v>198.18066679083631</v>
      </c>
      <c r="X421" s="22">
        <v>5</v>
      </c>
      <c r="Y421">
        <v>0</v>
      </c>
      <c r="Z421" t="s">
        <v>650</v>
      </c>
      <c r="AA421">
        <v>134</v>
      </c>
      <c r="AB421">
        <v>182</v>
      </c>
      <c r="AC421">
        <v>238</v>
      </c>
    </row>
    <row r="422" spans="1:29">
      <c r="A422" t="s">
        <v>445</v>
      </c>
      <c r="B422" t="s">
        <v>454</v>
      </c>
      <c r="C422">
        <v>137</v>
      </c>
      <c r="D422" t="s">
        <v>35</v>
      </c>
      <c r="E422" s="1">
        <v>76</v>
      </c>
      <c r="F422">
        <v>190</v>
      </c>
      <c r="G422" s="1">
        <v>19</v>
      </c>
      <c r="H422" t="s">
        <v>42</v>
      </c>
      <c r="I422" t="s">
        <v>44</v>
      </c>
      <c r="J422" s="2">
        <v>35</v>
      </c>
      <c r="K422" s="23">
        <v>8.7234042553191493</v>
      </c>
      <c r="L422" s="23">
        <v>17.446808510638299</v>
      </c>
      <c r="M422" s="23">
        <v>123.87234042553192</v>
      </c>
      <c r="N422" s="3" t="s">
        <v>620</v>
      </c>
      <c r="O422" s="2" t="s">
        <v>651</v>
      </c>
      <c r="P422" s="23">
        <v>105.42857142857143</v>
      </c>
      <c r="Q422" s="14">
        <v>3.7272727272727271</v>
      </c>
      <c r="R422" s="14">
        <v>3.7272727272727271</v>
      </c>
      <c r="S422" s="14">
        <v>7.4545454545454541</v>
      </c>
      <c r="T422" s="14">
        <v>22.363636363636363</v>
      </c>
      <c r="U422" s="14">
        <v>73.214285714285722</v>
      </c>
      <c r="V422" s="24">
        <v>3.5714285714285712E-2</v>
      </c>
      <c r="W422" s="14">
        <f>S422+T422/2+U422+P422</f>
        <v>197.27922077922079</v>
      </c>
      <c r="X422" s="22">
        <v>-102</v>
      </c>
      <c r="Y422">
        <v>0</v>
      </c>
      <c r="Z422" t="s">
        <v>650</v>
      </c>
      <c r="AA422">
        <v>36</v>
      </c>
      <c r="AB422">
        <v>28</v>
      </c>
      <c r="AC422">
        <v>25</v>
      </c>
    </row>
    <row r="423" spans="1:29">
      <c r="A423" s="6" t="s">
        <v>135</v>
      </c>
      <c r="B423" t="s">
        <v>138</v>
      </c>
      <c r="C423">
        <v>156</v>
      </c>
      <c r="D423" t="s">
        <v>35</v>
      </c>
      <c r="E423" s="1">
        <v>72</v>
      </c>
      <c r="F423">
        <v>183</v>
      </c>
      <c r="G423" s="1">
        <v>18</v>
      </c>
      <c r="H423" t="s">
        <v>41</v>
      </c>
      <c r="I423" t="s">
        <v>43</v>
      </c>
      <c r="J423" s="2">
        <v>68</v>
      </c>
      <c r="K423" s="23">
        <v>43.617021276595743</v>
      </c>
      <c r="L423" s="23">
        <v>48.851063829787229</v>
      </c>
      <c r="M423" s="23">
        <v>24.425531914893615</v>
      </c>
      <c r="N423" s="5" t="s">
        <v>600</v>
      </c>
      <c r="O423" s="2" t="s">
        <v>651</v>
      </c>
      <c r="P423" s="23">
        <v>34.312056737588655</v>
      </c>
      <c r="Q423" s="14">
        <v>13.4181818181818</v>
      </c>
      <c r="R423" s="14">
        <v>20.276363636363634</v>
      </c>
      <c r="S423" s="14">
        <v>33.694545454545455</v>
      </c>
      <c r="T423" s="14">
        <v>15.505454545454544</v>
      </c>
      <c r="U423" s="14">
        <v>120.96453900709218</v>
      </c>
      <c r="V423" s="24"/>
      <c r="W423" s="14">
        <f>S423+T423/2+U423+P423</f>
        <v>196.72386847195355</v>
      </c>
      <c r="Y423">
        <v>0</v>
      </c>
      <c r="Z423" t="s">
        <v>650</v>
      </c>
      <c r="AA423">
        <v>118</v>
      </c>
      <c r="AB423">
        <v>282</v>
      </c>
      <c r="AC423">
        <v>416</v>
      </c>
    </row>
    <row r="424" spans="1:29">
      <c r="A424" t="s">
        <v>251</v>
      </c>
      <c r="B424" t="s">
        <v>264</v>
      </c>
      <c r="C424">
        <v>14</v>
      </c>
      <c r="D424" t="s">
        <v>65</v>
      </c>
      <c r="E424" s="1">
        <v>74</v>
      </c>
      <c r="F424">
        <v>197</v>
      </c>
      <c r="G424" s="1">
        <v>19</v>
      </c>
      <c r="H424" t="s">
        <v>41</v>
      </c>
      <c r="I424" t="s">
        <v>44</v>
      </c>
      <c r="J424" s="2">
        <v>46</v>
      </c>
      <c r="K424" s="23">
        <v>24.425531914893615</v>
      </c>
      <c r="L424" s="23">
        <v>31.404255319148938</v>
      </c>
      <c r="M424" s="23">
        <v>24.425531914893615</v>
      </c>
      <c r="N424" s="3" t="s">
        <v>606</v>
      </c>
      <c r="O424" s="2" t="s">
        <v>651</v>
      </c>
      <c r="P424" s="23">
        <v>46.218181818181819</v>
      </c>
      <c r="Q424" s="14">
        <v>8.0264550264550252</v>
      </c>
      <c r="R424" s="14">
        <v>32.322751322751323</v>
      </c>
      <c r="S424" s="14">
        <v>40.349206349206348</v>
      </c>
      <c r="T424" s="14">
        <v>15.835978835978835</v>
      </c>
      <c r="U424" s="14">
        <v>99.677922077922076</v>
      </c>
      <c r="V424" s="24"/>
      <c r="W424" s="14">
        <f>S424+T424/2+U424+P424</f>
        <v>194.16329966329965</v>
      </c>
      <c r="Y424">
        <v>0</v>
      </c>
      <c r="Z424" t="s">
        <v>650</v>
      </c>
      <c r="AA424">
        <v>217</v>
      </c>
      <c r="AB424">
        <v>385</v>
      </c>
      <c r="AC424">
        <v>468</v>
      </c>
    </row>
    <row r="425" spans="1:29">
      <c r="A425" s="6" t="s">
        <v>49</v>
      </c>
      <c r="B425" t="s">
        <v>52</v>
      </c>
      <c r="C425">
        <v>21</v>
      </c>
      <c r="D425" t="s">
        <v>35</v>
      </c>
      <c r="E425" s="1">
        <v>77</v>
      </c>
      <c r="F425">
        <v>235</v>
      </c>
      <c r="G425" s="1">
        <v>18</v>
      </c>
      <c r="H425" t="s">
        <v>41</v>
      </c>
      <c r="I425" t="s">
        <v>44</v>
      </c>
      <c r="J425" s="2">
        <v>69</v>
      </c>
      <c r="K425" s="23">
        <v>40.127659574468083</v>
      </c>
      <c r="L425" s="23">
        <v>71.531914893617028</v>
      </c>
      <c r="M425" s="23">
        <v>48.851063829787229</v>
      </c>
      <c r="N425" s="5" t="s">
        <v>614</v>
      </c>
      <c r="O425" s="2" t="s">
        <v>651</v>
      </c>
      <c r="P425" s="23">
        <v>106.72058823529412</v>
      </c>
      <c r="Q425" s="14">
        <v>5.046153846153846</v>
      </c>
      <c r="R425" s="14">
        <v>9.4615384615384617</v>
      </c>
      <c r="S425" s="14">
        <v>14.507692307692308</v>
      </c>
      <c r="T425" s="14">
        <v>27.123076923076923</v>
      </c>
      <c r="U425" s="14">
        <v>59.088235294117645</v>
      </c>
      <c r="V425" s="24"/>
      <c r="W425" s="14">
        <f>S425+T425/2+U425+P425</f>
        <v>193.87805429864252</v>
      </c>
      <c r="Y425">
        <v>0</v>
      </c>
      <c r="Z425" t="s">
        <v>650</v>
      </c>
      <c r="AA425">
        <v>177</v>
      </c>
      <c r="AB425">
        <v>136</v>
      </c>
      <c r="AC425">
        <v>98</v>
      </c>
    </row>
    <row r="426" spans="1:29">
      <c r="A426" s="6" t="s">
        <v>87</v>
      </c>
      <c r="B426" t="s">
        <v>95</v>
      </c>
      <c r="C426">
        <v>98</v>
      </c>
      <c r="D426" t="s">
        <v>34</v>
      </c>
      <c r="E426" s="1">
        <v>73</v>
      </c>
      <c r="F426">
        <v>195</v>
      </c>
      <c r="G426" s="1">
        <v>18</v>
      </c>
      <c r="H426" t="s">
        <v>42</v>
      </c>
      <c r="I426" t="s">
        <v>44</v>
      </c>
      <c r="J426" s="2">
        <v>54</v>
      </c>
      <c r="K426" s="23">
        <v>24.425531914893615</v>
      </c>
      <c r="L426" s="23">
        <v>59.319148936170215</v>
      </c>
      <c r="M426" s="23">
        <v>52.340425531914896</v>
      </c>
      <c r="N426" s="3" t="s">
        <v>603</v>
      </c>
      <c r="O426" s="2" t="s">
        <v>651</v>
      </c>
      <c r="P426" s="23">
        <v>50.350877192982459</v>
      </c>
      <c r="Q426" s="14">
        <v>3.4166666666666701</v>
      </c>
      <c r="R426" s="14">
        <v>15.619047619047619</v>
      </c>
      <c r="S426" s="14">
        <v>19.035714285714285</v>
      </c>
      <c r="T426" s="14">
        <v>26.357142857142858</v>
      </c>
      <c r="U426" s="14">
        <v>110.29239766081872</v>
      </c>
      <c r="V426" s="24">
        <v>-4.0935672514619881E-2</v>
      </c>
      <c r="W426" s="14">
        <f>S426+T426/2+U426+P426</f>
        <v>192.85756056808691</v>
      </c>
      <c r="X426" s="22">
        <v>-7</v>
      </c>
      <c r="Y426">
        <v>0</v>
      </c>
      <c r="Z426" t="s">
        <v>651</v>
      </c>
      <c r="AA426">
        <v>105</v>
      </c>
      <c r="AB426">
        <v>171</v>
      </c>
      <c r="AC426">
        <v>230</v>
      </c>
    </row>
    <row r="427" spans="1:29">
      <c r="A427" t="s">
        <v>306</v>
      </c>
      <c r="B427" t="s">
        <v>312</v>
      </c>
      <c r="C427">
        <v>194</v>
      </c>
      <c r="D427" t="s">
        <v>65</v>
      </c>
      <c r="E427" s="1">
        <v>74</v>
      </c>
      <c r="F427">
        <v>198</v>
      </c>
      <c r="G427" s="1">
        <v>21</v>
      </c>
      <c r="H427" t="s">
        <v>42</v>
      </c>
      <c r="I427" t="s">
        <v>44</v>
      </c>
      <c r="J427" s="2">
        <f>30+15+6+15+30</f>
        <v>96</v>
      </c>
      <c r="K427" s="23">
        <v>13.957446808510637</v>
      </c>
      <c r="L427" s="23">
        <v>26.170212765957448</v>
      </c>
      <c r="M427" s="23">
        <v>87.234042553191486</v>
      </c>
      <c r="N427" s="5" t="s">
        <v>605</v>
      </c>
      <c r="O427" s="2" t="s">
        <v>651</v>
      </c>
      <c r="P427" s="23">
        <v>92.850921273031815</v>
      </c>
      <c r="Q427" s="14">
        <v>4.0033670033670035</v>
      </c>
      <c r="R427" s="14">
        <v>14.356902356902358</v>
      </c>
      <c r="S427" s="14">
        <v>18.36026936026936</v>
      </c>
      <c r="T427" s="14">
        <v>22.501683501683502</v>
      </c>
      <c r="U427" s="14">
        <v>69.363484087102179</v>
      </c>
      <c r="V427" s="24">
        <v>8.3892617449664433E-2</v>
      </c>
      <c r="W427" s="14">
        <f>S427+T427/2+U427+P427</f>
        <v>191.82551647124512</v>
      </c>
      <c r="X427" s="22">
        <v>-8</v>
      </c>
      <c r="Y427">
        <v>0</v>
      </c>
      <c r="Z427" t="s">
        <v>650</v>
      </c>
      <c r="AA427">
        <v>676</v>
      </c>
      <c r="AB427">
        <v>597</v>
      </c>
      <c r="AC427">
        <v>505</v>
      </c>
    </row>
    <row r="428" spans="1:29">
      <c r="A428" s="6" t="s">
        <v>121</v>
      </c>
      <c r="B428" t="s">
        <v>134</v>
      </c>
      <c r="C428">
        <v>82</v>
      </c>
      <c r="D428" t="s">
        <v>35</v>
      </c>
      <c r="E428" s="1">
        <v>73</v>
      </c>
      <c r="F428">
        <v>181</v>
      </c>
      <c r="G428" s="1">
        <v>18</v>
      </c>
      <c r="H428" t="s">
        <v>41</v>
      </c>
      <c r="I428" t="s">
        <v>44</v>
      </c>
      <c r="J428" s="2">
        <v>74</v>
      </c>
      <c r="K428" s="23">
        <v>31.404255319148938</v>
      </c>
      <c r="L428" s="23">
        <v>52.340425531914896</v>
      </c>
      <c r="M428" s="23">
        <v>45.361702127659576</v>
      </c>
      <c r="N428" s="5" t="s">
        <v>600</v>
      </c>
      <c r="O428" s="2" t="s">
        <v>651</v>
      </c>
      <c r="P428" s="23">
        <v>105.42857142857143</v>
      </c>
      <c r="Q428" s="14">
        <v>0</v>
      </c>
      <c r="R428" s="14">
        <v>6.3076923076923075</v>
      </c>
      <c r="S428" s="14">
        <v>6.3076923076923075</v>
      </c>
      <c r="T428" s="14">
        <v>12.615384615384615</v>
      </c>
      <c r="U428" s="14">
        <v>73.214285714285722</v>
      </c>
      <c r="V428" s="24"/>
      <c r="W428" s="14">
        <f>S428+T428/2+U428+P428</f>
        <v>191.25824175824175</v>
      </c>
      <c r="Y428">
        <v>0</v>
      </c>
      <c r="Z428" t="s">
        <v>650</v>
      </c>
      <c r="AA428">
        <v>36</v>
      </c>
      <c r="AB428">
        <v>28</v>
      </c>
      <c r="AC428">
        <v>25</v>
      </c>
    </row>
    <row r="429" spans="1:29">
      <c r="A429" s="6" t="s">
        <v>135</v>
      </c>
      <c r="B429" t="s">
        <v>142</v>
      </c>
      <c r="C429">
        <v>37</v>
      </c>
      <c r="D429" t="s">
        <v>35</v>
      </c>
      <c r="E429" s="1">
        <v>73</v>
      </c>
      <c r="F429">
        <v>200</v>
      </c>
      <c r="G429" s="1">
        <v>19</v>
      </c>
      <c r="H429" t="s">
        <v>42</v>
      </c>
      <c r="I429" t="s">
        <v>43</v>
      </c>
      <c r="J429" s="2">
        <v>40</v>
      </c>
      <c r="K429" s="23">
        <v>6.9787234042553186</v>
      </c>
      <c r="L429" s="23">
        <v>10.468085106382977</v>
      </c>
      <c r="M429" s="23">
        <v>62.808510638297875</v>
      </c>
      <c r="N429" s="3" t="s">
        <v>613</v>
      </c>
      <c r="O429" s="2" t="s">
        <v>651</v>
      </c>
      <c r="P429" s="23">
        <v>84.992700729927009</v>
      </c>
      <c r="Q429" s="14">
        <v>1.197080291970803</v>
      </c>
      <c r="R429" s="14">
        <v>12.569343065693431</v>
      </c>
      <c r="S429" s="14">
        <v>13.766423357664234</v>
      </c>
      <c r="T429" s="14">
        <v>40.700729927007302</v>
      </c>
      <c r="U429" s="14">
        <v>71.226277372262771</v>
      </c>
      <c r="V429" s="24">
        <v>-3.6496350364963501E-2</v>
      </c>
      <c r="W429" s="14">
        <f>S429+T429/2+U429+P429</f>
        <v>190.33576642335765</v>
      </c>
      <c r="X429" s="22">
        <v>-30</v>
      </c>
      <c r="Y429">
        <v>0</v>
      </c>
      <c r="Z429" t="s">
        <v>651</v>
      </c>
      <c r="AA429">
        <v>142</v>
      </c>
      <c r="AB429">
        <v>137</v>
      </c>
      <c r="AC429">
        <v>119</v>
      </c>
    </row>
    <row r="430" spans="1:29">
      <c r="A430" t="s">
        <v>498</v>
      </c>
      <c r="B430" t="s">
        <v>502</v>
      </c>
      <c r="C430">
        <v>149</v>
      </c>
      <c r="D430" t="s">
        <v>34</v>
      </c>
      <c r="E430" s="1">
        <v>73</v>
      </c>
      <c r="F430">
        <v>184</v>
      </c>
      <c r="G430" s="1">
        <v>19</v>
      </c>
      <c r="H430" t="s">
        <v>41</v>
      </c>
      <c r="I430" t="s">
        <v>43</v>
      </c>
      <c r="J430" s="2">
        <v>50</v>
      </c>
      <c r="K430" s="23">
        <v>22.680851063829788</v>
      </c>
      <c r="L430" s="23">
        <v>29.659574468085108</v>
      </c>
      <c r="M430" s="23">
        <v>95.957446808510639</v>
      </c>
      <c r="N430" s="5" t="s">
        <v>608</v>
      </c>
      <c r="O430" s="2" t="s">
        <v>651</v>
      </c>
      <c r="P430" s="23">
        <v>64.575000000000003</v>
      </c>
      <c r="Q430" s="14">
        <v>9.9729729729729737</v>
      </c>
      <c r="R430" s="14">
        <v>12.189189189189189</v>
      </c>
      <c r="S430" s="14">
        <v>22.162162162162161</v>
      </c>
      <c r="T430" s="14">
        <v>24.378378378378379</v>
      </c>
      <c r="U430" s="14">
        <v>91.225000000000009</v>
      </c>
      <c r="V430" s="24"/>
      <c r="W430" s="14">
        <f>S430+T430/2+U430+P430</f>
        <v>190.15135135135137</v>
      </c>
      <c r="Y430">
        <v>0</v>
      </c>
      <c r="Z430" t="s">
        <v>650</v>
      </c>
      <c r="AA430">
        <v>63</v>
      </c>
      <c r="AB430">
        <v>80</v>
      </c>
      <c r="AC430">
        <v>89</v>
      </c>
    </row>
    <row r="431" spans="1:29">
      <c r="A431" t="s">
        <v>251</v>
      </c>
      <c r="B431" t="s">
        <v>261</v>
      </c>
      <c r="C431">
        <v>189</v>
      </c>
      <c r="D431" t="s">
        <v>38</v>
      </c>
      <c r="E431" s="1">
        <v>73</v>
      </c>
      <c r="F431">
        <v>187</v>
      </c>
      <c r="G431" s="1">
        <v>21</v>
      </c>
      <c r="H431" t="s">
        <v>42</v>
      </c>
      <c r="I431" t="s">
        <v>44</v>
      </c>
      <c r="J431" s="2">
        <v>50</v>
      </c>
      <c r="K431" s="23">
        <v>3.4893617021276593</v>
      </c>
      <c r="L431" s="23">
        <v>19.191489361702128</v>
      </c>
      <c r="M431" s="23">
        <v>10.468085106382977</v>
      </c>
      <c r="N431" s="3" t="s">
        <v>615</v>
      </c>
      <c r="O431" s="2" t="s">
        <v>651</v>
      </c>
      <c r="P431" s="23">
        <v>64.239631336405537</v>
      </c>
      <c r="Q431" s="14">
        <v>6.0460829493087553</v>
      </c>
      <c r="R431" s="14">
        <v>13.981566820276496</v>
      </c>
      <c r="S431" s="14">
        <v>20.027649769585253</v>
      </c>
      <c r="T431" s="14">
        <v>10.580645161290322</v>
      </c>
      <c r="U431" s="14">
        <v>97.493087557603687</v>
      </c>
      <c r="V431" s="24">
        <v>0.10138248847926268</v>
      </c>
      <c r="W431" s="14">
        <f>S431+T431/2+U431+P431</f>
        <v>187.05069124423966</v>
      </c>
      <c r="X431" s="22">
        <v>-4</v>
      </c>
      <c r="Y431">
        <v>0</v>
      </c>
      <c r="Z431" t="s">
        <v>650</v>
      </c>
      <c r="AA431">
        <v>170</v>
      </c>
      <c r="AB431">
        <v>217</v>
      </c>
      <c r="AC431">
        <v>258</v>
      </c>
    </row>
    <row r="432" spans="1:29">
      <c r="A432" s="6" t="s">
        <v>148</v>
      </c>
      <c r="B432" t="s">
        <v>153</v>
      </c>
      <c r="C432">
        <v>20</v>
      </c>
      <c r="D432" t="s">
        <v>35</v>
      </c>
      <c r="E432" s="1">
        <v>74</v>
      </c>
      <c r="F432">
        <v>197</v>
      </c>
      <c r="G432" s="1">
        <v>18</v>
      </c>
      <c r="H432" t="s">
        <v>42</v>
      </c>
      <c r="I432" t="s">
        <v>44</v>
      </c>
      <c r="J432" s="2">
        <v>50</v>
      </c>
      <c r="K432" s="23">
        <v>20.936170212765955</v>
      </c>
      <c r="L432" s="23">
        <v>48.851063829787229</v>
      </c>
      <c r="M432" s="23">
        <v>27.914893617021274</v>
      </c>
      <c r="N432" s="3" t="s">
        <v>602</v>
      </c>
      <c r="O432" s="2" t="s">
        <v>651</v>
      </c>
      <c r="P432" s="23">
        <v>33.215189873417721</v>
      </c>
      <c r="Q432" s="14">
        <v>10.25</v>
      </c>
      <c r="R432" s="14">
        <v>14.805555555555555</v>
      </c>
      <c r="S432" s="14">
        <v>25.055555555555554</v>
      </c>
      <c r="T432" s="14">
        <v>22.777777777777779</v>
      </c>
      <c r="U432" s="14">
        <v>117.29113924050634</v>
      </c>
      <c r="V432" s="24">
        <v>-0.49367088607594939</v>
      </c>
      <c r="W432" s="14">
        <f>S432+T432/2+U432+P432</f>
        <v>186.9507735583685</v>
      </c>
      <c r="X432" s="22">
        <v>1</v>
      </c>
      <c r="Y432">
        <v>0</v>
      </c>
      <c r="Z432" t="s">
        <v>651</v>
      </c>
      <c r="AA432">
        <v>32</v>
      </c>
      <c r="AB432">
        <v>79</v>
      </c>
      <c r="AC432">
        <v>113</v>
      </c>
    </row>
    <row r="433" spans="1:29">
      <c r="A433" t="s">
        <v>478</v>
      </c>
      <c r="B433" t="s">
        <v>497</v>
      </c>
      <c r="C433">
        <v>20</v>
      </c>
      <c r="D433" t="s">
        <v>34</v>
      </c>
      <c r="E433" s="1">
        <v>72</v>
      </c>
      <c r="F433">
        <v>177</v>
      </c>
      <c r="G433" s="1">
        <v>18</v>
      </c>
      <c r="H433" t="s">
        <v>41</v>
      </c>
      <c r="I433" t="s">
        <v>43</v>
      </c>
      <c r="J433" s="2">
        <f>4+5+2+55</f>
        <v>66</v>
      </c>
      <c r="K433" s="23">
        <v>47.10638297872341</v>
      </c>
      <c r="L433" s="23">
        <v>97.702127659574458</v>
      </c>
      <c r="M433" s="23">
        <v>31.404255319148938</v>
      </c>
      <c r="N433" s="3" t="s">
        <v>608</v>
      </c>
      <c r="O433" s="2" t="s">
        <v>651</v>
      </c>
      <c r="P433" s="23">
        <v>17.740384615384617</v>
      </c>
      <c r="Q433" s="14">
        <v>15.425742574257427</v>
      </c>
      <c r="R433" s="14">
        <v>34.504950495049506</v>
      </c>
      <c r="S433" s="14">
        <v>49.930693069306933</v>
      </c>
      <c r="T433" s="14">
        <v>14.613861386138614</v>
      </c>
      <c r="U433" s="14">
        <v>111.56730769230769</v>
      </c>
      <c r="V433" s="24"/>
      <c r="W433" s="14">
        <f>S433+T433/2+U433+P433</f>
        <v>186.54531607006854</v>
      </c>
      <c r="Y433">
        <v>1</v>
      </c>
      <c r="Z433" t="s">
        <v>650</v>
      </c>
      <c r="AA433">
        <v>45</v>
      </c>
      <c r="AB433">
        <v>208</v>
      </c>
      <c r="AC433">
        <v>283</v>
      </c>
    </row>
    <row r="434" spans="1:29">
      <c r="A434" t="s">
        <v>430</v>
      </c>
      <c r="B434" t="s">
        <v>438</v>
      </c>
      <c r="C434">
        <v>8</v>
      </c>
      <c r="D434" t="s">
        <v>35</v>
      </c>
      <c r="E434" s="1">
        <v>73</v>
      </c>
      <c r="F434">
        <v>192</v>
      </c>
      <c r="G434" s="1">
        <v>18</v>
      </c>
      <c r="H434" t="s">
        <v>41</v>
      </c>
      <c r="I434" t="s">
        <v>43</v>
      </c>
      <c r="J434" s="2">
        <f>22+7+7+5+57</f>
        <v>98</v>
      </c>
      <c r="K434" s="23">
        <v>83.744680851063819</v>
      </c>
      <c r="L434" s="23">
        <v>144.80851063829786</v>
      </c>
      <c r="M434" s="23">
        <v>55.829787234042549</v>
      </c>
      <c r="N434" s="3" t="s">
        <v>600</v>
      </c>
      <c r="O434" s="2" t="s">
        <v>651</v>
      </c>
      <c r="P434" s="23">
        <v>40.549450549450555</v>
      </c>
      <c r="Q434" s="14">
        <v>14.349999999999998</v>
      </c>
      <c r="R434" s="14">
        <v>16.399999999999999</v>
      </c>
      <c r="S434" s="14">
        <v>30.749999999999996</v>
      </c>
      <c r="T434" s="14">
        <v>12.299999999999999</v>
      </c>
      <c r="U434" s="14">
        <v>108.13186813186813</v>
      </c>
      <c r="V434" s="24"/>
      <c r="W434" s="14">
        <f>S434+T434/2+U434+P434</f>
        <v>185.58131868131869</v>
      </c>
      <c r="Y434">
        <v>0</v>
      </c>
      <c r="Z434" t="s">
        <v>650</v>
      </c>
      <c r="AA434">
        <v>90</v>
      </c>
      <c r="AB434">
        <v>182</v>
      </c>
      <c r="AC434">
        <v>240</v>
      </c>
    </row>
    <row r="435" spans="1:29">
      <c r="A435" t="s">
        <v>539</v>
      </c>
      <c r="B435" t="s">
        <v>544</v>
      </c>
      <c r="C435">
        <v>111</v>
      </c>
      <c r="D435" t="s">
        <v>35</v>
      </c>
      <c r="E435" s="1">
        <v>72</v>
      </c>
      <c r="F435">
        <v>185</v>
      </c>
      <c r="G435" s="1">
        <v>18</v>
      </c>
      <c r="H435" t="s">
        <v>41</v>
      </c>
      <c r="I435" t="s">
        <v>44</v>
      </c>
      <c r="J435" s="2">
        <v>77</v>
      </c>
      <c r="K435" s="23">
        <v>48.851063829787229</v>
      </c>
      <c r="L435" s="23">
        <v>82</v>
      </c>
      <c r="M435" s="23">
        <v>61.063829787234042</v>
      </c>
      <c r="N435" s="3" t="s">
        <v>599</v>
      </c>
      <c r="O435" s="2" t="s">
        <v>651</v>
      </c>
      <c r="P435" s="23">
        <v>107.23076923076923</v>
      </c>
      <c r="Q435" s="14">
        <v>0</v>
      </c>
      <c r="R435" s="14">
        <v>0</v>
      </c>
      <c r="S435" s="14">
        <v>0</v>
      </c>
      <c r="T435" s="14">
        <v>16.399999999999999</v>
      </c>
      <c r="U435" s="14">
        <v>69.384615384615387</v>
      </c>
      <c r="W435" s="14">
        <f>S435+T435/2+U435+P435</f>
        <v>184.81538461538463</v>
      </c>
      <c r="Y435">
        <v>0</v>
      </c>
      <c r="Z435" t="s">
        <v>650</v>
      </c>
      <c r="AA435">
        <v>17</v>
      </c>
      <c r="AB435">
        <v>13</v>
      </c>
      <c r="AC435">
        <v>11</v>
      </c>
    </row>
    <row r="436" spans="1:29">
      <c r="A436" s="6" t="s">
        <v>69</v>
      </c>
      <c r="B436" t="s">
        <v>78</v>
      </c>
      <c r="C436">
        <v>8</v>
      </c>
      <c r="D436" t="s">
        <v>34</v>
      </c>
      <c r="E436" s="1">
        <v>72</v>
      </c>
      <c r="F436">
        <v>209</v>
      </c>
      <c r="G436" s="1">
        <v>19</v>
      </c>
      <c r="H436" t="s">
        <v>41</v>
      </c>
      <c r="I436" t="s">
        <v>44</v>
      </c>
      <c r="J436" s="2">
        <v>49</v>
      </c>
      <c r="K436" s="23">
        <v>59.319148936170215</v>
      </c>
      <c r="L436" s="23">
        <v>104.68085106382979</v>
      </c>
      <c r="M436" s="23">
        <v>17.446808510638299</v>
      </c>
      <c r="N436" s="3" t="s">
        <v>608</v>
      </c>
      <c r="O436" s="2" t="s">
        <v>651</v>
      </c>
      <c r="P436" s="23">
        <v>31.765765765765764</v>
      </c>
      <c r="Q436" s="14">
        <v>12.615384615384615</v>
      </c>
      <c r="R436" s="14">
        <v>16.557692307692307</v>
      </c>
      <c r="S436" s="14">
        <v>29.173076923076923</v>
      </c>
      <c r="T436" s="14">
        <v>11.038461538461538</v>
      </c>
      <c r="U436" s="14">
        <v>118.1981981981982</v>
      </c>
      <c r="V436" s="24"/>
      <c r="W436" s="14">
        <f>S436+T436/2+U436+P436</f>
        <v>184.65627165627166</v>
      </c>
      <c r="Y436">
        <v>0</v>
      </c>
      <c r="Z436" t="s">
        <v>650</v>
      </c>
      <c r="AA436">
        <v>43</v>
      </c>
      <c r="AB436">
        <v>111</v>
      </c>
      <c r="AC436">
        <v>160</v>
      </c>
    </row>
    <row r="437" spans="1:29">
      <c r="A437" s="6" t="s">
        <v>87</v>
      </c>
      <c r="B437" t="s">
        <v>99</v>
      </c>
      <c r="C437">
        <v>70</v>
      </c>
      <c r="D437" t="s">
        <v>35</v>
      </c>
      <c r="E437" s="1">
        <v>70</v>
      </c>
      <c r="F437">
        <v>179</v>
      </c>
      <c r="G437" s="1">
        <v>18</v>
      </c>
      <c r="H437" t="s">
        <v>41</v>
      </c>
      <c r="I437" t="s">
        <v>43</v>
      </c>
      <c r="J437" s="2">
        <v>72</v>
      </c>
      <c r="K437" s="23">
        <v>61.063829787234042</v>
      </c>
      <c r="L437" s="23">
        <v>116.8936170212766</v>
      </c>
      <c r="M437" s="23">
        <v>94.21276595744682</v>
      </c>
      <c r="N437" s="3" t="s">
        <v>599</v>
      </c>
      <c r="O437" s="2" t="s">
        <v>651</v>
      </c>
      <c r="P437" s="23">
        <v>28.634920634920633</v>
      </c>
      <c r="Q437" s="14">
        <v>12.098360655737705</v>
      </c>
      <c r="R437" s="14">
        <v>13.890710382513662</v>
      </c>
      <c r="S437" s="14">
        <v>25.989071038251367</v>
      </c>
      <c r="T437" s="14">
        <v>23.300546448087431</v>
      </c>
      <c r="U437" s="14">
        <v>114.97354497354497</v>
      </c>
      <c r="V437" s="24"/>
      <c r="W437" s="14">
        <f>S437+T437/2+U437+P437</f>
        <v>181.24780987076068</v>
      </c>
      <c r="Y437">
        <v>0</v>
      </c>
      <c r="Z437" t="s">
        <v>650</v>
      </c>
      <c r="AA437">
        <v>66</v>
      </c>
      <c r="AB437">
        <v>189</v>
      </c>
      <c r="AC437">
        <v>265</v>
      </c>
    </row>
    <row r="438" spans="1:29">
      <c r="A438" t="s">
        <v>510</v>
      </c>
      <c r="B438" t="s">
        <v>514</v>
      </c>
      <c r="C438">
        <v>6</v>
      </c>
      <c r="D438" t="s">
        <v>35</v>
      </c>
      <c r="E438" s="1">
        <v>74</v>
      </c>
      <c r="F438">
        <v>179</v>
      </c>
      <c r="G438" s="1">
        <v>18</v>
      </c>
      <c r="H438" t="s">
        <v>41</v>
      </c>
      <c r="I438" t="s">
        <v>43</v>
      </c>
      <c r="J438" s="2">
        <v>72</v>
      </c>
      <c r="K438" s="23">
        <v>59.319148936170215</v>
      </c>
      <c r="L438" s="23">
        <v>109.91489361702128</v>
      </c>
      <c r="M438" s="23">
        <v>62.808510638297875</v>
      </c>
      <c r="N438" s="5" t="s">
        <v>599</v>
      </c>
      <c r="O438" s="2" t="s">
        <v>651</v>
      </c>
      <c r="P438" s="23">
        <v>30.066666666666663</v>
      </c>
      <c r="Q438" s="14">
        <v>13.12</v>
      </c>
      <c r="R438" s="14">
        <v>16.399999999999999</v>
      </c>
      <c r="S438" s="14">
        <v>29.52</v>
      </c>
      <c r="T438" s="14">
        <v>13.12</v>
      </c>
      <c r="U438" s="14">
        <v>114.8</v>
      </c>
      <c r="V438" s="24"/>
      <c r="W438" s="14">
        <f>S438+T438/2+U438+P438</f>
        <v>180.94666666666666</v>
      </c>
      <c r="X438" s="22">
        <v>12</v>
      </c>
      <c r="Y438">
        <v>0</v>
      </c>
      <c r="Z438" t="s">
        <v>650</v>
      </c>
      <c r="AA438">
        <v>11</v>
      </c>
      <c r="AB438">
        <v>30</v>
      </c>
      <c r="AC438">
        <v>42</v>
      </c>
    </row>
    <row r="439" spans="1:29">
      <c r="A439" t="s">
        <v>525</v>
      </c>
      <c r="B439" t="s">
        <v>532</v>
      </c>
      <c r="C439">
        <v>21</v>
      </c>
      <c r="D439" t="s">
        <v>35</v>
      </c>
      <c r="E439" s="1">
        <v>76</v>
      </c>
      <c r="F439">
        <v>212</v>
      </c>
      <c r="G439" s="1">
        <v>18</v>
      </c>
      <c r="H439" t="s">
        <v>41</v>
      </c>
      <c r="I439" t="s">
        <v>44</v>
      </c>
      <c r="J439" s="2">
        <v>54</v>
      </c>
      <c r="K439" s="23">
        <v>90.723404255319153</v>
      </c>
      <c r="L439" s="23">
        <v>64.553191489361708</v>
      </c>
      <c r="M439" s="23">
        <v>59.319148936170215</v>
      </c>
      <c r="N439" s="3" t="s">
        <v>616</v>
      </c>
      <c r="O439" s="2" t="s">
        <v>651</v>
      </c>
      <c r="P439" s="23">
        <v>34.08988764044944</v>
      </c>
      <c r="Q439" s="14">
        <v>14.525714285714287</v>
      </c>
      <c r="R439" s="14">
        <v>12.182857142857143</v>
      </c>
      <c r="S439" s="14">
        <v>26.708571428571428</v>
      </c>
      <c r="T439" s="14">
        <v>23.897142857142857</v>
      </c>
      <c r="U439" s="14">
        <v>106.41573033707864</v>
      </c>
      <c r="V439" s="24"/>
      <c r="W439" s="14">
        <f>S439+T439/2+U439+P439</f>
        <v>179.16276083467093</v>
      </c>
      <c r="Y439">
        <v>0</v>
      </c>
      <c r="Z439" t="s">
        <v>650</v>
      </c>
      <c r="AA439">
        <v>74</v>
      </c>
      <c r="AB439">
        <v>178</v>
      </c>
      <c r="AC439">
        <v>231</v>
      </c>
    </row>
    <row r="440" spans="1:29">
      <c r="A440" t="s">
        <v>283</v>
      </c>
      <c r="B440" t="s">
        <v>286</v>
      </c>
      <c r="C440">
        <v>123</v>
      </c>
      <c r="D440" t="s">
        <v>34</v>
      </c>
      <c r="E440" s="1">
        <v>70</v>
      </c>
      <c r="F440">
        <v>190</v>
      </c>
      <c r="G440" s="1">
        <v>18</v>
      </c>
      <c r="H440" t="s">
        <v>42</v>
      </c>
      <c r="I440" t="s">
        <v>44</v>
      </c>
      <c r="J440" s="2">
        <f>26+41+7</f>
        <v>74</v>
      </c>
      <c r="K440" s="23">
        <v>22.680851063829788</v>
      </c>
      <c r="L440" s="23">
        <v>48.851063829787229</v>
      </c>
      <c r="M440" s="23">
        <v>17.446808510638299</v>
      </c>
      <c r="N440" s="3" t="s">
        <v>608</v>
      </c>
      <c r="O440" s="2" t="s">
        <v>651</v>
      </c>
      <c r="P440" s="23">
        <v>32.532608695652172</v>
      </c>
      <c r="Q440" s="14">
        <v>5.0960451977401133</v>
      </c>
      <c r="R440" s="14">
        <v>32.429378531073446</v>
      </c>
      <c r="S440" s="14">
        <v>37.525423728813557</v>
      </c>
      <c r="T440" s="14">
        <v>12.971751412429379</v>
      </c>
      <c r="U440" s="14">
        <v>102.5</v>
      </c>
      <c r="V440" s="24">
        <v>-0.125</v>
      </c>
      <c r="W440" s="14">
        <f>S440+T440/2+U440+P440</f>
        <v>179.04390813068045</v>
      </c>
      <c r="X440" s="22">
        <v>40</v>
      </c>
      <c r="Y440">
        <v>0</v>
      </c>
      <c r="Z440" t="s">
        <v>651</v>
      </c>
      <c r="AA440">
        <v>73</v>
      </c>
      <c r="AB440">
        <v>184</v>
      </c>
      <c r="AC440">
        <v>230</v>
      </c>
    </row>
    <row r="441" spans="1:29">
      <c r="A441" t="s">
        <v>251</v>
      </c>
      <c r="B441" t="s">
        <v>259</v>
      </c>
      <c r="C441">
        <v>16</v>
      </c>
      <c r="D441" t="s">
        <v>34</v>
      </c>
      <c r="E441" s="1">
        <v>72</v>
      </c>
      <c r="F441">
        <v>194</v>
      </c>
      <c r="G441" s="1">
        <v>18</v>
      </c>
      <c r="H441" t="s">
        <v>41</v>
      </c>
      <c r="I441" t="s">
        <v>44</v>
      </c>
      <c r="J441" s="2">
        <f>25+7+58</f>
        <v>90</v>
      </c>
      <c r="K441" s="23">
        <v>80.255319148936167</v>
      </c>
      <c r="L441" s="23">
        <v>155.27659574468086</v>
      </c>
      <c r="M441" s="23">
        <v>83.744680851063819</v>
      </c>
      <c r="N441" s="3" t="s">
        <v>608</v>
      </c>
      <c r="O441" s="2" t="s">
        <v>651</v>
      </c>
      <c r="P441" s="23">
        <v>44.88421052631579</v>
      </c>
      <c r="Q441" s="14">
        <v>16.772727272727273</v>
      </c>
      <c r="R441" s="14">
        <v>13.045454545454545</v>
      </c>
      <c r="S441" s="14">
        <v>29.818181818181817</v>
      </c>
      <c r="T441" s="14">
        <v>20.5</v>
      </c>
      <c r="U441" s="14">
        <v>94.084210526315786</v>
      </c>
      <c r="V441" s="24"/>
      <c r="W441" s="14">
        <f>S441+T441/2+U441+P441</f>
        <v>179.0366028708134</v>
      </c>
      <c r="Y441">
        <v>0</v>
      </c>
      <c r="Z441" t="s">
        <v>650</v>
      </c>
      <c r="AA441">
        <v>52</v>
      </c>
      <c r="AB441">
        <v>95</v>
      </c>
      <c r="AC441">
        <v>109</v>
      </c>
    </row>
    <row r="442" spans="1:29">
      <c r="A442" t="s">
        <v>539</v>
      </c>
      <c r="B442" t="s">
        <v>545</v>
      </c>
      <c r="C442">
        <v>132</v>
      </c>
      <c r="D442" t="s">
        <v>65</v>
      </c>
      <c r="E442" s="1">
        <v>71</v>
      </c>
      <c r="F442">
        <v>180</v>
      </c>
      <c r="G442" s="1">
        <v>19</v>
      </c>
      <c r="H442" t="s">
        <v>42</v>
      </c>
      <c r="I442" t="s">
        <v>43</v>
      </c>
      <c r="J442" s="2">
        <f>9+27+32</f>
        <v>68</v>
      </c>
      <c r="K442" s="23">
        <v>20.936170212765955</v>
      </c>
      <c r="L442" s="23">
        <v>78.510638297872347</v>
      </c>
      <c r="M442" s="23">
        <v>41.87234042553191</v>
      </c>
      <c r="N442" s="3" t="s">
        <v>605</v>
      </c>
      <c r="O442" s="2" t="s">
        <v>651</v>
      </c>
      <c r="P442" s="23">
        <v>34.166666666666671</v>
      </c>
      <c r="Q442" s="14">
        <v>5</v>
      </c>
      <c r="R442" s="14">
        <v>20</v>
      </c>
      <c r="S442" s="14">
        <v>25</v>
      </c>
      <c r="T442" s="14">
        <v>18</v>
      </c>
      <c r="U442" s="14">
        <v>110.30952380952382</v>
      </c>
      <c r="V442" s="24">
        <v>9.5238095238095233E-2</v>
      </c>
      <c r="W442" s="14">
        <f>S442+T442/2+U442+P442</f>
        <v>178.47619047619048</v>
      </c>
      <c r="X442" s="22">
        <v>1</v>
      </c>
      <c r="Y442">
        <v>0</v>
      </c>
      <c r="Z442" t="s">
        <v>650</v>
      </c>
      <c r="AA442">
        <v>35</v>
      </c>
      <c r="AB442">
        <v>84</v>
      </c>
      <c r="AC442">
        <v>113</v>
      </c>
    </row>
    <row r="443" spans="1:29">
      <c r="A443" t="s">
        <v>397</v>
      </c>
      <c r="B443" t="s">
        <v>403</v>
      </c>
      <c r="C443">
        <v>79</v>
      </c>
      <c r="D443" t="s">
        <v>65</v>
      </c>
      <c r="E443" s="1">
        <v>73</v>
      </c>
      <c r="F443">
        <v>195</v>
      </c>
      <c r="G443" s="1">
        <v>21</v>
      </c>
      <c r="H443" t="s">
        <v>41</v>
      </c>
      <c r="I443" t="s">
        <v>44</v>
      </c>
      <c r="J443" s="2">
        <v>55</v>
      </c>
      <c r="K443" s="23">
        <v>24.425531914893615</v>
      </c>
      <c r="L443" s="23">
        <v>29.659574468085108</v>
      </c>
      <c r="M443" s="23">
        <v>55.829787234042549</v>
      </c>
      <c r="N443" s="3" t="s">
        <v>605</v>
      </c>
      <c r="O443" s="2" t="s">
        <v>651</v>
      </c>
      <c r="P443" s="23">
        <v>17.413127413127413</v>
      </c>
      <c r="Q443" s="14">
        <v>13.881889763779526</v>
      </c>
      <c r="R443" s="14">
        <v>17.110236220472441</v>
      </c>
      <c r="S443" s="14">
        <v>30.992125984251967</v>
      </c>
      <c r="T443" s="14">
        <v>21.952755905511811</v>
      </c>
      <c r="U443" s="14">
        <v>118.40926640926641</v>
      </c>
      <c r="V443" s="24"/>
      <c r="W443" s="14">
        <f>S443+T443/2+U443+P443</f>
        <v>177.79089775940167</v>
      </c>
      <c r="Y443">
        <v>0</v>
      </c>
      <c r="Z443" t="s">
        <v>650</v>
      </c>
      <c r="AA443">
        <v>55</v>
      </c>
      <c r="AB443">
        <v>259</v>
      </c>
      <c r="AC443">
        <v>374</v>
      </c>
    </row>
    <row r="444" spans="1:29">
      <c r="A444" t="s">
        <v>413</v>
      </c>
      <c r="B444" t="s">
        <v>422</v>
      </c>
      <c r="C444">
        <v>127</v>
      </c>
      <c r="D444" t="s">
        <v>34</v>
      </c>
      <c r="E444" s="1">
        <v>74</v>
      </c>
      <c r="F444">
        <v>199</v>
      </c>
      <c r="G444" s="1">
        <v>20</v>
      </c>
      <c r="H444" t="s">
        <v>42</v>
      </c>
      <c r="I444" t="s">
        <v>43</v>
      </c>
      <c r="J444" s="2">
        <v>40</v>
      </c>
      <c r="K444" s="23">
        <v>13.957446808510637</v>
      </c>
      <c r="L444" s="23">
        <v>17.446808510638299</v>
      </c>
      <c r="M444" s="23">
        <v>27.914893617021274</v>
      </c>
      <c r="N444" s="5" t="s">
        <v>637</v>
      </c>
      <c r="O444" s="2" t="s">
        <v>651</v>
      </c>
      <c r="P444" s="23">
        <v>70.52</v>
      </c>
      <c r="Q444" s="14">
        <v>3.6444444444444444</v>
      </c>
      <c r="R444" s="14">
        <v>12.755555555555555</v>
      </c>
      <c r="S444" s="14">
        <v>16.399999999999999</v>
      </c>
      <c r="T444" s="14">
        <v>3.6444444444444444</v>
      </c>
      <c r="U444" s="14">
        <v>88.56</v>
      </c>
      <c r="V444" s="24">
        <v>0.06</v>
      </c>
      <c r="W444" s="14">
        <f>S444+T444/2+U444+P444</f>
        <v>177.30222222222221</v>
      </c>
      <c r="X444" s="22">
        <v>-18</v>
      </c>
      <c r="Y444">
        <v>0</v>
      </c>
      <c r="Z444" t="s">
        <v>650</v>
      </c>
      <c r="AA444">
        <v>43</v>
      </c>
      <c r="AB444">
        <v>50</v>
      </c>
      <c r="AC444">
        <v>54</v>
      </c>
    </row>
    <row r="445" spans="1:29">
      <c r="A445" t="s">
        <v>413</v>
      </c>
      <c r="B445" t="s">
        <v>423</v>
      </c>
      <c r="C445">
        <v>25</v>
      </c>
      <c r="D445" t="s">
        <v>34</v>
      </c>
      <c r="E445" s="1">
        <v>73</v>
      </c>
      <c r="F445">
        <v>187</v>
      </c>
      <c r="G445" s="1">
        <v>18</v>
      </c>
      <c r="H445" t="s">
        <v>41</v>
      </c>
      <c r="I445" t="s">
        <v>43</v>
      </c>
      <c r="J445" s="2">
        <f>25+7+65</f>
        <v>97</v>
      </c>
      <c r="K445" s="23">
        <v>76.765957446808514</v>
      </c>
      <c r="L445" s="23">
        <v>146.55319148936169</v>
      </c>
      <c r="M445" s="23">
        <v>69.787234042553195</v>
      </c>
      <c r="N445" s="5" t="s">
        <v>608</v>
      </c>
      <c r="O445" s="2" t="s">
        <v>651</v>
      </c>
      <c r="P445" s="23">
        <v>46.087591240875909</v>
      </c>
      <c r="Q445" s="14">
        <v>11.181818181818182</v>
      </c>
      <c r="R445" s="14">
        <v>18.015151515151516</v>
      </c>
      <c r="S445" s="14">
        <v>29.196969696969695</v>
      </c>
      <c r="T445" s="14">
        <v>6.2121212121212119</v>
      </c>
      <c r="U445" s="14">
        <v>96.963503649635044</v>
      </c>
      <c r="V445" s="24"/>
      <c r="W445" s="14">
        <f>S445+T445/2+U445+P445</f>
        <v>175.35412519354128</v>
      </c>
      <c r="Y445">
        <v>0</v>
      </c>
      <c r="Z445" t="s">
        <v>650</v>
      </c>
      <c r="AA445">
        <v>77</v>
      </c>
      <c r="AB445">
        <v>137</v>
      </c>
      <c r="AC445">
        <v>162</v>
      </c>
    </row>
    <row r="446" spans="1:29">
      <c r="A446" t="s">
        <v>556</v>
      </c>
      <c r="B446" t="s">
        <v>575</v>
      </c>
      <c r="C446">
        <v>27</v>
      </c>
      <c r="D446" t="s">
        <v>65</v>
      </c>
      <c r="E446" s="1">
        <v>74</v>
      </c>
      <c r="F446">
        <v>197</v>
      </c>
      <c r="G446" s="1">
        <v>18</v>
      </c>
      <c r="H446" t="s">
        <v>42</v>
      </c>
      <c r="I446" t="s">
        <v>44</v>
      </c>
      <c r="J446" s="2">
        <f>5+5+30+1+2+20+5+20</f>
        <v>88</v>
      </c>
      <c r="K446" s="23">
        <v>17.446808510638299</v>
      </c>
      <c r="L446" s="23">
        <v>47.10638297872341</v>
      </c>
      <c r="M446" s="23">
        <v>127.36170212765957</v>
      </c>
      <c r="N446" s="3" t="s">
        <v>65</v>
      </c>
      <c r="O446" s="2" t="s">
        <v>651</v>
      </c>
      <c r="P446" s="23">
        <v>58.871794871794869</v>
      </c>
      <c r="Q446" s="14">
        <v>1.0933333333333333</v>
      </c>
      <c r="R446" s="14">
        <v>7.6533333333333324</v>
      </c>
      <c r="S446" s="14">
        <v>8.7466666666666661</v>
      </c>
      <c r="T446" s="14">
        <v>28.426666666666666</v>
      </c>
      <c r="U446" s="14">
        <v>90.410256410256423</v>
      </c>
      <c r="V446" s="24">
        <v>-0.10256410256410256</v>
      </c>
      <c r="W446" s="14">
        <f>S446+T446/2+U446+P446</f>
        <v>172.24205128205128</v>
      </c>
      <c r="X446" s="22">
        <v>-89</v>
      </c>
      <c r="Y446">
        <v>0</v>
      </c>
      <c r="Z446" t="s">
        <v>651</v>
      </c>
      <c r="AA446">
        <v>56</v>
      </c>
      <c r="AB446">
        <v>78</v>
      </c>
      <c r="AC446">
        <v>86</v>
      </c>
    </row>
    <row r="447" spans="1:29">
      <c r="A447" t="s">
        <v>322</v>
      </c>
      <c r="B447" t="s">
        <v>323</v>
      </c>
      <c r="C447">
        <v>152</v>
      </c>
      <c r="D447" t="s">
        <v>35</v>
      </c>
      <c r="E447" s="1">
        <v>73</v>
      </c>
      <c r="F447">
        <v>200</v>
      </c>
      <c r="G447" s="1">
        <v>18</v>
      </c>
      <c r="H447" t="s">
        <v>42</v>
      </c>
      <c r="I447" t="s">
        <v>44</v>
      </c>
      <c r="J447" s="2">
        <v>70</v>
      </c>
      <c r="K447" s="23">
        <v>19.191489361702128</v>
      </c>
      <c r="L447" s="23">
        <v>61.063829787234042</v>
      </c>
      <c r="M447" s="23">
        <v>130.85106382978722</v>
      </c>
      <c r="N447" s="5" t="s">
        <v>614</v>
      </c>
      <c r="O447" s="2" t="s">
        <v>651</v>
      </c>
      <c r="P447" s="23">
        <v>43.860465116279066</v>
      </c>
      <c r="Q447" s="14">
        <v>4.4496124031007751</v>
      </c>
      <c r="R447" s="14">
        <v>12.713178294573645</v>
      </c>
      <c r="S447" s="14">
        <v>17.162790697674421</v>
      </c>
      <c r="T447" s="14">
        <v>34.007751937984494</v>
      </c>
      <c r="U447" s="14">
        <v>93.124031007751938</v>
      </c>
      <c r="V447" s="24">
        <v>7.7519379844961239E-3</v>
      </c>
      <c r="W447" s="14">
        <f>S447+T447/2+U447+P447</f>
        <v>171.15116279069767</v>
      </c>
      <c r="X447" s="22">
        <v>-13</v>
      </c>
      <c r="Y447">
        <v>0</v>
      </c>
      <c r="Z447" t="s">
        <v>650</v>
      </c>
      <c r="AA447">
        <v>138</v>
      </c>
      <c r="AB447">
        <v>258</v>
      </c>
      <c r="AC447">
        <v>293</v>
      </c>
    </row>
    <row r="448" spans="1:29">
      <c r="A448" s="6" t="s">
        <v>17</v>
      </c>
      <c r="B448" t="s">
        <v>20</v>
      </c>
      <c r="C448">
        <v>146</v>
      </c>
      <c r="D448" t="s">
        <v>34</v>
      </c>
      <c r="E448" s="1">
        <v>72</v>
      </c>
      <c r="F448">
        <v>190</v>
      </c>
      <c r="G448" s="1">
        <v>18</v>
      </c>
      <c r="H448" t="s">
        <v>41</v>
      </c>
      <c r="I448" t="s">
        <v>44</v>
      </c>
      <c r="J448" s="2">
        <f>7+35+26</f>
        <v>68</v>
      </c>
      <c r="K448" s="23">
        <v>40.127659574468083</v>
      </c>
      <c r="L448" s="23">
        <v>36.638297872340424</v>
      </c>
      <c r="M448" s="23">
        <v>24.425531914893615</v>
      </c>
      <c r="N448" s="3" t="s">
        <v>608</v>
      </c>
      <c r="O448" s="2" t="s">
        <v>651</v>
      </c>
      <c r="P448" s="23">
        <v>45.68571428571429</v>
      </c>
      <c r="Q448" s="14">
        <v>10.412698412698413</v>
      </c>
      <c r="R448" s="14">
        <v>14.317460317460318</v>
      </c>
      <c r="S448" s="14">
        <v>24.730158730158731</v>
      </c>
      <c r="T448" s="14">
        <v>10.412698412698413</v>
      </c>
      <c r="U448" s="14">
        <v>93.714285714285708</v>
      </c>
      <c r="V448" s="24"/>
      <c r="W448" s="14">
        <f>S448+T448/2+U448+P448</f>
        <v>169.33650793650793</v>
      </c>
      <c r="Y448">
        <v>0</v>
      </c>
      <c r="Z448" t="s">
        <v>650</v>
      </c>
      <c r="AA448">
        <v>39</v>
      </c>
      <c r="AB448">
        <v>70</v>
      </c>
      <c r="AC448">
        <v>80</v>
      </c>
    </row>
    <row r="449" spans="1:29">
      <c r="A449" t="s">
        <v>576</v>
      </c>
      <c r="B449" t="s">
        <v>589</v>
      </c>
      <c r="C449">
        <v>198</v>
      </c>
      <c r="D449" t="s">
        <v>34</v>
      </c>
      <c r="E449" s="1">
        <v>71</v>
      </c>
      <c r="F449">
        <v>185</v>
      </c>
      <c r="G449" s="1">
        <v>19</v>
      </c>
      <c r="H449" t="s">
        <v>42</v>
      </c>
      <c r="I449" t="s">
        <v>44</v>
      </c>
      <c r="J449" s="2">
        <v>34</v>
      </c>
      <c r="K449" s="23">
        <v>12.212765957446807</v>
      </c>
      <c r="L449" s="23">
        <v>17.446808510638299</v>
      </c>
      <c r="M449" s="23">
        <v>34.893617021276597</v>
      </c>
      <c r="N449" s="3" t="s">
        <v>633</v>
      </c>
      <c r="O449" s="2" t="s">
        <v>651</v>
      </c>
      <c r="P449" s="23">
        <v>56.459016393442624</v>
      </c>
      <c r="Q449" s="14">
        <v>2.1206896551724137</v>
      </c>
      <c r="R449" s="14">
        <v>12.017241379310345</v>
      </c>
      <c r="S449" s="14">
        <v>14.137931034482758</v>
      </c>
      <c r="T449" s="14">
        <v>19.086206896551722</v>
      </c>
      <c r="U449" s="14">
        <v>88.721311475409848</v>
      </c>
      <c r="V449" s="24">
        <v>9.9173553719008267E-2</v>
      </c>
      <c r="W449" s="14">
        <f>S449+T449/2+U449+P449</f>
        <v>168.86136235161109</v>
      </c>
      <c r="Y449">
        <v>0</v>
      </c>
      <c r="Z449" t="s">
        <v>650</v>
      </c>
      <c r="AA449">
        <v>84</v>
      </c>
      <c r="AB449">
        <v>122</v>
      </c>
      <c r="AC449">
        <v>132</v>
      </c>
    </row>
    <row r="450" spans="1:29">
      <c r="A450" s="6" t="s">
        <v>148</v>
      </c>
      <c r="B450" t="s">
        <v>154</v>
      </c>
      <c r="C450">
        <v>106</v>
      </c>
      <c r="D450" t="s">
        <v>65</v>
      </c>
      <c r="E450" s="1">
        <v>75</v>
      </c>
      <c r="F450">
        <v>195</v>
      </c>
      <c r="G450" s="1">
        <v>18</v>
      </c>
      <c r="H450" t="s">
        <v>41</v>
      </c>
      <c r="I450" t="s">
        <v>44</v>
      </c>
      <c r="J450" s="2">
        <v>69</v>
      </c>
      <c r="K450" s="23">
        <v>20.936170212765955</v>
      </c>
      <c r="L450" s="23">
        <v>34.893617021276597</v>
      </c>
      <c r="M450" s="23">
        <v>31.404255319148938</v>
      </c>
      <c r="N450" s="3" t="s">
        <v>621</v>
      </c>
      <c r="O450" s="2" t="s">
        <v>651</v>
      </c>
      <c r="P450" s="23">
        <v>96.172839506172849</v>
      </c>
      <c r="Q450" s="14">
        <v>3.3243243243243246</v>
      </c>
      <c r="R450" s="14">
        <v>6.6486486486486491</v>
      </c>
      <c r="S450" s="14">
        <v>9.9729729729729737</v>
      </c>
      <c r="T450" s="14">
        <v>8.8648648648648649</v>
      </c>
      <c r="U450" s="14">
        <v>57.703703703703702</v>
      </c>
      <c r="V450" s="24"/>
      <c r="W450" s="14">
        <f>S450+T450/2+U450+P450</f>
        <v>168.28194861528198</v>
      </c>
      <c r="Y450">
        <v>0</v>
      </c>
      <c r="Z450" t="s">
        <v>650</v>
      </c>
      <c r="AA450">
        <v>95</v>
      </c>
      <c r="AB450">
        <v>81</v>
      </c>
      <c r="AC450">
        <v>57</v>
      </c>
    </row>
    <row r="451" spans="1:29">
      <c r="A451" t="s">
        <v>322</v>
      </c>
      <c r="B451" t="s">
        <v>333</v>
      </c>
      <c r="C451">
        <v>42</v>
      </c>
      <c r="D451" t="s">
        <v>66</v>
      </c>
      <c r="E451" s="1">
        <v>74</v>
      </c>
      <c r="F451">
        <v>194</v>
      </c>
      <c r="G451" s="1">
        <v>18</v>
      </c>
      <c r="H451" t="s">
        <v>41</v>
      </c>
      <c r="I451" t="s">
        <v>44</v>
      </c>
      <c r="J451" s="2">
        <f>15+5+5+4+16+3</f>
        <v>48</v>
      </c>
      <c r="K451" s="23">
        <v>13.957446808510637</v>
      </c>
      <c r="L451" s="23">
        <v>31.404255319148938</v>
      </c>
      <c r="M451" s="23">
        <v>80.255319148936167</v>
      </c>
      <c r="N451" s="3" t="s">
        <v>610</v>
      </c>
      <c r="O451" s="2" t="s">
        <v>651</v>
      </c>
      <c r="P451" s="23">
        <v>59.116279069767437</v>
      </c>
      <c r="Q451" s="14">
        <v>6.3076923076923084</v>
      </c>
      <c r="R451" s="14">
        <v>12.615384615384617</v>
      </c>
      <c r="S451" s="14">
        <v>18.923076923076923</v>
      </c>
      <c r="T451" s="14">
        <v>29.435897435897438</v>
      </c>
      <c r="U451" s="14">
        <v>74.372093023255815</v>
      </c>
      <c r="V451" s="24"/>
      <c r="W451" s="14">
        <f>S451+T451/2+U451+P451</f>
        <v>167.12939773404889</v>
      </c>
      <c r="Y451">
        <v>0</v>
      </c>
      <c r="Z451" t="s">
        <v>650</v>
      </c>
      <c r="AA451">
        <v>31</v>
      </c>
      <c r="AB451">
        <v>43</v>
      </c>
      <c r="AC451">
        <v>39</v>
      </c>
    </row>
    <row r="452" spans="1:29">
      <c r="A452" t="s">
        <v>445</v>
      </c>
      <c r="B452" t="s">
        <v>446</v>
      </c>
      <c r="C452">
        <v>10</v>
      </c>
      <c r="D452" t="s">
        <v>65</v>
      </c>
      <c r="E452" s="1">
        <v>73</v>
      </c>
      <c r="F452">
        <v>198</v>
      </c>
      <c r="G452" s="1">
        <v>18</v>
      </c>
      <c r="H452" t="s">
        <v>42</v>
      </c>
      <c r="I452" t="s">
        <v>44</v>
      </c>
      <c r="J452" s="2">
        <f>42+2+42+4</f>
        <v>90</v>
      </c>
      <c r="K452" s="23">
        <v>0</v>
      </c>
      <c r="L452" s="23">
        <v>17.446808510638299</v>
      </c>
      <c r="M452" s="23">
        <v>48.851063829787229</v>
      </c>
      <c r="N452" s="3" t="s">
        <v>605</v>
      </c>
      <c r="O452" s="2" t="s">
        <v>651</v>
      </c>
      <c r="P452" s="23">
        <v>40.361867704280158</v>
      </c>
      <c r="Q452" s="14">
        <v>4.6811023622047241</v>
      </c>
      <c r="R452" s="14">
        <v>15.334645669291337</v>
      </c>
      <c r="S452" s="14">
        <v>20.015748031496063</v>
      </c>
      <c r="T452" s="14">
        <v>22.921259842519685</v>
      </c>
      <c r="U452" s="14">
        <v>93.326848249027236</v>
      </c>
      <c r="V452" s="24">
        <v>6.0311284046692608E-2</v>
      </c>
      <c r="W452" s="14">
        <f>S452+T452/2+U452+P452</f>
        <v>165.1650939060633</v>
      </c>
      <c r="X452" s="22">
        <v>-4</v>
      </c>
      <c r="Y452">
        <v>0</v>
      </c>
      <c r="Z452" t="s">
        <v>650</v>
      </c>
      <c r="AA452">
        <v>253</v>
      </c>
      <c r="AB452">
        <v>514</v>
      </c>
      <c r="AC452">
        <v>585</v>
      </c>
    </row>
    <row r="453" spans="1:29">
      <c r="A453" t="s">
        <v>188</v>
      </c>
      <c r="B453" t="s">
        <v>194</v>
      </c>
      <c r="C453">
        <v>5</v>
      </c>
      <c r="D453" t="s">
        <v>35</v>
      </c>
      <c r="E453" s="1">
        <v>75</v>
      </c>
      <c r="F453">
        <v>204</v>
      </c>
      <c r="G453" s="1">
        <v>18</v>
      </c>
      <c r="H453" t="s">
        <v>41</v>
      </c>
      <c r="I453" t="s">
        <v>44</v>
      </c>
      <c r="J453" s="2">
        <v>67</v>
      </c>
      <c r="K453" s="23">
        <v>68.042553191489361</v>
      </c>
      <c r="L453" s="23">
        <v>97.702127659574458</v>
      </c>
      <c r="M453" s="23">
        <v>59.319148936170215</v>
      </c>
      <c r="N453" s="3" t="s">
        <v>600</v>
      </c>
      <c r="O453" s="2" t="s">
        <v>651</v>
      </c>
      <c r="P453" s="23">
        <v>64.109090909090909</v>
      </c>
      <c r="Q453" s="14">
        <v>6.56</v>
      </c>
      <c r="R453" s="14">
        <v>9.84</v>
      </c>
      <c r="S453" s="14">
        <v>16.399999999999999</v>
      </c>
      <c r="T453" s="14">
        <v>16.399999999999999</v>
      </c>
      <c r="U453" s="14">
        <v>76.036363636363632</v>
      </c>
      <c r="V453" s="24"/>
      <c r="W453" s="14">
        <f>S453+T453/2+U453+P453</f>
        <v>164.74545454545455</v>
      </c>
      <c r="Y453">
        <v>0</v>
      </c>
      <c r="Z453" t="s">
        <v>650</v>
      </c>
      <c r="AA453">
        <v>43</v>
      </c>
      <c r="AB453">
        <v>55</v>
      </c>
      <c r="AC453">
        <v>51</v>
      </c>
    </row>
    <row r="454" spans="1:29">
      <c r="A454" t="s">
        <v>413</v>
      </c>
      <c r="B454" t="s">
        <v>416</v>
      </c>
      <c r="C454">
        <v>51</v>
      </c>
      <c r="D454" t="s">
        <v>65</v>
      </c>
      <c r="E454" s="1">
        <v>76</v>
      </c>
      <c r="F454">
        <v>231</v>
      </c>
      <c r="G454" s="1">
        <v>18</v>
      </c>
      <c r="H454" t="s">
        <v>42</v>
      </c>
      <c r="I454" t="s">
        <v>44</v>
      </c>
      <c r="J454" s="2">
        <v>40</v>
      </c>
      <c r="K454" s="23">
        <v>12.212765957446807</v>
      </c>
      <c r="L454" s="23">
        <v>17.446808510638299</v>
      </c>
      <c r="M454" s="23">
        <v>24.425531914893615</v>
      </c>
      <c r="N454" s="3" t="s">
        <v>65</v>
      </c>
      <c r="O454" s="2" t="s">
        <v>651</v>
      </c>
      <c r="P454" s="23">
        <v>59.147540983606561</v>
      </c>
      <c r="Q454" s="14">
        <v>0</v>
      </c>
      <c r="R454" s="14">
        <v>12.508474576271187</v>
      </c>
      <c r="S454" s="14">
        <v>12.508474576271187</v>
      </c>
      <c r="T454" s="14">
        <v>13.898305084745763</v>
      </c>
      <c r="U454" s="14">
        <v>83.344262295081975</v>
      </c>
      <c r="V454" s="24">
        <v>6.5573770491803282E-2</v>
      </c>
      <c r="W454" s="14">
        <f>S454+T454/2+U454+P454</f>
        <v>161.94943039733261</v>
      </c>
      <c r="X454" s="22">
        <v>-40</v>
      </c>
      <c r="Y454">
        <v>0</v>
      </c>
      <c r="Z454" t="s">
        <v>650</v>
      </c>
      <c r="AA454">
        <v>44</v>
      </c>
      <c r="AB454">
        <v>61</v>
      </c>
      <c r="AC454">
        <v>62</v>
      </c>
    </row>
    <row r="455" spans="1:29">
      <c r="A455" t="s">
        <v>169</v>
      </c>
      <c r="B455" t="s">
        <v>183</v>
      </c>
      <c r="C455">
        <v>57</v>
      </c>
      <c r="D455" t="s">
        <v>119</v>
      </c>
      <c r="E455" s="1">
        <v>75</v>
      </c>
      <c r="F455">
        <v>206</v>
      </c>
      <c r="G455" s="1">
        <v>18</v>
      </c>
      <c r="H455" t="s">
        <v>42</v>
      </c>
      <c r="I455" t="s">
        <v>44</v>
      </c>
      <c r="J455" s="2">
        <v>51</v>
      </c>
      <c r="K455" s="23">
        <v>1.7446808510638296</v>
      </c>
      <c r="L455" s="23">
        <v>17.446808510638299</v>
      </c>
      <c r="M455" s="23">
        <v>85.489361702127667</v>
      </c>
      <c r="N455" s="5" t="s">
        <v>628</v>
      </c>
      <c r="O455" s="2" t="s">
        <v>651</v>
      </c>
      <c r="P455" s="23">
        <v>77.607142857142861</v>
      </c>
      <c r="Q455" s="14">
        <v>1.64</v>
      </c>
      <c r="R455" s="14">
        <v>9.84</v>
      </c>
      <c r="S455" s="14">
        <v>11.479999999999999</v>
      </c>
      <c r="T455" s="14">
        <v>42.64</v>
      </c>
      <c r="U455" s="14">
        <v>48.321428571428569</v>
      </c>
      <c r="V455" s="24">
        <v>0.18181818181818182</v>
      </c>
      <c r="W455" s="14">
        <f>S455+T455/2+U455+P455</f>
        <v>158.72857142857143</v>
      </c>
      <c r="X455" s="22">
        <v>-46</v>
      </c>
      <c r="Y455">
        <v>0</v>
      </c>
      <c r="Z455" t="s">
        <v>650</v>
      </c>
      <c r="AA455">
        <v>53</v>
      </c>
      <c r="AB455">
        <v>56</v>
      </c>
      <c r="AC455">
        <v>33</v>
      </c>
    </row>
    <row r="456" spans="1:29">
      <c r="A456" t="s">
        <v>306</v>
      </c>
      <c r="B456" t="s">
        <v>320</v>
      </c>
      <c r="C456">
        <v>20</v>
      </c>
      <c r="D456" t="s">
        <v>35</v>
      </c>
      <c r="E456" s="1">
        <v>72</v>
      </c>
      <c r="F456">
        <v>188</v>
      </c>
      <c r="G456" s="1">
        <v>18</v>
      </c>
      <c r="H456" t="s">
        <v>41</v>
      </c>
      <c r="I456" t="s">
        <v>43</v>
      </c>
      <c r="J456" s="2">
        <v>66</v>
      </c>
      <c r="K456" s="23">
        <v>27.914893617021274</v>
      </c>
      <c r="L456" s="23">
        <v>87.234042553191486</v>
      </c>
      <c r="M456" s="23">
        <v>45.361702127659576</v>
      </c>
      <c r="N456" s="5" t="s">
        <v>600</v>
      </c>
      <c r="O456" s="2" t="s">
        <v>651</v>
      </c>
      <c r="P456" s="23">
        <v>15.536842105263158</v>
      </c>
      <c r="Q456" s="14">
        <v>11.181818181818182</v>
      </c>
      <c r="R456" s="14">
        <v>27.02272727272727</v>
      </c>
      <c r="S456" s="14">
        <v>38.204545454545453</v>
      </c>
      <c r="T456" s="14">
        <v>16.772727272727273</v>
      </c>
      <c r="U456" s="14">
        <v>95.810526315789474</v>
      </c>
      <c r="V456" s="24"/>
      <c r="W456" s="14">
        <f>S456+T456/2+U456+P456</f>
        <v>157.93827751196173</v>
      </c>
      <c r="Y456">
        <v>0</v>
      </c>
      <c r="Z456" t="s">
        <v>650</v>
      </c>
      <c r="AA456">
        <v>18</v>
      </c>
      <c r="AB456">
        <v>95</v>
      </c>
      <c r="AC456">
        <v>111</v>
      </c>
    </row>
    <row r="457" spans="1:29">
      <c r="A457" t="s">
        <v>576</v>
      </c>
      <c r="B457" t="s">
        <v>577</v>
      </c>
      <c r="C457">
        <v>90</v>
      </c>
      <c r="D457" t="s">
        <v>35</v>
      </c>
      <c r="E457" s="1">
        <v>73</v>
      </c>
      <c r="F457">
        <v>205</v>
      </c>
      <c r="G457" s="1">
        <v>18</v>
      </c>
      <c r="H457" t="s">
        <v>41</v>
      </c>
      <c r="I457" t="s">
        <v>43</v>
      </c>
      <c r="J457" s="2">
        <v>64</v>
      </c>
      <c r="K457" s="23">
        <v>20.936170212765955</v>
      </c>
      <c r="L457" s="23">
        <v>45.361702127659576</v>
      </c>
      <c r="M457" s="23">
        <v>24.425531914893615</v>
      </c>
      <c r="N457" s="5" t="s">
        <v>600</v>
      </c>
      <c r="O457" s="2" t="s">
        <v>651</v>
      </c>
      <c r="P457" s="23">
        <v>36.018691588785046</v>
      </c>
      <c r="Q457" s="14">
        <v>11.366336633663368</v>
      </c>
      <c r="R457" s="14">
        <v>11.366336633663368</v>
      </c>
      <c r="S457" s="14">
        <v>22.732673267326735</v>
      </c>
      <c r="T457" s="14">
        <v>14.613861386138614</v>
      </c>
      <c r="U457" s="14">
        <v>87.364485981308405</v>
      </c>
      <c r="V457" s="24"/>
      <c r="W457" s="14">
        <f>S457+T457/2+U457+P457</f>
        <v>153.42278153048949</v>
      </c>
      <c r="Y457">
        <v>0</v>
      </c>
      <c r="Z457" t="s">
        <v>650</v>
      </c>
      <c r="AA457">
        <v>47</v>
      </c>
      <c r="AB457">
        <v>107</v>
      </c>
      <c r="AC457">
        <v>114</v>
      </c>
    </row>
    <row r="458" spans="1:29">
      <c r="A458" s="6" t="s">
        <v>17</v>
      </c>
      <c r="B458" t="s">
        <v>22</v>
      </c>
      <c r="C458">
        <v>90</v>
      </c>
      <c r="D458" t="s">
        <v>36</v>
      </c>
      <c r="E458" s="1">
        <v>74</v>
      </c>
      <c r="F458">
        <v>202</v>
      </c>
      <c r="G458" s="1">
        <v>18</v>
      </c>
      <c r="H458" t="s">
        <v>41</v>
      </c>
      <c r="I458" t="s">
        <v>44</v>
      </c>
      <c r="J458" s="2">
        <f>11+8+6+4+38+2+6</f>
        <v>75</v>
      </c>
      <c r="K458" s="23">
        <v>59.319148936170215</v>
      </c>
      <c r="L458" s="23">
        <v>73.276595744680847</v>
      </c>
      <c r="M458" s="23">
        <v>31.404255319148938</v>
      </c>
      <c r="N458" s="3" t="s">
        <v>65</v>
      </c>
      <c r="O458" s="2" t="s">
        <v>651</v>
      </c>
      <c r="P458" s="23">
        <v>34.85</v>
      </c>
      <c r="Q458" s="14">
        <v>10.25</v>
      </c>
      <c r="R458" s="14">
        <v>12.299999999999999</v>
      </c>
      <c r="S458" s="14">
        <v>22.549999999999997</v>
      </c>
      <c r="T458" s="14">
        <v>20.5</v>
      </c>
      <c r="U458" s="14">
        <v>84.05</v>
      </c>
      <c r="V458" s="24"/>
      <c r="W458" s="14">
        <f>S458+T458/2+U458+P458</f>
        <v>151.69999999999999</v>
      </c>
      <c r="Y458">
        <v>0</v>
      </c>
      <c r="Z458" t="s">
        <v>650</v>
      </c>
      <c r="AA458">
        <v>17</v>
      </c>
      <c r="AB458">
        <v>40</v>
      </c>
      <c r="AC458">
        <v>41</v>
      </c>
    </row>
    <row r="459" spans="1:29">
      <c r="A459" s="6" t="s">
        <v>102</v>
      </c>
      <c r="B459" t="s">
        <v>115</v>
      </c>
      <c r="C459">
        <v>126</v>
      </c>
      <c r="D459" t="s">
        <v>34</v>
      </c>
      <c r="E459" s="1">
        <v>74</v>
      </c>
      <c r="F459">
        <v>200</v>
      </c>
      <c r="G459" s="1">
        <v>18</v>
      </c>
      <c r="H459" t="s">
        <v>41</v>
      </c>
      <c r="I459" t="s">
        <v>44</v>
      </c>
      <c r="J459" s="2">
        <v>59</v>
      </c>
      <c r="K459" s="23">
        <v>76.765957446808514</v>
      </c>
      <c r="L459" s="23">
        <v>95.957446808510639</v>
      </c>
      <c r="M459" s="23">
        <v>111.6595744680851</v>
      </c>
      <c r="N459" s="5" t="s">
        <v>637</v>
      </c>
      <c r="O459" s="2" t="s">
        <v>651</v>
      </c>
      <c r="P459" s="23">
        <v>65.265306122448976</v>
      </c>
      <c r="Q459" s="14">
        <v>3.8139534883720931</v>
      </c>
      <c r="R459" s="14">
        <v>3.8139534883720931</v>
      </c>
      <c r="S459" s="14">
        <v>7.6279069767441863</v>
      </c>
      <c r="T459" s="14">
        <v>36.232558139534888</v>
      </c>
      <c r="U459" s="14">
        <v>60.244897959183675</v>
      </c>
      <c r="V459" s="24"/>
      <c r="W459" s="14">
        <f>S459+T459/2+U459+P459</f>
        <v>151.25439012814428</v>
      </c>
      <c r="Y459">
        <v>0</v>
      </c>
      <c r="Z459" t="s">
        <v>650</v>
      </c>
      <c r="AA459">
        <v>39</v>
      </c>
      <c r="AB459">
        <v>49</v>
      </c>
      <c r="AC459">
        <v>36</v>
      </c>
    </row>
    <row r="460" spans="1:29">
      <c r="A460" t="s">
        <v>556</v>
      </c>
      <c r="B460" t="s">
        <v>568</v>
      </c>
      <c r="C460">
        <v>85</v>
      </c>
      <c r="D460" t="s">
        <v>35</v>
      </c>
      <c r="E460" s="1">
        <v>73</v>
      </c>
      <c r="F460">
        <v>192</v>
      </c>
      <c r="G460" s="1">
        <v>18</v>
      </c>
      <c r="H460" t="s">
        <v>42</v>
      </c>
      <c r="I460" t="s">
        <v>44</v>
      </c>
      <c r="J460" s="2">
        <v>2</v>
      </c>
      <c r="K460" s="23">
        <v>0</v>
      </c>
      <c r="L460" s="23">
        <v>1.7446808510638296</v>
      </c>
      <c r="M460" s="23">
        <v>0</v>
      </c>
      <c r="N460" s="3" t="s">
        <v>599</v>
      </c>
      <c r="O460" s="2" t="s">
        <v>651</v>
      </c>
      <c r="P460" s="23">
        <v>22.96</v>
      </c>
      <c r="Q460" s="14">
        <v>6.56</v>
      </c>
      <c r="R460" s="14">
        <v>22.959999999999997</v>
      </c>
      <c r="S460" s="14">
        <v>29.52</v>
      </c>
      <c r="T460" s="14">
        <v>19.68</v>
      </c>
      <c r="U460" s="14">
        <v>85.28</v>
      </c>
      <c r="V460" s="24">
        <v>-0.04</v>
      </c>
      <c r="W460" s="14">
        <f>S460+T460/2+U460+P460</f>
        <v>147.6</v>
      </c>
      <c r="Y460">
        <v>0</v>
      </c>
      <c r="Z460" t="s">
        <v>651</v>
      </c>
      <c r="AA460">
        <v>7</v>
      </c>
      <c r="AB460">
        <v>25</v>
      </c>
      <c r="AC460">
        <v>26</v>
      </c>
    </row>
    <row r="461" spans="1:29">
      <c r="A461" t="s">
        <v>539</v>
      </c>
      <c r="B461" t="s">
        <v>543</v>
      </c>
      <c r="C461">
        <v>60</v>
      </c>
      <c r="D461" t="s">
        <v>34</v>
      </c>
      <c r="E461" s="1">
        <v>72</v>
      </c>
      <c r="F461">
        <v>195</v>
      </c>
      <c r="G461" s="1">
        <v>20</v>
      </c>
      <c r="H461" t="s">
        <v>41</v>
      </c>
      <c r="I461" t="s">
        <v>43</v>
      </c>
      <c r="J461" s="2">
        <v>41</v>
      </c>
      <c r="K461" s="23">
        <v>29.659574468085108</v>
      </c>
      <c r="L461" s="23">
        <v>52.340425531914896</v>
      </c>
      <c r="M461" s="23">
        <v>33.148936170212764</v>
      </c>
      <c r="N461" s="5" t="s">
        <v>637</v>
      </c>
      <c r="O461" s="2" t="s">
        <v>651</v>
      </c>
      <c r="P461" s="23">
        <v>65.600000000000009</v>
      </c>
      <c r="Q461" s="14">
        <v>2.6451612903225805</v>
      </c>
      <c r="R461" s="14">
        <v>10.580645161290322</v>
      </c>
      <c r="S461" s="14">
        <v>13.225806451612902</v>
      </c>
      <c r="T461" s="14">
        <v>23.806451612903224</v>
      </c>
      <c r="U461" s="14">
        <v>56.228571428571428</v>
      </c>
      <c r="V461" s="24"/>
      <c r="W461" s="14">
        <f>S461+T461/2+U461+P461</f>
        <v>146.95760368663593</v>
      </c>
      <c r="Y461">
        <v>0</v>
      </c>
      <c r="Z461" t="s">
        <v>650</v>
      </c>
      <c r="AA461">
        <v>28</v>
      </c>
      <c r="AB461">
        <v>35</v>
      </c>
      <c r="AC461">
        <v>24</v>
      </c>
    </row>
    <row r="462" spans="1:29">
      <c r="A462" t="s">
        <v>525</v>
      </c>
      <c r="B462" t="s">
        <v>528</v>
      </c>
      <c r="C462">
        <v>56</v>
      </c>
      <c r="D462" t="s">
        <v>35</v>
      </c>
      <c r="E462" s="1">
        <v>70</v>
      </c>
      <c r="F462">
        <v>183</v>
      </c>
      <c r="G462" s="1">
        <v>18</v>
      </c>
      <c r="H462" t="s">
        <v>41</v>
      </c>
      <c r="I462" t="s">
        <v>44</v>
      </c>
      <c r="J462" s="2">
        <v>65</v>
      </c>
      <c r="K462" s="23">
        <v>45.361702127659576</v>
      </c>
      <c r="L462" s="23">
        <v>69.787234042553195</v>
      </c>
      <c r="M462" s="23">
        <v>87.234042553191486</v>
      </c>
      <c r="N462" s="3" t="s">
        <v>599</v>
      </c>
      <c r="O462" s="2" t="s">
        <v>651</v>
      </c>
      <c r="P462" s="23">
        <v>46.125</v>
      </c>
      <c r="Q462" s="14">
        <v>2.8275862068965516</v>
      </c>
      <c r="R462" s="14">
        <v>11.310344827586206</v>
      </c>
      <c r="S462" s="14">
        <v>14.137931034482758</v>
      </c>
      <c r="T462" s="14">
        <v>11.310344827586206</v>
      </c>
      <c r="U462" s="14">
        <v>79.4375</v>
      </c>
      <c r="V462" s="24"/>
      <c r="W462" s="14">
        <f>S462+T462/2+U462+P462</f>
        <v>145.35560344827587</v>
      </c>
      <c r="X462" s="22">
        <v>-28</v>
      </c>
      <c r="Y462">
        <v>0</v>
      </c>
      <c r="Z462" t="s">
        <v>650</v>
      </c>
      <c r="AA462">
        <v>18</v>
      </c>
      <c r="AB462">
        <v>32</v>
      </c>
      <c r="AC462">
        <v>31</v>
      </c>
    </row>
    <row r="463" spans="1:29">
      <c r="A463" t="s">
        <v>478</v>
      </c>
      <c r="B463" t="s">
        <v>492</v>
      </c>
      <c r="C463">
        <v>40</v>
      </c>
      <c r="D463" t="s">
        <v>34</v>
      </c>
      <c r="E463" s="1">
        <v>70</v>
      </c>
      <c r="F463">
        <v>184</v>
      </c>
      <c r="G463" s="1">
        <v>18</v>
      </c>
      <c r="H463" t="s">
        <v>42</v>
      </c>
      <c r="I463" t="s">
        <v>44</v>
      </c>
      <c r="J463" s="2">
        <f>31+11+7</f>
        <v>49</v>
      </c>
      <c r="K463" s="23">
        <v>52.340425531914896</v>
      </c>
      <c r="L463" s="23">
        <v>106.42553191489361</v>
      </c>
      <c r="M463" s="23">
        <v>31.404255319148938</v>
      </c>
      <c r="N463" s="5" t="s">
        <v>613</v>
      </c>
      <c r="O463" s="2" t="s">
        <v>651</v>
      </c>
      <c r="P463" s="23">
        <v>43.084745762711869</v>
      </c>
      <c r="Q463" s="14">
        <v>1.3898305084745763</v>
      </c>
      <c r="R463" s="14">
        <v>8.3389830508474585</v>
      </c>
      <c r="S463" s="14">
        <v>9.7288135593220346</v>
      </c>
      <c r="T463" s="14">
        <v>30.576271186440678</v>
      </c>
      <c r="U463" s="14">
        <v>63.932203389830512</v>
      </c>
      <c r="V463" s="24">
        <v>-3.3898305084745763E-2</v>
      </c>
      <c r="W463" s="14">
        <f>S463+T463/2+U463+P463</f>
        <v>132.03389830508476</v>
      </c>
      <c r="X463" s="22">
        <v>-69</v>
      </c>
      <c r="Y463">
        <v>0</v>
      </c>
      <c r="Z463" t="s">
        <v>651</v>
      </c>
      <c r="AA463">
        <v>31</v>
      </c>
      <c r="AB463">
        <v>59</v>
      </c>
      <c r="AC463">
        <v>46</v>
      </c>
    </row>
    <row r="464" spans="1:29">
      <c r="A464" t="s">
        <v>556</v>
      </c>
      <c r="B464" t="s">
        <v>573</v>
      </c>
      <c r="C464">
        <v>148</v>
      </c>
      <c r="D464" t="s">
        <v>34</v>
      </c>
      <c r="E464" s="1">
        <v>73</v>
      </c>
      <c r="F464">
        <v>175</v>
      </c>
      <c r="G464" s="1">
        <v>18</v>
      </c>
      <c r="H464" t="s">
        <v>41</v>
      </c>
      <c r="I464" t="s">
        <v>43</v>
      </c>
      <c r="J464" s="2">
        <v>66</v>
      </c>
      <c r="K464" s="23">
        <v>33.148936170212764</v>
      </c>
      <c r="L464" s="23">
        <v>43.617021276595743</v>
      </c>
      <c r="M464" s="23">
        <v>13.957446808510637</v>
      </c>
      <c r="N464" s="3" t="s">
        <v>608</v>
      </c>
      <c r="O464" s="2" t="s">
        <v>651</v>
      </c>
      <c r="P464" s="23">
        <v>8.0655737704918025</v>
      </c>
      <c r="Q464" s="14">
        <v>8.6315789473684212</v>
      </c>
      <c r="R464" s="14">
        <v>15.824561403508772</v>
      </c>
      <c r="S464" s="14">
        <v>24.456140350877192</v>
      </c>
      <c r="T464" s="14">
        <v>11.508771929824562</v>
      </c>
      <c r="U464" s="14">
        <v>83.344262295081975</v>
      </c>
      <c r="V464" s="24"/>
      <c r="W464" s="14">
        <f>S464+T464/2+U464+P464</f>
        <v>121.62036238136324</v>
      </c>
      <c r="Y464">
        <v>0</v>
      </c>
      <c r="Z464" t="s">
        <v>650</v>
      </c>
      <c r="AA464">
        <v>6</v>
      </c>
      <c r="AB464">
        <v>61</v>
      </c>
      <c r="AC464">
        <v>62</v>
      </c>
    </row>
    <row r="465" spans="1:29">
      <c r="A465" s="6" t="s">
        <v>87</v>
      </c>
      <c r="B465" t="s">
        <v>93</v>
      </c>
      <c r="C465">
        <v>100</v>
      </c>
      <c r="D465" t="s">
        <v>35</v>
      </c>
      <c r="E465" s="1">
        <v>69</v>
      </c>
      <c r="F465">
        <v>183</v>
      </c>
      <c r="G465" s="1">
        <v>18</v>
      </c>
      <c r="H465" t="s">
        <v>42</v>
      </c>
      <c r="I465" t="s">
        <v>44</v>
      </c>
      <c r="J465" s="2">
        <v>58</v>
      </c>
      <c r="K465" s="23">
        <v>12.212765957446807</v>
      </c>
      <c r="L465" s="23">
        <v>27.914893617021274</v>
      </c>
      <c r="M465" s="23">
        <v>24.425531914893615</v>
      </c>
      <c r="N465" s="5" t="s">
        <v>600</v>
      </c>
      <c r="O465" s="2" t="s">
        <v>651</v>
      </c>
      <c r="P465" s="23">
        <v>17.410958904109588</v>
      </c>
      <c r="Q465" s="14">
        <v>1.732394366197183</v>
      </c>
      <c r="R465" s="14">
        <v>13.28169014084507</v>
      </c>
      <c r="S465" s="14">
        <v>15.014084507042254</v>
      </c>
      <c r="T465" s="14">
        <v>11.549295774647888</v>
      </c>
      <c r="U465" s="14">
        <v>79.753424657534254</v>
      </c>
      <c r="V465" s="24">
        <v>0.19178082191780821</v>
      </c>
      <c r="W465" s="14">
        <f>S465+T465/2+U465+P465</f>
        <v>117.95311595601005</v>
      </c>
      <c r="X465" s="22">
        <v>-23</v>
      </c>
      <c r="Y465">
        <v>0</v>
      </c>
      <c r="Z465" t="s">
        <v>650</v>
      </c>
      <c r="AA465">
        <v>31</v>
      </c>
      <c r="AB465">
        <v>146</v>
      </c>
      <c r="AC465">
        <v>142</v>
      </c>
    </row>
    <row r="466" spans="1:29">
      <c r="A466" t="s">
        <v>169</v>
      </c>
      <c r="B466" t="s">
        <v>171</v>
      </c>
      <c r="C466">
        <v>177</v>
      </c>
      <c r="D466" t="s">
        <v>34</v>
      </c>
      <c r="E466" s="1">
        <v>71</v>
      </c>
      <c r="F466">
        <v>185</v>
      </c>
      <c r="G466" s="1">
        <v>18</v>
      </c>
      <c r="H466" t="s">
        <v>41</v>
      </c>
      <c r="I466" t="s">
        <v>44</v>
      </c>
      <c r="J466" s="2">
        <v>66</v>
      </c>
      <c r="K466" s="23">
        <v>26.170212765957448</v>
      </c>
      <c r="L466" s="23">
        <v>50.595744680851062</v>
      </c>
      <c r="M466" s="23">
        <v>31.404255319148938</v>
      </c>
      <c r="N466" s="5" t="s">
        <v>608</v>
      </c>
      <c r="O466" s="2" t="s">
        <v>651</v>
      </c>
      <c r="P466" s="23">
        <v>23.736842105263158</v>
      </c>
      <c r="Q466" s="14">
        <v>7.0285714285714285</v>
      </c>
      <c r="R466" s="14">
        <v>24.6</v>
      </c>
      <c r="S466" s="14">
        <v>31.62857142857143</v>
      </c>
      <c r="T466" s="14">
        <v>9.3714285714285719</v>
      </c>
      <c r="U466" s="14">
        <v>55.026315789473685</v>
      </c>
      <c r="V466" s="24"/>
      <c r="W466" s="14">
        <f>S466+T466/2+U466+P466</f>
        <v>115.07744360902257</v>
      </c>
      <c r="Y466">
        <v>0</v>
      </c>
      <c r="Z466" t="s">
        <v>650</v>
      </c>
      <c r="AA466">
        <v>22</v>
      </c>
      <c r="AB466">
        <v>76</v>
      </c>
      <c r="AC466">
        <v>51</v>
      </c>
    </row>
    <row r="467" spans="1:29">
      <c r="A467" t="s">
        <v>169</v>
      </c>
      <c r="B467" t="s">
        <v>184</v>
      </c>
      <c r="C467">
        <v>77</v>
      </c>
      <c r="D467" t="s">
        <v>35</v>
      </c>
      <c r="E467" s="1">
        <v>72</v>
      </c>
      <c r="F467">
        <v>203</v>
      </c>
      <c r="G467" s="1">
        <v>18</v>
      </c>
      <c r="H467" t="s">
        <v>41</v>
      </c>
      <c r="I467" t="s">
        <v>44</v>
      </c>
      <c r="J467" s="2">
        <v>55</v>
      </c>
      <c r="K467" s="23">
        <v>38.382978723404257</v>
      </c>
      <c r="L467" s="23">
        <v>34.893617021276597</v>
      </c>
      <c r="M467" s="23">
        <v>41.87234042553191</v>
      </c>
      <c r="N467" s="5" t="s">
        <v>599</v>
      </c>
      <c r="O467" s="2" t="s">
        <v>651</v>
      </c>
      <c r="P467" s="23">
        <v>43.183431952662723</v>
      </c>
      <c r="Q467" s="14">
        <v>7</v>
      </c>
      <c r="R467" s="14">
        <v>9.5</v>
      </c>
      <c r="S467" s="14">
        <v>16.5</v>
      </c>
      <c r="T467" s="14">
        <v>7</v>
      </c>
      <c r="U467" s="14">
        <v>46.579881656804737</v>
      </c>
      <c r="V467" s="24"/>
      <c r="W467" s="14">
        <f>S467+T467/2+U467+P467</f>
        <v>109.76331360946745</v>
      </c>
      <c r="Y467">
        <v>0</v>
      </c>
      <c r="Z467" t="s">
        <v>650</v>
      </c>
      <c r="AA467">
        <v>89</v>
      </c>
      <c r="AB467">
        <v>169</v>
      </c>
      <c r="AC467">
        <v>96</v>
      </c>
    </row>
    <row r="468" spans="1:29">
      <c r="A468" t="s">
        <v>322</v>
      </c>
      <c r="B468" t="s">
        <v>336</v>
      </c>
      <c r="C468">
        <v>66</v>
      </c>
      <c r="D468" t="s">
        <v>34</v>
      </c>
      <c r="E468" s="1">
        <v>68</v>
      </c>
      <c r="F468">
        <v>165</v>
      </c>
      <c r="G468" s="1">
        <v>19</v>
      </c>
      <c r="H468" t="s">
        <v>41</v>
      </c>
      <c r="I468" t="s">
        <v>43</v>
      </c>
      <c r="J468" s="2">
        <v>44</v>
      </c>
      <c r="K468" s="23">
        <v>40.127659574468083</v>
      </c>
      <c r="L468" s="23">
        <v>54.085106382978722</v>
      </c>
      <c r="M468" s="23">
        <v>62.808510638297875</v>
      </c>
      <c r="N468" s="5" t="s">
        <v>611</v>
      </c>
      <c r="O468" s="2" t="s">
        <v>651</v>
      </c>
      <c r="P468" s="23">
        <v>32.800000000000004</v>
      </c>
      <c r="Q468" s="14">
        <v>0</v>
      </c>
      <c r="R468" s="14">
        <v>0</v>
      </c>
      <c r="S468" s="14">
        <v>0</v>
      </c>
      <c r="T468" s="14">
        <v>16.399999999999999</v>
      </c>
      <c r="U468" s="14">
        <v>49.199999999999996</v>
      </c>
      <c r="W468" s="14">
        <f>S468+T468/2+U468+P468</f>
        <v>90.199999999999989</v>
      </c>
      <c r="Y468">
        <v>0</v>
      </c>
      <c r="Z468" t="s">
        <v>650</v>
      </c>
      <c r="AA468">
        <v>6</v>
      </c>
      <c r="AB468">
        <v>15</v>
      </c>
      <c r="AC468">
        <v>9</v>
      </c>
    </row>
    <row r="469" spans="1:29">
      <c r="A469" t="s">
        <v>354</v>
      </c>
      <c r="B469" t="s">
        <v>348</v>
      </c>
      <c r="C469">
        <v>100</v>
      </c>
      <c r="D469" t="s">
        <v>35</v>
      </c>
      <c r="E469" s="1">
        <v>70</v>
      </c>
      <c r="F469">
        <v>163</v>
      </c>
      <c r="G469" s="1">
        <v>19</v>
      </c>
      <c r="H469" t="s">
        <v>41</v>
      </c>
      <c r="I469" t="s">
        <v>44</v>
      </c>
      <c r="J469" s="2">
        <v>66</v>
      </c>
      <c r="K469" s="23">
        <v>75.021276595744681</v>
      </c>
      <c r="L469" s="23">
        <v>83.744680851063819</v>
      </c>
      <c r="M469" s="23">
        <v>136.08510638297872</v>
      </c>
      <c r="N469" s="5" t="s">
        <v>614</v>
      </c>
      <c r="O469" s="2" t="s">
        <v>651</v>
      </c>
      <c r="P469" s="23">
        <v>0</v>
      </c>
      <c r="Q469" s="14">
        <v>0</v>
      </c>
      <c r="R469" s="14">
        <v>0</v>
      </c>
      <c r="S469" s="14">
        <v>0</v>
      </c>
      <c r="T469" s="14">
        <v>0</v>
      </c>
      <c r="U469" s="14">
        <v>82</v>
      </c>
      <c r="W469" s="14">
        <f>S469+T469/2+U469+P469</f>
        <v>82</v>
      </c>
      <c r="Y469">
        <v>0</v>
      </c>
      <c r="Z469" t="s">
        <v>650</v>
      </c>
      <c r="AA469">
        <v>0</v>
      </c>
      <c r="AB469">
        <v>2</v>
      </c>
      <c r="AC469">
        <v>2</v>
      </c>
    </row>
    <row r="470" spans="1:29">
      <c r="A470" t="s">
        <v>251</v>
      </c>
      <c r="B470" t="s">
        <v>265</v>
      </c>
      <c r="C470">
        <v>8</v>
      </c>
      <c r="D470" t="s">
        <v>34</v>
      </c>
      <c r="E470" s="1">
        <v>74</v>
      </c>
      <c r="F470">
        <v>212</v>
      </c>
      <c r="G470" s="1">
        <v>18</v>
      </c>
      <c r="H470" t="s">
        <v>42</v>
      </c>
      <c r="I470" t="s">
        <v>44</v>
      </c>
      <c r="J470" s="2">
        <v>40</v>
      </c>
      <c r="K470" s="23">
        <v>17.446808510638299</v>
      </c>
      <c r="L470" s="23">
        <v>29.659574468085108</v>
      </c>
      <c r="M470" s="23">
        <v>17.446808510638299</v>
      </c>
      <c r="N470" s="3" t="s">
        <v>622</v>
      </c>
      <c r="O470" s="2" t="s">
        <v>651</v>
      </c>
      <c r="P470" s="23">
        <v>0</v>
      </c>
      <c r="Q470" s="14">
        <v>14.038910505836576</v>
      </c>
      <c r="R470" s="14">
        <v>30.311284046692606</v>
      </c>
      <c r="S470" s="14">
        <v>44.350194552529182</v>
      </c>
      <c r="T470" s="14">
        <v>17.229571984435797</v>
      </c>
      <c r="U470" s="14">
        <v>0</v>
      </c>
      <c r="V470" s="24">
        <v>2.6615969581749048E-2</v>
      </c>
      <c r="W470" s="14">
        <f>S470+T470/2+U470+P470</f>
        <v>52.964980544747078</v>
      </c>
      <c r="X470" s="22">
        <v>61</v>
      </c>
      <c r="Y470">
        <v>1</v>
      </c>
      <c r="Z470" t="s">
        <v>650</v>
      </c>
      <c r="AA470">
        <v>0</v>
      </c>
      <c r="AB470">
        <v>1</v>
      </c>
      <c r="AC470">
        <v>0</v>
      </c>
    </row>
    <row r="471" spans="1:29">
      <c r="A471" t="s">
        <v>413</v>
      </c>
      <c r="B471" t="s">
        <v>418</v>
      </c>
      <c r="C471">
        <v>60</v>
      </c>
      <c r="D471" t="s">
        <v>65</v>
      </c>
      <c r="E471" s="1">
        <v>74</v>
      </c>
      <c r="F471">
        <v>196</v>
      </c>
      <c r="G471" s="1">
        <v>18</v>
      </c>
      <c r="H471" t="s">
        <v>41</v>
      </c>
      <c r="I471" t="s">
        <v>44</v>
      </c>
      <c r="J471" s="2">
        <f>4+7+17+4+1+45</f>
        <v>78</v>
      </c>
      <c r="K471" s="23">
        <v>27.914893617021274</v>
      </c>
      <c r="L471" s="23">
        <v>43.617021276595743</v>
      </c>
      <c r="M471" s="23">
        <v>97.702127659574458</v>
      </c>
      <c r="N471" s="3" t="s">
        <v>639</v>
      </c>
      <c r="O471" s="2" t="s">
        <v>651</v>
      </c>
      <c r="P471" s="23">
        <v>19.523809523809522</v>
      </c>
      <c r="Q471" s="14">
        <v>0</v>
      </c>
      <c r="R471" s="14">
        <v>0</v>
      </c>
      <c r="S471" s="14">
        <v>0</v>
      </c>
      <c r="T471" s="14">
        <v>0</v>
      </c>
      <c r="U471" s="14">
        <v>15.619047619047619</v>
      </c>
      <c r="W471" s="14">
        <f>S471+T471/2+U471+P471</f>
        <v>35.142857142857139</v>
      </c>
      <c r="Y471">
        <v>0</v>
      </c>
      <c r="Z471" t="s">
        <v>650</v>
      </c>
      <c r="AA471">
        <v>5</v>
      </c>
      <c r="AB471">
        <v>21</v>
      </c>
      <c r="AC471">
        <v>4</v>
      </c>
    </row>
    <row r="472" spans="1:29">
      <c r="A472" s="6" t="s">
        <v>135</v>
      </c>
      <c r="B472" t="s">
        <v>144</v>
      </c>
      <c r="C472">
        <v>101</v>
      </c>
      <c r="D472" t="s">
        <v>35</v>
      </c>
      <c r="E472" s="1">
        <v>76</v>
      </c>
      <c r="F472">
        <v>230</v>
      </c>
      <c r="G472" s="1">
        <v>18</v>
      </c>
      <c r="H472" t="s">
        <v>41</v>
      </c>
      <c r="I472" t="s">
        <v>44</v>
      </c>
      <c r="J472" s="2">
        <v>66</v>
      </c>
      <c r="K472" s="23">
        <v>20.936170212765955</v>
      </c>
      <c r="L472" s="23">
        <v>27.914893617021274</v>
      </c>
      <c r="M472" s="23">
        <v>36.638297872340424</v>
      </c>
      <c r="N472" s="3" t="s">
        <v>600</v>
      </c>
      <c r="O472" s="2" t="s">
        <v>651</v>
      </c>
      <c r="P472" s="23">
        <v>0</v>
      </c>
      <c r="Q472" s="14">
        <v>6.7397260273972606</v>
      </c>
      <c r="R472" s="14">
        <v>11.232876712328768</v>
      </c>
      <c r="S472" s="14">
        <v>17.972602739726028</v>
      </c>
      <c r="T472" s="14">
        <v>20.219178082191782</v>
      </c>
      <c r="U472" s="14">
        <v>0</v>
      </c>
      <c r="V472" s="24"/>
      <c r="W472" s="14">
        <f>S472+T472/2+U472+P472</f>
        <v>28.082191780821919</v>
      </c>
      <c r="Y472">
        <v>0</v>
      </c>
      <c r="Z472" t="s">
        <v>650</v>
      </c>
      <c r="AA472">
        <v>0</v>
      </c>
      <c r="AB472">
        <v>1</v>
      </c>
      <c r="AC472">
        <v>0</v>
      </c>
    </row>
  </sheetData>
  <autoFilter ref="A1:AC1" xr:uid="{09285F81-25FE-424D-949C-FF1BC312CFCA}">
    <sortState ref="A2:AC472">
      <sortCondition descending="1" ref="W1"/>
    </sortState>
  </autoFilter>
  <sortState ref="A2:AB472">
    <sortCondition ref="B2:B472"/>
  </sortState>
  <conditionalFormatting sqref="O1:Q1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4F00-7028-4B3A-BEFA-FBBC09F7D0E9}">
  <dimension ref="A1:I21714"/>
  <sheetViews>
    <sheetView topLeftCell="A437" workbookViewId="0">
      <selection activeCell="I2" sqref="I2:I472"/>
    </sheetView>
  </sheetViews>
  <sheetFormatPr defaultRowHeight="15"/>
  <cols>
    <col min="3" max="3" width="24.42578125" bestFit="1" customWidth="1"/>
    <col min="8" max="8" width="21.85546875" bestFit="1" customWidth="1"/>
  </cols>
  <sheetData>
    <row r="1" spans="1:9">
      <c r="A1" s="25">
        <v>1</v>
      </c>
      <c r="D1" t="s">
        <v>1175</v>
      </c>
      <c r="E1" t="s">
        <v>1178</v>
      </c>
      <c r="H1" t="s">
        <v>0</v>
      </c>
    </row>
    <row r="2" spans="1:9" ht="45">
      <c r="A2" s="26" t="s">
        <v>182</v>
      </c>
      <c r="D2" t="s">
        <v>879</v>
      </c>
      <c r="E2">
        <v>30</v>
      </c>
      <c r="H2" t="s">
        <v>106</v>
      </c>
      <c r="I2">
        <f>VLOOKUP(H2,$D$2:$E$984,2)</f>
        <v>1013</v>
      </c>
    </row>
    <row r="3" spans="1:9">
      <c r="A3" s="27" t="s">
        <v>44</v>
      </c>
      <c r="D3" t="s">
        <v>106</v>
      </c>
      <c r="E3">
        <v>1013</v>
      </c>
      <c r="H3" t="s">
        <v>492</v>
      </c>
      <c r="I3">
        <f t="shared" ref="I3:I66" si="0">VLOOKUP(H3,$D$2:$E$984,2)</f>
        <v>46</v>
      </c>
    </row>
    <row r="4" spans="1:9">
      <c r="A4" s="27">
        <v>1114</v>
      </c>
      <c r="D4" t="s">
        <v>492</v>
      </c>
      <c r="E4">
        <v>46</v>
      </c>
      <c r="H4" t="s">
        <v>155</v>
      </c>
      <c r="I4">
        <f t="shared" si="0"/>
        <v>165</v>
      </c>
    </row>
    <row r="5" spans="1:9">
      <c r="A5" s="27">
        <v>678</v>
      </c>
      <c r="D5" t="s">
        <v>1004</v>
      </c>
      <c r="E5">
        <v>10</v>
      </c>
      <c r="H5" t="s">
        <v>272</v>
      </c>
      <c r="I5">
        <f t="shared" si="0"/>
        <v>46</v>
      </c>
    </row>
    <row r="6" spans="1:9">
      <c r="A6" s="27">
        <v>564</v>
      </c>
      <c r="D6" t="s">
        <v>1081</v>
      </c>
      <c r="E6">
        <v>105</v>
      </c>
      <c r="H6" t="s">
        <v>502</v>
      </c>
      <c r="I6">
        <f t="shared" si="0"/>
        <v>89</v>
      </c>
    </row>
    <row r="7" spans="1:9">
      <c r="A7" s="27">
        <v>1242</v>
      </c>
      <c r="D7" t="s">
        <v>155</v>
      </c>
      <c r="E7">
        <v>165</v>
      </c>
      <c r="H7" t="s">
        <v>563</v>
      </c>
      <c r="I7">
        <f t="shared" si="0"/>
        <v>1096</v>
      </c>
    </row>
    <row r="8" spans="1:9">
      <c r="A8" s="27">
        <v>91</v>
      </c>
      <c r="D8" t="s">
        <v>272</v>
      </c>
      <c r="E8">
        <v>46</v>
      </c>
      <c r="H8" t="s">
        <v>471</v>
      </c>
      <c r="I8">
        <f t="shared" si="0"/>
        <v>577</v>
      </c>
    </row>
    <row r="9" spans="1:9">
      <c r="A9" s="27">
        <v>703</v>
      </c>
      <c r="D9" t="s">
        <v>502</v>
      </c>
      <c r="E9">
        <v>89</v>
      </c>
      <c r="H9" t="s">
        <v>200</v>
      </c>
      <c r="I9">
        <f t="shared" si="0"/>
        <v>296</v>
      </c>
    </row>
    <row r="10" spans="1:9">
      <c r="A10" s="27">
        <v>1.1100000000000001</v>
      </c>
      <c r="D10" t="s">
        <v>563</v>
      </c>
      <c r="E10">
        <v>1096</v>
      </c>
      <c r="H10" t="s">
        <v>583</v>
      </c>
      <c r="I10">
        <f t="shared" si="0"/>
        <v>326</v>
      </c>
    </row>
    <row r="11" spans="1:9">
      <c r="A11" s="27">
        <v>255</v>
      </c>
      <c r="D11" t="s">
        <v>1038</v>
      </c>
      <c r="E11">
        <v>8</v>
      </c>
      <c r="H11" t="s">
        <v>586</v>
      </c>
      <c r="I11">
        <f t="shared" si="0"/>
        <v>863</v>
      </c>
    </row>
    <row r="12" spans="1:9">
      <c r="A12" s="27">
        <v>474</v>
      </c>
      <c r="D12" t="s">
        <v>471</v>
      </c>
      <c r="E12">
        <v>577</v>
      </c>
      <c r="H12" t="s">
        <v>103</v>
      </c>
      <c r="I12">
        <f t="shared" si="0"/>
        <v>1064</v>
      </c>
    </row>
    <row r="13" spans="1:9">
      <c r="A13" s="27">
        <v>4</v>
      </c>
      <c r="D13" t="s">
        <v>705</v>
      </c>
      <c r="E13">
        <v>509</v>
      </c>
      <c r="H13" t="s">
        <v>464</v>
      </c>
      <c r="I13">
        <f t="shared" si="0"/>
        <v>675</v>
      </c>
    </row>
    <row r="14" spans="1:9">
      <c r="A14" s="27">
        <v>5</v>
      </c>
      <c r="D14" t="s">
        <v>200</v>
      </c>
      <c r="E14">
        <v>296</v>
      </c>
      <c r="H14" t="s">
        <v>433</v>
      </c>
      <c r="I14">
        <f t="shared" si="0"/>
        <v>478</v>
      </c>
    </row>
    <row r="15" spans="1:9">
      <c r="A15" s="27">
        <v>108</v>
      </c>
      <c r="D15" t="s">
        <v>583</v>
      </c>
      <c r="E15">
        <v>326</v>
      </c>
      <c r="H15" t="s">
        <v>208</v>
      </c>
      <c r="I15">
        <f t="shared" si="0"/>
        <v>1068</v>
      </c>
    </row>
    <row r="16" spans="1:9">
      <c r="A16" s="27">
        <v>23</v>
      </c>
      <c r="D16" t="s">
        <v>788</v>
      </c>
      <c r="E16">
        <v>125</v>
      </c>
      <c r="H16" t="s">
        <v>486</v>
      </c>
      <c r="I16">
        <f t="shared" si="0"/>
        <v>1313</v>
      </c>
    </row>
    <row r="17" spans="1:9">
      <c r="A17" s="27">
        <v>5376</v>
      </c>
      <c r="D17" t="s">
        <v>586</v>
      </c>
      <c r="E17">
        <v>863</v>
      </c>
      <c r="H17" t="s">
        <v>127</v>
      </c>
      <c r="I17">
        <f t="shared" si="0"/>
        <v>1067</v>
      </c>
    </row>
    <row r="18" spans="1:9">
      <c r="A18" s="27">
        <v>12.6</v>
      </c>
      <c r="D18" t="s">
        <v>103</v>
      </c>
      <c r="E18">
        <v>1064</v>
      </c>
      <c r="H18" t="s">
        <v>182</v>
      </c>
      <c r="I18">
        <f t="shared" si="0"/>
        <v>5376</v>
      </c>
    </row>
    <row r="19" spans="1:9">
      <c r="A19" s="29">
        <v>0.87361111111111101</v>
      </c>
      <c r="D19" t="s">
        <v>1156</v>
      </c>
      <c r="E19">
        <v>287</v>
      </c>
      <c r="H19" t="s">
        <v>315</v>
      </c>
      <c r="I19">
        <f t="shared" si="0"/>
        <v>1663</v>
      </c>
    </row>
    <row r="20" spans="1:9">
      <c r="A20" s="27">
        <v>21.7</v>
      </c>
      <c r="D20" t="s">
        <v>464</v>
      </c>
      <c r="E20">
        <v>675</v>
      </c>
      <c r="H20" t="s">
        <v>523</v>
      </c>
      <c r="I20">
        <f t="shared" si="0"/>
        <v>387</v>
      </c>
    </row>
    <row r="21" spans="1:9">
      <c r="A21" s="28">
        <v>34.6</v>
      </c>
      <c r="D21" t="s">
        <v>433</v>
      </c>
      <c r="E21">
        <v>478</v>
      </c>
      <c r="H21" t="s">
        <v>500</v>
      </c>
      <c r="I21">
        <f t="shared" si="0"/>
        <v>1865</v>
      </c>
    </row>
    <row r="22" spans="1:9">
      <c r="A22" s="25">
        <v>2</v>
      </c>
      <c r="D22" t="s">
        <v>901</v>
      </c>
      <c r="E22">
        <v>16</v>
      </c>
      <c r="H22" t="s">
        <v>56</v>
      </c>
      <c r="I22">
        <f t="shared" si="0"/>
        <v>240</v>
      </c>
    </row>
    <row r="23" spans="1:9" ht="30">
      <c r="A23" s="26" t="s">
        <v>207</v>
      </c>
      <c r="D23" t="s">
        <v>208</v>
      </c>
      <c r="E23">
        <v>1068</v>
      </c>
      <c r="H23" t="s">
        <v>438</v>
      </c>
      <c r="I23">
        <f t="shared" si="0"/>
        <v>240</v>
      </c>
    </row>
    <row r="24" spans="1:9">
      <c r="A24" s="27" t="s">
        <v>653</v>
      </c>
      <c r="D24" t="s">
        <v>486</v>
      </c>
      <c r="E24">
        <v>1313</v>
      </c>
      <c r="H24" t="s">
        <v>409</v>
      </c>
      <c r="I24">
        <f t="shared" si="0"/>
        <v>950</v>
      </c>
    </row>
    <row r="25" spans="1:9">
      <c r="A25" s="27">
        <v>960</v>
      </c>
      <c r="D25" t="s">
        <v>818</v>
      </c>
      <c r="E25">
        <v>332</v>
      </c>
      <c r="H25" t="s">
        <v>264</v>
      </c>
      <c r="I25">
        <f t="shared" si="0"/>
        <v>468</v>
      </c>
    </row>
    <row r="26" spans="1:9">
      <c r="A26" s="27">
        <v>451</v>
      </c>
      <c r="D26" t="s">
        <v>127</v>
      </c>
      <c r="E26">
        <v>1067</v>
      </c>
      <c r="H26" t="s">
        <v>20</v>
      </c>
      <c r="I26">
        <f t="shared" si="0"/>
        <v>80</v>
      </c>
    </row>
    <row r="27" spans="1:9">
      <c r="A27" s="27">
        <v>782</v>
      </c>
      <c r="D27" t="s">
        <v>917</v>
      </c>
      <c r="E27">
        <v>68</v>
      </c>
      <c r="H27" t="s">
        <v>198</v>
      </c>
      <c r="I27">
        <f t="shared" si="0"/>
        <v>1114</v>
      </c>
    </row>
    <row r="28" spans="1:9">
      <c r="A28" s="27">
        <v>1233</v>
      </c>
      <c r="D28" t="s">
        <v>182</v>
      </c>
      <c r="E28">
        <v>5376</v>
      </c>
      <c r="H28" t="s">
        <v>150</v>
      </c>
      <c r="I28">
        <f t="shared" si="0"/>
        <v>626</v>
      </c>
    </row>
    <row r="29" spans="1:9">
      <c r="A29" s="27">
        <v>182</v>
      </c>
      <c r="D29" t="s">
        <v>315</v>
      </c>
      <c r="E29">
        <v>1663</v>
      </c>
      <c r="H29" t="s">
        <v>54</v>
      </c>
      <c r="I29">
        <f t="shared" si="0"/>
        <v>215</v>
      </c>
    </row>
    <row r="30" spans="1:9">
      <c r="A30" s="27">
        <v>665</v>
      </c>
      <c r="D30" t="s">
        <v>523</v>
      </c>
      <c r="E30">
        <v>387</v>
      </c>
      <c r="H30" t="s">
        <v>248</v>
      </c>
      <c r="I30">
        <f t="shared" si="0"/>
        <v>267</v>
      </c>
    </row>
    <row r="31" spans="1:9">
      <c r="A31" s="27">
        <v>1.28</v>
      </c>
      <c r="D31" t="s">
        <v>500</v>
      </c>
      <c r="E31">
        <v>1865</v>
      </c>
      <c r="H31" t="s">
        <v>411</v>
      </c>
      <c r="I31">
        <f t="shared" si="0"/>
        <v>995</v>
      </c>
    </row>
    <row r="32" spans="1:9">
      <c r="A32" s="27">
        <v>137</v>
      </c>
      <c r="D32" t="s">
        <v>56</v>
      </c>
      <c r="E32">
        <v>240</v>
      </c>
      <c r="H32" t="s">
        <v>399</v>
      </c>
      <c r="I32">
        <f t="shared" si="0"/>
        <v>1579</v>
      </c>
    </row>
    <row r="33" spans="1:9">
      <c r="A33" s="27">
        <v>444</v>
      </c>
      <c r="D33" t="s">
        <v>1163</v>
      </c>
      <c r="E33">
        <v>253</v>
      </c>
      <c r="H33" t="s">
        <v>535</v>
      </c>
      <c r="I33">
        <f t="shared" si="0"/>
        <v>104</v>
      </c>
    </row>
    <row r="34" spans="1:9">
      <c r="A34" s="27">
        <v>3</v>
      </c>
      <c r="D34" t="s">
        <v>409</v>
      </c>
      <c r="E34">
        <v>950</v>
      </c>
      <c r="H34" t="s">
        <v>441</v>
      </c>
      <c r="I34">
        <f t="shared" si="0"/>
        <v>988</v>
      </c>
    </row>
    <row r="35" spans="1:9">
      <c r="A35" s="27">
        <v>10</v>
      </c>
      <c r="D35" t="s">
        <v>808</v>
      </c>
      <c r="E35">
        <v>2382</v>
      </c>
      <c r="H35" t="s">
        <v>395</v>
      </c>
      <c r="I35">
        <f t="shared" si="0"/>
        <v>442</v>
      </c>
    </row>
    <row r="36" spans="1:9">
      <c r="A36" s="27">
        <v>60</v>
      </c>
      <c r="D36" t="s">
        <v>922</v>
      </c>
      <c r="E36">
        <v>3</v>
      </c>
      <c r="H36" t="s">
        <v>123</v>
      </c>
      <c r="I36">
        <f t="shared" si="0"/>
        <v>190</v>
      </c>
    </row>
    <row r="37" spans="1:9">
      <c r="A37" s="27">
        <v>14</v>
      </c>
      <c r="D37" t="s">
        <v>264</v>
      </c>
      <c r="E37">
        <v>468</v>
      </c>
      <c r="H37" t="s">
        <v>270</v>
      </c>
      <c r="I37">
        <f t="shared" si="0"/>
        <v>190</v>
      </c>
    </row>
    <row r="38" spans="1:9">
      <c r="A38" s="27">
        <v>3109</v>
      </c>
      <c r="D38" t="s">
        <v>951</v>
      </c>
      <c r="E38">
        <v>1</v>
      </c>
      <c r="H38" t="s">
        <v>164</v>
      </c>
      <c r="I38">
        <f t="shared" si="0"/>
        <v>631</v>
      </c>
    </row>
    <row r="39" spans="1:9">
      <c r="A39" s="27">
        <v>14.5</v>
      </c>
      <c r="D39" t="s">
        <v>677</v>
      </c>
      <c r="E39">
        <v>29</v>
      </c>
      <c r="H39" t="s">
        <v>348</v>
      </c>
      <c r="I39">
        <f t="shared" si="0"/>
        <v>2</v>
      </c>
    </row>
    <row r="40" spans="1:9">
      <c r="A40" s="29">
        <v>0.86944444444444446</v>
      </c>
      <c r="D40" t="s">
        <v>894</v>
      </c>
      <c r="E40">
        <v>38</v>
      </c>
      <c r="H40" t="s">
        <v>114</v>
      </c>
      <c r="I40">
        <f t="shared" si="0"/>
        <v>1129</v>
      </c>
    </row>
    <row r="41" spans="1:9">
      <c r="A41" s="27">
        <v>24.5</v>
      </c>
      <c r="D41" t="s">
        <v>20</v>
      </c>
      <c r="E41">
        <v>80</v>
      </c>
      <c r="H41" t="s">
        <v>584</v>
      </c>
      <c r="I41">
        <f t="shared" si="0"/>
        <v>2521</v>
      </c>
    </row>
    <row r="42" spans="1:9">
      <c r="A42" s="28">
        <v>51.9</v>
      </c>
      <c r="D42" t="s">
        <v>198</v>
      </c>
      <c r="E42">
        <v>1114</v>
      </c>
      <c r="H42" t="s">
        <v>92</v>
      </c>
      <c r="I42">
        <f t="shared" si="0"/>
        <v>556</v>
      </c>
    </row>
    <row r="43" spans="1:9">
      <c r="A43" s="25">
        <v>3</v>
      </c>
      <c r="D43" t="s">
        <v>822</v>
      </c>
      <c r="E43">
        <v>537</v>
      </c>
      <c r="H43" t="s">
        <v>591</v>
      </c>
      <c r="I43">
        <f t="shared" si="0"/>
        <v>119</v>
      </c>
    </row>
    <row r="44" spans="1:9" ht="30">
      <c r="A44" s="26" t="s">
        <v>554</v>
      </c>
      <c r="D44" t="s">
        <v>150</v>
      </c>
      <c r="E44">
        <v>626</v>
      </c>
      <c r="H44" t="s">
        <v>352</v>
      </c>
      <c r="I44">
        <f t="shared" si="0"/>
        <v>337</v>
      </c>
    </row>
    <row r="45" spans="1:9">
      <c r="A45" s="27" t="s">
        <v>653</v>
      </c>
      <c r="D45" t="s">
        <v>1101</v>
      </c>
      <c r="E45">
        <v>46</v>
      </c>
      <c r="H45" t="s">
        <v>58</v>
      </c>
      <c r="I45">
        <f t="shared" si="0"/>
        <v>829</v>
      </c>
    </row>
    <row r="46" spans="1:9">
      <c r="A46" s="27">
        <v>1086</v>
      </c>
      <c r="D46" t="s">
        <v>1060</v>
      </c>
      <c r="E46">
        <v>5</v>
      </c>
      <c r="H46" t="s">
        <v>488</v>
      </c>
      <c r="I46">
        <f t="shared" si="0"/>
        <v>20</v>
      </c>
    </row>
    <row r="47" spans="1:9">
      <c r="A47" s="27">
        <v>253</v>
      </c>
      <c r="D47" t="s">
        <v>54</v>
      </c>
      <c r="E47">
        <v>215</v>
      </c>
      <c r="H47" t="s">
        <v>287</v>
      </c>
      <c r="I47">
        <f t="shared" si="0"/>
        <v>443</v>
      </c>
    </row>
    <row r="48" spans="1:9">
      <c r="A48" s="27">
        <v>813</v>
      </c>
      <c r="D48" t="s">
        <v>790</v>
      </c>
      <c r="E48">
        <v>160</v>
      </c>
      <c r="H48" t="s">
        <v>400</v>
      </c>
      <c r="I48">
        <f t="shared" si="0"/>
        <v>1394</v>
      </c>
    </row>
    <row r="49" spans="1:9">
      <c r="A49" s="27">
        <v>1066</v>
      </c>
      <c r="D49" t="s">
        <v>248</v>
      </c>
      <c r="E49">
        <v>267</v>
      </c>
      <c r="H49" t="s">
        <v>427</v>
      </c>
      <c r="I49">
        <f t="shared" si="0"/>
        <v>2354</v>
      </c>
    </row>
    <row r="50" spans="1:9">
      <c r="A50" s="27">
        <v>173</v>
      </c>
      <c r="D50" t="s">
        <v>411</v>
      </c>
      <c r="E50">
        <v>995</v>
      </c>
      <c r="H50" t="s">
        <v>145</v>
      </c>
      <c r="I50">
        <f t="shared" si="0"/>
        <v>2042</v>
      </c>
    </row>
    <row r="51" spans="1:9">
      <c r="A51" s="27">
        <v>621</v>
      </c>
      <c r="D51" t="s">
        <v>792</v>
      </c>
      <c r="E51">
        <v>15</v>
      </c>
      <c r="H51" t="s">
        <v>258</v>
      </c>
      <c r="I51">
        <f t="shared" si="0"/>
        <v>1063</v>
      </c>
    </row>
    <row r="52" spans="1:9">
      <c r="A52" s="27">
        <v>0.98</v>
      </c>
      <c r="D52" t="s">
        <v>399</v>
      </c>
      <c r="E52">
        <v>1579</v>
      </c>
      <c r="H52" t="s">
        <v>31</v>
      </c>
      <c r="I52">
        <f t="shared" si="0"/>
        <v>1727</v>
      </c>
    </row>
    <row r="53" spans="1:9">
      <c r="A53" s="27">
        <v>87</v>
      </c>
      <c r="D53" t="s">
        <v>710</v>
      </c>
      <c r="E53">
        <v>369</v>
      </c>
      <c r="H53" t="s">
        <v>493</v>
      </c>
      <c r="I53">
        <f t="shared" si="0"/>
        <v>1175</v>
      </c>
    </row>
    <row r="54" spans="1:9">
      <c r="A54" s="27">
        <v>406</v>
      </c>
      <c r="D54" t="s">
        <v>850</v>
      </c>
      <c r="E54">
        <v>2089</v>
      </c>
      <c r="H54" t="s">
        <v>279</v>
      </c>
      <c r="I54">
        <f t="shared" si="0"/>
        <v>465</v>
      </c>
    </row>
    <row r="55" spans="1:9">
      <c r="A55" s="27">
        <v>3</v>
      </c>
      <c r="D55" t="s">
        <v>535</v>
      </c>
      <c r="E55">
        <v>104</v>
      </c>
      <c r="H55" t="s">
        <v>146</v>
      </c>
      <c r="I55">
        <f t="shared" si="0"/>
        <v>321</v>
      </c>
    </row>
    <row r="56" spans="1:9">
      <c r="A56" s="27">
        <v>9</v>
      </c>
      <c r="D56" t="s">
        <v>732</v>
      </c>
      <c r="E56">
        <v>1</v>
      </c>
      <c r="H56" t="s">
        <v>562</v>
      </c>
      <c r="I56">
        <f t="shared" si="0"/>
        <v>321</v>
      </c>
    </row>
    <row r="57" spans="1:9">
      <c r="A57" s="27">
        <v>41</v>
      </c>
      <c r="D57" t="s">
        <v>441</v>
      </c>
      <c r="E57">
        <v>988</v>
      </c>
      <c r="H57" t="s">
        <v>21</v>
      </c>
      <c r="I57">
        <f t="shared" si="0"/>
        <v>326</v>
      </c>
    </row>
    <row r="58" spans="1:9">
      <c r="A58" s="27">
        <v>5</v>
      </c>
      <c r="D58" t="s">
        <v>713</v>
      </c>
      <c r="E58">
        <v>153</v>
      </c>
      <c r="H58" t="s">
        <v>79</v>
      </c>
      <c r="I58">
        <f t="shared" si="0"/>
        <v>423</v>
      </c>
    </row>
    <row r="59" spans="1:9">
      <c r="A59" s="27">
        <v>1905</v>
      </c>
      <c r="D59" t="s">
        <v>1167</v>
      </c>
      <c r="E59">
        <v>984</v>
      </c>
      <c r="H59" t="s">
        <v>439</v>
      </c>
      <c r="I59">
        <f t="shared" si="0"/>
        <v>1407</v>
      </c>
    </row>
    <row r="60" spans="1:9">
      <c r="A60" s="27">
        <v>13.3</v>
      </c>
      <c r="D60" t="s">
        <v>906</v>
      </c>
      <c r="E60">
        <v>10</v>
      </c>
      <c r="H60" t="s">
        <v>517</v>
      </c>
      <c r="I60">
        <f t="shared" si="0"/>
        <v>446</v>
      </c>
    </row>
    <row r="61" spans="1:9">
      <c r="A61" s="29">
        <v>0.79791666666666661</v>
      </c>
      <c r="D61" t="s">
        <v>1079</v>
      </c>
      <c r="E61">
        <v>38</v>
      </c>
      <c r="H61" t="s">
        <v>130</v>
      </c>
      <c r="I61">
        <f t="shared" si="0"/>
        <v>577</v>
      </c>
    </row>
    <row r="62" spans="1:9">
      <c r="A62" s="27">
        <v>24.6</v>
      </c>
      <c r="D62" t="s">
        <v>395</v>
      </c>
      <c r="E62">
        <v>442</v>
      </c>
      <c r="H62" t="s">
        <v>317</v>
      </c>
      <c r="I62">
        <f t="shared" si="0"/>
        <v>1311</v>
      </c>
    </row>
    <row r="63" spans="1:9">
      <c r="A63" s="28">
        <v>53.7</v>
      </c>
      <c r="D63" t="s">
        <v>664</v>
      </c>
      <c r="E63">
        <v>121</v>
      </c>
      <c r="H63" t="s">
        <v>124</v>
      </c>
      <c r="I63">
        <f t="shared" si="0"/>
        <v>1257</v>
      </c>
    </row>
    <row r="64" spans="1:9">
      <c r="A64" s="25">
        <v>4</v>
      </c>
      <c r="D64" t="s">
        <v>123</v>
      </c>
      <c r="E64">
        <v>190</v>
      </c>
      <c r="H64" t="s">
        <v>91</v>
      </c>
      <c r="I64">
        <f t="shared" si="0"/>
        <v>1628</v>
      </c>
    </row>
    <row r="65" spans="1:9" ht="30">
      <c r="A65" s="26" t="s">
        <v>213</v>
      </c>
      <c r="D65" t="s">
        <v>919</v>
      </c>
      <c r="E65">
        <v>515</v>
      </c>
      <c r="H65" t="s">
        <v>277</v>
      </c>
      <c r="I65">
        <f t="shared" si="0"/>
        <v>117</v>
      </c>
    </row>
    <row r="66" spans="1:9">
      <c r="A66" s="27" t="s">
        <v>653</v>
      </c>
      <c r="D66" t="s">
        <v>961</v>
      </c>
      <c r="E66">
        <v>2</v>
      </c>
      <c r="H66" t="s">
        <v>163</v>
      </c>
      <c r="I66">
        <f t="shared" si="0"/>
        <v>364</v>
      </c>
    </row>
    <row r="67" spans="1:9">
      <c r="A67" s="27">
        <v>869</v>
      </c>
      <c r="D67" t="s">
        <v>164</v>
      </c>
      <c r="E67">
        <v>631</v>
      </c>
      <c r="H67" t="s">
        <v>280</v>
      </c>
      <c r="I67">
        <f t="shared" ref="I67:I130" si="1">VLOOKUP(H67,$D$2:$E$984,2)</f>
        <v>523</v>
      </c>
    </row>
    <row r="68" spans="1:9">
      <c r="A68" s="27">
        <v>397</v>
      </c>
      <c r="D68" t="s">
        <v>348</v>
      </c>
      <c r="E68">
        <v>2</v>
      </c>
      <c r="H68" t="s">
        <v>540</v>
      </c>
      <c r="I68">
        <f t="shared" si="1"/>
        <v>2916</v>
      </c>
    </row>
    <row r="69" spans="1:9">
      <c r="A69" s="27">
        <v>627</v>
      </c>
      <c r="D69" t="s">
        <v>780</v>
      </c>
      <c r="E69">
        <v>638</v>
      </c>
      <c r="H69" t="s">
        <v>440</v>
      </c>
      <c r="I69">
        <f t="shared" si="1"/>
        <v>1990</v>
      </c>
    </row>
    <row r="70" spans="1:9">
      <c r="A70" s="27">
        <v>1024</v>
      </c>
      <c r="D70" t="s">
        <v>1077</v>
      </c>
      <c r="E70">
        <v>26</v>
      </c>
      <c r="H70" t="s">
        <v>118</v>
      </c>
      <c r="I70">
        <f t="shared" si="1"/>
        <v>631</v>
      </c>
    </row>
    <row r="71" spans="1:9">
      <c r="A71" s="27">
        <v>72</v>
      </c>
      <c r="D71" t="s">
        <v>1106</v>
      </c>
      <c r="E71">
        <v>29</v>
      </c>
      <c r="H71" t="s">
        <v>274</v>
      </c>
      <c r="I71">
        <f t="shared" si="1"/>
        <v>102</v>
      </c>
    </row>
    <row r="72" spans="1:9">
      <c r="A72" s="27">
        <v>908</v>
      </c>
      <c r="D72" t="s">
        <v>114</v>
      </c>
      <c r="E72">
        <v>1129</v>
      </c>
      <c r="H72" t="s">
        <v>245</v>
      </c>
      <c r="I72">
        <f t="shared" si="1"/>
        <v>432</v>
      </c>
    </row>
    <row r="73" spans="1:9">
      <c r="A73" s="27">
        <v>1.18</v>
      </c>
      <c r="D73" t="s">
        <v>981</v>
      </c>
      <c r="E73">
        <v>2</v>
      </c>
      <c r="H73" t="s">
        <v>120</v>
      </c>
      <c r="I73">
        <f t="shared" si="1"/>
        <v>1363</v>
      </c>
    </row>
    <row r="74" spans="1:9">
      <c r="A74" s="27">
        <v>144</v>
      </c>
      <c r="D74" t="s">
        <v>814</v>
      </c>
      <c r="E74">
        <v>44</v>
      </c>
      <c r="H74" t="s">
        <v>509</v>
      </c>
      <c r="I74">
        <f t="shared" si="1"/>
        <v>500</v>
      </c>
    </row>
    <row r="75" spans="1:9">
      <c r="A75" s="27">
        <v>391</v>
      </c>
      <c r="D75" t="s">
        <v>584</v>
      </c>
      <c r="E75">
        <v>2521</v>
      </c>
      <c r="H75" t="s">
        <v>242</v>
      </c>
      <c r="I75">
        <f t="shared" si="1"/>
        <v>425</v>
      </c>
    </row>
    <row r="76" spans="1:9">
      <c r="A76" s="27">
        <v>4</v>
      </c>
      <c r="D76" t="s">
        <v>796</v>
      </c>
      <c r="E76">
        <v>1284</v>
      </c>
      <c r="H76" t="s">
        <v>199</v>
      </c>
      <c r="I76">
        <f t="shared" si="1"/>
        <v>1062</v>
      </c>
    </row>
    <row r="77" spans="1:9">
      <c r="A77" s="27">
        <v>5</v>
      </c>
      <c r="D77" t="s">
        <v>939</v>
      </c>
      <c r="E77">
        <v>892</v>
      </c>
      <c r="H77" t="s">
        <v>193</v>
      </c>
      <c r="I77">
        <f t="shared" si="1"/>
        <v>1426</v>
      </c>
    </row>
    <row r="78" spans="1:9">
      <c r="A78" s="27">
        <v>69</v>
      </c>
      <c r="D78" t="s">
        <v>92</v>
      </c>
      <c r="E78">
        <v>556</v>
      </c>
      <c r="H78" t="s">
        <v>90</v>
      </c>
      <c r="I78">
        <f t="shared" si="1"/>
        <v>22</v>
      </c>
    </row>
    <row r="79" spans="1:9">
      <c r="A79" s="27">
        <v>12</v>
      </c>
      <c r="D79" t="s">
        <v>1067</v>
      </c>
      <c r="E79">
        <v>25</v>
      </c>
      <c r="H79" t="s">
        <v>334</v>
      </c>
      <c r="I79">
        <f t="shared" si="1"/>
        <v>53</v>
      </c>
    </row>
    <row r="80" spans="1:9">
      <c r="A80" s="27">
        <v>2934</v>
      </c>
      <c r="D80" t="s">
        <v>819</v>
      </c>
      <c r="E80">
        <v>147</v>
      </c>
      <c r="H80" t="s">
        <v>468</v>
      </c>
      <c r="I80">
        <f t="shared" si="1"/>
        <v>25</v>
      </c>
    </row>
    <row r="81" spans="1:9">
      <c r="A81" s="27">
        <v>13.5</v>
      </c>
      <c r="D81" t="s">
        <v>591</v>
      </c>
      <c r="E81">
        <v>119</v>
      </c>
      <c r="H81" t="s">
        <v>346</v>
      </c>
      <c r="I81">
        <f t="shared" si="1"/>
        <v>640</v>
      </c>
    </row>
    <row r="82" spans="1:9">
      <c r="A82" s="29">
        <v>0.83333333333333337</v>
      </c>
      <c r="D82" t="s">
        <v>352</v>
      </c>
      <c r="E82">
        <v>337</v>
      </c>
      <c r="H82" t="s">
        <v>432</v>
      </c>
      <c r="I82">
        <f t="shared" si="1"/>
        <v>566</v>
      </c>
    </row>
    <row r="83" spans="1:9">
      <c r="A83" s="27">
        <v>22.6</v>
      </c>
      <c r="D83" t="s">
        <v>58</v>
      </c>
      <c r="E83">
        <v>829</v>
      </c>
      <c r="H83" t="s">
        <v>252</v>
      </c>
      <c r="I83">
        <f t="shared" si="1"/>
        <v>1666</v>
      </c>
    </row>
    <row r="84" spans="1:9">
      <c r="A84" s="28">
        <v>44</v>
      </c>
      <c r="D84" t="s">
        <v>684</v>
      </c>
      <c r="E84">
        <v>260</v>
      </c>
      <c r="H84" t="s">
        <v>558</v>
      </c>
      <c r="I84">
        <f t="shared" si="1"/>
        <v>1045</v>
      </c>
    </row>
    <row r="85" spans="1:9">
      <c r="A85" s="25">
        <v>5</v>
      </c>
      <c r="D85" t="s">
        <v>488</v>
      </c>
      <c r="E85">
        <v>20</v>
      </c>
      <c r="H85" t="s">
        <v>416</v>
      </c>
      <c r="I85">
        <f t="shared" si="1"/>
        <v>62</v>
      </c>
    </row>
    <row r="86" spans="1:9" ht="30">
      <c r="A86" s="26" t="s">
        <v>435</v>
      </c>
      <c r="D86" t="s">
        <v>920</v>
      </c>
      <c r="E86">
        <v>297</v>
      </c>
      <c r="H86" t="s">
        <v>582</v>
      </c>
      <c r="I86">
        <f t="shared" si="1"/>
        <v>40</v>
      </c>
    </row>
    <row r="87" spans="1:9">
      <c r="A87" s="27" t="s">
        <v>43</v>
      </c>
      <c r="D87" t="s">
        <v>1002</v>
      </c>
      <c r="E87">
        <v>4</v>
      </c>
      <c r="H87" t="s">
        <v>312</v>
      </c>
      <c r="I87">
        <f t="shared" si="1"/>
        <v>505</v>
      </c>
    </row>
    <row r="88" spans="1:9">
      <c r="A88" s="27">
        <v>930</v>
      </c>
      <c r="D88" t="s">
        <v>1162</v>
      </c>
      <c r="E88">
        <v>388</v>
      </c>
      <c r="H88" t="s">
        <v>176</v>
      </c>
      <c r="I88">
        <f t="shared" si="1"/>
        <v>1195</v>
      </c>
    </row>
    <row r="89" spans="1:9">
      <c r="A89" s="27">
        <v>370</v>
      </c>
      <c r="D89" t="s">
        <v>977</v>
      </c>
      <c r="E89">
        <v>2</v>
      </c>
      <c r="H89" t="s">
        <v>494</v>
      </c>
      <c r="I89">
        <f t="shared" si="1"/>
        <v>971</v>
      </c>
    </row>
    <row r="90" spans="1:9">
      <c r="A90" s="27">
        <v>601</v>
      </c>
      <c r="D90" t="s">
        <v>1116</v>
      </c>
      <c r="E90">
        <v>82</v>
      </c>
      <c r="H90" t="s">
        <v>231</v>
      </c>
      <c r="I90">
        <f t="shared" si="1"/>
        <v>13</v>
      </c>
    </row>
    <row r="91" spans="1:9">
      <c r="A91" s="27">
        <v>971</v>
      </c>
      <c r="D91" t="s">
        <v>1127</v>
      </c>
      <c r="E91">
        <v>505</v>
      </c>
      <c r="H91" t="s">
        <v>454</v>
      </c>
      <c r="I91">
        <f t="shared" si="1"/>
        <v>25</v>
      </c>
    </row>
    <row r="92" spans="1:9">
      <c r="A92" s="27">
        <v>60</v>
      </c>
      <c r="D92" t="s">
        <v>784</v>
      </c>
      <c r="E92">
        <v>69</v>
      </c>
      <c r="H92" t="s">
        <v>134</v>
      </c>
      <c r="I92">
        <f t="shared" si="1"/>
        <v>25</v>
      </c>
    </row>
    <row r="93" spans="1:9">
      <c r="A93" s="27">
        <v>362</v>
      </c>
      <c r="D93" t="s">
        <v>287</v>
      </c>
      <c r="E93">
        <v>443</v>
      </c>
      <c r="H93" t="s">
        <v>192</v>
      </c>
      <c r="I93">
        <f t="shared" si="1"/>
        <v>610</v>
      </c>
    </row>
    <row r="94" spans="1:9">
      <c r="A94" s="27">
        <v>1.04</v>
      </c>
      <c r="D94" t="s">
        <v>400</v>
      </c>
      <c r="E94">
        <v>1394</v>
      </c>
      <c r="H94" t="s">
        <v>78</v>
      </c>
      <c r="I94">
        <f t="shared" si="1"/>
        <v>160</v>
      </c>
    </row>
    <row r="95" spans="1:9">
      <c r="A95" s="27">
        <v>104</v>
      </c>
      <c r="D95" t="s">
        <v>767</v>
      </c>
      <c r="E95">
        <v>39</v>
      </c>
      <c r="H95" t="s">
        <v>184</v>
      </c>
      <c r="I95">
        <f t="shared" si="1"/>
        <v>96</v>
      </c>
    </row>
    <row r="96" spans="1:9">
      <c r="A96" s="27">
        <v>313</v>
      </c>
      <c r="D96" t="s">
        <v>793</v>
      </c>
      <c r="E96">
        <v>42</v>
      </c>
      <c r="H96" t="s">
        <v>68</v>
      </c>
      <c r="I96">
        <f t="shared" si="1"/>
        <v>934</v>
      </c>
    </row>
    <row r="97" spans="1:9">
      <c r="A97" s="27">
        <v>0</v>
      </c>
      <c r="D97" t="s">
        <v>968</v>
      </c>
      <c r="E97">
        <v>3</v>
      </c>
      <c r="H97" t="s">
        <v>32</v>
      </c>
      <c r="I97">
        <f t="shared" si="1"/>
        <v>185</v>
      </c>
    </row>
    <row r="98" spans="1:9">
      <c r="A98" s="27">
        <v>1</v>
      </c>
      <c r="D98" t="s">
        <v>427</v>
      </c>
      <c r="E98">
        <v>2354</v>
      </c>
      <c r="H98" t="s">
        <v>276</v>
      </c>
      <c r="I98">
        <f t="shared" si="1"/>
        <v>1068</v>
      </c>
    </row>
    <row r="99" spans="1:9">
      <c r="A99" s="27">
        <v>62</v>
      </c>
      <c r="D99" t="s">
        <v>699</v>
      </c>
      <c r="E99">
        <v>870</v>
      </c>
      <c r="H99" t="s">
        <v>230</v>
      </c>
      <c r="I99">
        <f t="shared" si="1"/>
        <v>1239</v>
      </c>
    </row>
    <row r="100" spans="1:9">
      <c r="A100" s="27">
        <v>9</v>
      </c>
      <c r="D100" t="s">
        <v>145</v>
      </c>
      <c r="E100">
        <v>2042</v>
      </c>
      <c r="H100" t="s">
        <v>482</v>
      </c>
      <c r="I100">
        <f t="shared" si="1"/>
        <v>309</v>
      </c>
    </row>
    <row r="101" spans="1:9">
      <c r="A101" s="27">
        <v>3031</v>
      </c>
      <c r="D101" t="s">
        <v>843</v>
      </c>
      <c r="E101">
        <v>59</v>
      </c>
      <c r="H101" t="s">
        <v>484</v>
      </c>
      <c r="I101">
        <f t="shared" si="1"/>
        <v>329</v>
      </c>
    </row>
    <row r="102" spans="1:9">
      <c r="A102" s="27">
        <v>12.2</v>
      </c>
      <c r="D102" t="s">
        <v>258</v>
      </c>
      <c r="E102">
        <v>1063</v>
      </c>
      <c r="H102" t="s">
        <v>154</v>
      </c>
      <c r="I102">
        <f t="shared" si="1"/>
        <v>57</v>
      </c>
    </row>
    <row r="103" spans="1:9">
      <c r="A103" s="29">
        <v>0.83472222222222225</v>
      </c>
      <c r="D103" t="s">
        <v>1082</v>
      </c>
      <c r="E103">
        <v>244</v>
      </c>
      <c r="H103" t="s">
        <v>223</v>
      </c>
      <c r="I103">
        <f t="shared" si="1"/>
        <v>2220</v>
      </c>
    </row>
    <row r="104" spans="1:9">
      <c r="A104" s="27">
        <v>23.3</v>
      </c>
      <c r="D104" t="s">
        <v>700</v>
      </c>
      <c r="E104">
        <v>150</v>
      </c>
      <c r="H104" t="s">
        <v>490</v>
      </c>
      <c r="I104">
        <f t="shared" si="1"/>
        <v>490</v>
      </c>
    </row>
    <row r="105" spans="1:9">
      <c r="A105" s="28">
        <v>38.700000000000003</v>
      </c>
      <c r="D105" t="s">
        <v>31</v>
      </c>
      <c r="E105">
        <v>1727</v>
      </c>
      <c r="H105" t="s">
        <v>512</v>
      </c>
      <c r="I105">
        <f t="shared" si="1"/>
        <v>880</v>
      </c>
    </row>
    <row r="106" spans="1:9">
      <c r="A106" s="25">
        <v>6</v>
      </c>
      <c r="D106" t="s">
        <v>493</v>
      </c>
      <c r="E106">
        <v>1175</v>
      </c>
      <c r="H106" t="s">
        <v>514</v>
      </c>
      <c r="I106">
        <f t="shared" si="1"/>
        <v>42</v>
      </c>
    </row>
    <row r="107" spans="1:9">
      <c r="A107" s="26" t="s">
        <v>456</v>
      </c>
      <c r="D107" t="s">
        <v>979</v>
      </c>
      <c r="E107">
        <v>1</v>
      </c>
      <c r="H107" t="s">
        <v>142</v>
      </c>
      <c r="I107">
        <f t="shared" si="1"/>
        <v>119</v>
      </c>
    </row>
    <row r="108" spans="1:9">
      <c r="A108" s="27" t="s">
        <v>653</v>
      </c>
      <c r="D108" t="s">
        <v>279</v>
      </c>
      <c r="E108">
        <v>465</v>
      </c>
      <c r="H108" t="s">
        <v>77</v>
      </c>
      <c r="I108">
        <f t="shared" si="1"/>
        <v>487</v>
      </c>
    </row>
    <row r="109" spans="1:9">
      <c r="A109" s="27">
        <v>1121</v>
      </c>
      <c r="D109" t="s">
        <v>146</v>
      </c>
      <c r="E109">
        <v>321</v>
      </c>
      <c r="H109" t="s">
        <v>187</v>
      </c>
      <c r="I109">
        <f t="shared" si="1"/>
        <v>178</v>
      </c>
    </row>
    <row r="110" spans="1:9">
      <c r="A110" s="27">
        <v>414</v>
      </c>
      <c r="D110" t="s">
        <v>21</v>
      </c>
      <c r="E110">
        <v>326</v>
      </c>
      <c r="H110" t="s">
        <v>337</v>
      </c>
      <c r="I110">
        <f t="shared" si="1"/>
        <v>995</v>
      </c>
    </row>
    <row r="111" spans="1:9">
      <c r="A111" s="27">
        <v>548</v>
      </c>
      <c r="D111" t="s">
        <v>1133</v>
      </c>
      <c r="E111">
        <v>190</v>
      </c>
      <c r="H111" t="s">
        <v>113</v>
      </c>
      <c r="I111">
        <f t="shared" si="1"/>
        <v>782</v>
      </c>
    </row>
    <row r="112" spans="1:9">
      <c r="A112" s="27">
        <v>962</v>
      </c>
      <c r="D112" t="s">
        <v>697</v>
      </c>
      <c r="E112">
        <v>1625</v>
      </c>
      <c r="H112" t="s">
        <v>138</v>
      </c>
      <c r="I112">
        <f t="shared" si="1"/>
        <v>416</v>
      </c>
    </row>
    <row r="113" spans="1:9">
      <c r="A113" s="27">
        <v>-41</v>
      </c>
      <c r="D113" t="s">
        <v>958</v>
      </c>
      <c r="E113">
        <v>1</v>
      </c>
      <c r="H113" t="s">
        <v>24</v>
      </c>
      <c r="I113">
        <f t="shared" si="1"/>
        <v>40</v>
      </c>
    </row>
    <row r="114" spans="1:9">
      <c r="A114" s="27">
        <v>770</v>
      </c>
      <c r="D114" t="s">
        <v>1146</v>
      </c>
      <c r="E114">
        <v>324</v>
      </c>
      <c r="H114" t="s">
        <v>472</v>
      </c>
      <c r="I114">
        <f t="shared" si="1"/>
        <v>970</v>
      </c>
    </row>
    <row r="115" spans="1:9">
      <c r="A115" s="27">
        <v>0.86</v>
      </c>
      <c r="D115" t="s">
        <v>79</v>
      </c>
      <c r="E115">
        <v>423</v>
      </c>
      <c r="H115" t="s">
        <v>485</v>
      </c>
      <c r="I115">
        <f t="shared" si="1"/>
        <v>190</v>
      </c>
    </row>
    <row r="116" spans="1:9">
      <c r="A116" s="27">
        <v>128</v>
      </c>
      <c r="D116" t="s">
        <v>768</v>
      </c>
      <c r="E116">
        <v>567</v>
      </c>
      <c r="H116" t="s">
        <v>407</v>
      </c>
      <c r="I116">
        <f t="shared" si="1"/>
        <v>2897</v>
      </c>
    </row>
    <row r="117" spans="1:9">
      <c r="A117" s="27">
        <v>298</v>
      </c>
      <c r="D117" t="s">
        <v>439</v>
      </c>
      <c r="E117">
        <v>1407</v>
      </c>
      <c r="H117" t="s">
        <v>350</v>
      </c>
      <c r="I117">
        <f t="shared" si="1"/>
        <v>1576</v>
      </c>
    </row>
    <row r="118" spans="1:9">
      <c r="A118" s="27">
        <v>18</v>
      </c>
      <c r="D118" t="s">
        <v>760</v>
      </c>
      <c r="E118">
        <v>1343</v>
      </c>
      <c r="H118" t="s">
        <v>552</v>
      </c>
      <c r="I118">
        <f t="shared" si="1"/>
        <v>241</v>
      </c>
    </row>
    <row r="119" spans="1:9">
      <c r="A119" s="27">
        <v>26</v>
      </c>
      <c r="D119" t="s">
        <v>910</v>
      </c>
      <c r="E119">
        <v>303</v>
      </c>
      <c r="H119" t="s">
        <v>345</v>
      </c>
      <c r="I119">
        <f t="shared" si="1"/>
        <v>1413</v>
      </c>
    </row>
    <row r="120" spans="1:9">
      <c r="A120" s="27">
        <v>65</v>
      </c>
      <c r="D120" t="s">
        <v>517</v>
      </c>
      <c r="E120">
        <v>446</v>
      </c>
      <c r="H120" t="s">
        <v>27</v>
      </c>
      <c r="I120">
        <f t="shared" si="1"/>
        <v>288</v>
      </c>
    </row>
    <row r="121" spans="1:9">
      <c r="A121" s="27">
        <v>2</v>
      </c>
      <c r="D121" t="s">
        <v>130</v>
      </c>
      <c r="E121">
        <v>577</v>
      </c>
      <c r="H121" t="s">
        <v>159</v>
      </c>
      <c r="I121">
        <f t="shared" si="1"/>
        <v>1299</v>
      </c>
    </row>
    <row r="122" spans="1:9">
      <c r="A122" s="27">
        <v>3631</v>
      </c>
      <c r="D122" t="s">
        <v>317</v>
      </c>
      <c r="E122">
        <v>1311</v>
      </c>
      <c r="H122" t="s">
        <v>18</v>
      </c>
      <c r="I122">
        <f t="shared" si="1"/>
        <v>2133</v>
      </c>
    </row>
    <row r="123" spans="1:9">
      <c r="A123" s="27">
        <v>11.4</v>
      </c>
      <c r="D123" t="s">
        <v>124</v>
      </c>
      <c r="E123">
        <v>1257</v>
      </c>
      <c r="H123" t="s">
        <v>418</v>
      </c>
      <c r="I123">
        <f t="shared" si="1"/>
        <v>4</v>
      </c>
    </row>
    <row r="124" spans="1:9">
      <c r="A124" s="29">
        <v>0.82777777777777783</v>
      </c>
      <c r="D124" t="s">
        <v>91</v>
      </c>
      <c r="E124">
        <v>1628</v>
      </c>
      <c r="H124" t="s">
        <v>29</v>
      </c>
      <c r="I124">
        <f t="shared" si="1"/>
        <v>1604</v>
      </c>
    </row>
    <row r="125" spans="1:9">
      <c r="A125" s="27">
        <v>24.9</v>
      </c>
      <c r="D125" t="s">
        <v>770</v>
      </c>
      <c r="E125">
        <v>142</v>
      </c>
      <c r="H125" t="s">
        <v>33</v>
      </c>
      <c r="I125">
        <f t="shared" si="1"/>
        <v>1055</v>
      </c>
    </row>
    <row r="126" spans="1:9">
      <c r="A126" s="28">
        <v>48.4</v>
      </c>
      <c r="D126" t="s">
        <v>1063</v>
      </c>
      <c r="E126">
        <v>77</v>
      </c>
      <c r="H126" t="s">
        <v>321</v>
      </c>
      <c r="I126">
        <f t="shared" si="1"/>
        <v>1644</v>
      </c>
    </row>
    <row r="127" spans="1:9">
      <c r="A127" s="25">
        <v>7</v>
      </c>
      <c r="D127" t="s">
        <v>689</v>
      </c>
      <c r="E127">
        <v>225</v>
      </c>
      <c r="H127" t="s">
        <v>263</v>
      </c>
      <c r="I127">
        <f t="shared" si="1"/>
        <v>764</v>
      </c>
    </row>
    <row r="128" spans="1:9" ht="30">
      <c r="A128" s="26" t="s">
        <v>559</v>
      </c>
      <c r="D128" t="s">
        <v>277</v>
      </c>
      <c r="E128">
        <v>117</v>
      </c>
      <c r="H128" t="s">
        <v>110</v>
      </c>
      <c r="I128">
        <f t="shared" si="1"/>
        <v>250</v>
      </c>
    </row>
    <row r="129" spans="1:9">
      <c r="A129" s="27" t="s">
        <v>653</v>
      </c>
      <c r="D129" t="s">
        <v>163</v>
      </c>
      <c r="E129">
        <v>364</v>
      </c>
      <c r="H129" t="s">
        <v>153</v>
      </c>
      <c r="I129">
        <f t="shared" si="1"/>
        <v>113</v>
      </c>
    </row>
    <row r="130" spans="1:9">
      <c r="A130" s="27">
        <v>1012</v>
      </c>
      <c r="D130" t="s">
        <v>280</v>
      </c>
      <c r="E130">
        <v>523</v>
      </c>
      <c r="H130" t="s">
        <v>560</v>
      </c>
      <c r="I130">
        <f t="shared" si="1"/>
        <v>279</v>
      </c>
    </row>
    <row r="131" spans="1:9">
      <c r="A131" s="27">
        <v>270</v>
      </c>
      <c r="D131" t="s">
        <v>1174</v>
      </c>
      <c r="E131">
        <v>637</v>
      </c>
      <c r="H131" t="s">
        <v>495</v>
      </c>
      <c r="I131">
        <f t="shared" ref="I131:I194" si="2">VLOOKUP(H131,$D$2:$E$984,2)</f>
        <v>1661</v>
      </c>
    </row>
    <row r="132" spans="1:9">
      <c r="A132" s="27">
        <v>674</v>
      </c>
      <c r="D132" t="s">
        <v>540</v>
      </c>
      <c r="E132">
        <v>2916</v>
      </c>
      <c r="H132" t="s">
        <v>191</v>
      </c>
      <c r="I132">
        <f t="shared" si="2"/>
        <v>1651</v>
      </c>
    </row>
    <row r="133" spans="1:9">
      <c r="A133" s="27">
        <v>944</v>
      </c>
      <c r="D133" t="s">
        <v>440</v>
      </c>
      <c r="E133">
        <v>1990</v>
      </c>
      <c r="H133" t="s">
        <v>513</v>
      </c>
      <c r="I133">
        <f t="shared" si="2"/>
        <v>707</v>
      </c>
    </row>
    <row r="134" spans="1:9">
      <c r="A134" s="27">
        <v>151</v>
      </c>
      <c r="D134" t="s">
        <v>118</v>
      </c>
      <c r="E134">
        <v>631</v>
      </c>
      <c r="H134" t="s">
        <v>202</v>
      </c>
      <c r="I134">
        <f t="shared" si="2"/>
        <v>127</v>
      </c>
    </row>
    <row r="135" spans="1:9">
      <c r="A135" s="27">
        <v>850</v>
      </c>
      <c r="D135" t="s">
        <v>274</v>
      </c>
      <c r="E135">
        <v>102</v>
      </c>
      <c r="H135" t="s">
        <v>528</v>
      </c>
      <c r="I135">
        <f t="shared" si="2"/>
        <v>31</v>
      </c>
    </row>
    <row r="136" spans="1:9">
      <c r="A136" s="27">
        <v>0.93</v>
      </c>
      <c r="D136" t="s">
        <v>1118</v>
      </c>
      <c r="E136">
        <v>225</v>
      </c>
      <c r="H136" t="s">
        <v>419</v>
      </c>
      <c r="I136">
        <f t="shared" si="2"/>
        <v>793</v>
      </c>
    </row>
    <row r="137" spans="1:9">
      <c r="A137" s="27">
        <v>80</v>
      </c>
      <c r="D137" t="s">
        <v>1085</v>
      </c>
      <c r="E137">
        <v>17</v>
      </c>
      <c r="H137" t="s">
        <v>180</v>
      </c>
      <c r="I137">
        <f t="shared" si="2"/>
        <v>592</v>
      </c>
    </row>
    <row r="138" spans="1:9">
      <c r="A138" s="27">
        <v>320</v>
      </c>
      <c r="D138" t="s">
        <v>245</v>
      </c>
      <c r="E138">
        <v>432</v>
      </c>
      <c r="H138" t="s">
        <v>63</v>
      </c>
      <c r="I138">
        <f t="shared" si="2"/>
        <v>17</v>
      </c>
    </row>
    <row r="139" spans="1:9">
      <c r="A139" s="27">
        <v>8</v>
      </c>
      <c r="D139" t="s">
        <v>931</v>
      </c>
      <c r="E139">
        <v>456</v>
      </c>
      <c r="H139" t="s">
        <v>115</v>
      </c>
      <c r="I139">
        <f t="shared" si="2"/>
        <v>36</v>
      </c>
    </row>
    <row r="140" spans="1:9">
      <c r="A140" s="27">
        <v>14</v>
      </c>
      <c r="D140" t="s">
        <v>881</v>
      </c>
      <c r="E140">
        <v>50</v>
      </c>
      <c r="H140" t="s">
        <v>437</v>
      </c>
      <c r="I140">
        <f t="shared" si="2"/>
        <v>57</v>
      </c>
    </row>
    <row r="141" spans="1:9">
      <c r="A141" s="27">
        <v>55</v>
      </c>
      <c r="D141" t="s">
        <v>120</v>
      </c>
      <c r="E141">
        <v>1363</v>
      </c>
      <c r="H141" t="s">
        <v>218</v>
      </c>
      <c r="I141">
        <f t="shared" si="2"/>
        <v>215</v>
      </c>
    </row>
    <row r="142" spans="1:9">
      <c r="A142" s="27">
        <v>10</v>
      </c>
      <c r="D142" t="s">
        <v>667</v>
      </c>
      <c r="E142">
        <v>420</v>
      </c>
      <c r="H142" t="s">
        <v>241</v>
      </c>
      <c r="I142">
        <f t="shared" si="2"/>
        <v>1424</v>
      </c>
    </row>
    <row r="143" spans="1:9">
      <c r="A143" s="27">
        <v>2309</v>
      </c>
      <c r="D143" t="s">
        <v>859</v>
      </c>
      <c r="E143">
        <v>180</v>
      </c>
      <c r="H143" t="s">
        <v>581</v>
      </c>
      <c r="I143">
        <f t="shared" si="2"/>
        <v>1886</v>
      </c>
    </row>
    <row r="144" spans="1:9">
      <c r="A144" s="27">
        <v>11.7</v>
      </c>
      <c r="D144" t="s">
        <v>1103</v>
      </c>
      <c r="E144">
        <v>74</v>
      </c>
      <c r="H144" t="s">
        <v>436</v>
      </c>
      <c r="I144">
        <f t="shared" si="2"/>
        <v>2263</v>
      </c>
    </row>
    <row r="145" spans="1:9">
      <c r="A145" s="29">
        <v>0.82013888888888886</v>
      </c>
      <c r="D145" t="s">
        <v>1140</v>
      </c>
      <c r="E145">
        <v>162</v>
      </c>
      <c r="H145" t="s">
        <v>578</v>
      </c>
      <c r="I145">
        <f t="shared" si="2"/>
        <v>2947</v>
      </c>
    </row>
    <row r="146" spans="1:9">
      <c r="A146" s="27">
        <v>23.7</v>
      </c>
      <c r="D146" t="s">
        <v>509</v>
      </c>
      <c r="E146">
        <v>500</v>
      </c>
      <c r="H146" t="s">
        <v>141</v>
      </c>
      <c r="I146">
        <f t="shared" si="2"/>
        <v>288</v>
      </c>
    </row>
    <row r="147" spans="1:9">
      <c r="A147" s="28">
        <v>48.8</v>
      </c>
      <c r="D147" t="s">
        <v>242</v>
      </c>
      <c r="E147">
        <v>425</v>
      </c>
      <c r="H147" t="s">
        <v>543</v>
      </c>
      <c r="I147">
        <f t="shared" si="2"/>
        <v>24</v>
      </c>
    </row>
    <row r="148" spans="1:9">
      <c r="A148" s="25">
        <v>8</v>
      </c>
      <c r="D148" t="s">
        <v>199</v>
      </c>
      <c r="E148">
        <v>1062</v>
      </c>
      <c r="H148" t="s">
        <v>160</v>
      </c>
      <c r="I148">
        <f t="shared" si="2"/>
        <v>1015</v>
      </c>
    </row>
    <row r="149" spans="1:9" ht="30">
      <c r="A149" s="26" t="s">
        <v>584</v>
      </c>
      <c r="D149" t="s">
        <v>948</v>
      </c>
      <c r="E149">
        <v>3</v>
      </c>
      <c r="H149" t="s">
        <v>443</v>
      </c>
      <c r="I149">
        <f t="shared" si="2"/>
        <v>212</v>
      </c>
    </row>
    <row r="150" spans="1:9">
      <c r="A150" s="27" t="s">
        <v>653</v>
      </c>
      <c r="D150" t="s">
        <v>729</v>
      </c>
      <c r="E150">
        <v>1649</v>
      </c>
      <c r="H150" t="s">
        <v>533</v>
      </c>
      <c r="I150">
        <f t="shared" si="2"/>
        <v>974</v>
      </c>
    </row>
    <row r="151" spans="1:9">
      <c r="A151" s="27">
        <v>1032</v>
      </c>
      <c r="D151" t="s">
        <v>913</v>
      </c>
      <c r="E151">
        <v>525</v>
      </c>
      <c r="H151" t="s">
        <v>507</v>
      </c>
      <c r="I151">
        <f t="shared" si="2"/>
        <v>216</v>
      </c>
    </row>
    <row r="152" spans="1:9">
      <c r="A152" s="27">
        <v>322</v>
      </c>
      <c r="D152" t="s">
        <v>1046</v>
      </c>
      <c r="E152">
        <v>9</v>
      </c>
      <c r="H152" t="s">
        <v>253</v>
      </c>
      <c r="I152">
        <f t="shared" si="2"/>
        <v>35</v>
      </c>
    </row>
    <row r="153" spans="1:9">
      <c r="A153" s="27">
        <v>593</v>
      </c>
      <c r="D153" t="s">
        <v>787</v>
      </c>
      <c r="E153">
        <v>119</v>
      </c>
      <c r="H153" t="s">
        <v>456</v>
      </c>
      <c r="I153">
        <f t="shared" si="2"/>
        <v>3631</v>
      </c>
    </row>
    <row r="154" spans="1:9">
      <c r="A154" s="27">
        <v>915</v>
      </c>
      <c r="D154" t="s">
        <v>1000</v>
      </c>
      <c r="E154">
        <v>20</v>
      </c>
      <c r="H154" t="s">
        <v>122</v>
      </c>
      <c r="I154">
        <f t="shared" si="2"/>
        <v>150</v>
      </c>
    </row>
    <row r="155" spans="1:9">
      <c r="A155" s="27">
        <v>70</v>
      </c>
      <c r="D155" t="s">
        <v>193</v>
      </c>
      <c r="E155">
        <v>1426</v>
      </c>
      <c r="H155" t="s">
        <v>561</v>
      </c>
      <c r="I155">
        <f t="shared" si="2"/>
        <v>620</v>
      </c>
    </row>
    <row r="156" spans="1:9">
      <c r="A156" s="27">
        <v>288</v>
      </c>
      <c r="D156" t="s">
        <v>90</v>
      </c>
      <c r="E156">
        <v>22</v>
      </c>
      <c r="H156" t="s">
        <v>434</v>
      </c>
      <c r="I156">
        <f t="shared" si="2"/>
        <v>327</v>
      </c>
    </row>
    <row r="157" spans="1:9">
      <c r="A157" s="27">
        <v>0.89</v>
      </c>
      <c r="D157" t="s">
        <v>334</v>
      </c>
      <c r="E157">
        <v>53</v>
      </c>
      <c r="H157" t="s">
        <v>330</v>
      </c>
      <c r="I157">
        <f t="shared" si="2"/>
        <v>1565</v>
      </c>
    </row>
    <row r="158" spans="1:9">
      <c r="A158" s="27">
        <v>91</v>
      </c>
      <c r="D158" t="s">
        <v>468</v>
      </c>
      <c r="E158">
        <v>25</v>
      </c>
      <c r="H158" t="s">
        <v>548</v>
      </c>
      <c r="I158">
        <f t="shared" si="2"/>
        <v>2063</v>
      </c>
    </row>
    <row r="159" spans="1:9">
      <c r="A159" s="27">
        <v>322</v>
      </c>
      <c r="D159" t="s">
        <v>346</v>
      </c>
      <c r="E159">
        <v>640</v>
      </c>
      <c r="H159" t="s">
        <v>404</v>
      </c>
      <c r="I159">
        <f t="shared" si="2"/>
        <v>410</v>
      </c>
    </row>
    <row r="160" spans="1:9">
      <c r="A160" s="27">
        <v>13</v>
      </c>
      <c r="D160" t="s">
        <v>995</v>
      </c>
      <c r="E160">
        <v>16</v>
      </c>
      <c r="H160" t="s">
        <v>463</v>
      </c>
      <c r="I160">
        <f t="shared" si="2"/>
        <v>59</v>
      </c>
    </row>
    <row r="161" spans="1:9">
      <c r="A161" s="27">
        <v>22</v>
      </c>
      <c r="D161" t="s">
        <v>432</v>
      </c>
      <c r="E161">
        <v>566</v>
      </c>
      <c r="H161" t="s">
        <v>547</v>
      </c>
      <c r="I161">
        <f t="shared" si="2"/>
        <v>2413</v>
      </c>
    </row>
    <row r="162" spans="1:9">
      <c r="A162" s="27">
        <v>50</v>
      </c>
      <c r="D162" t="s">
        <v>252</v>
      </c>
      <c r="E162">
        <v>1666</v>
      </c>
      <c r="H162" t="s">
        <v>213</v>
      </c>
      <c r="I162">
        <f t="shared" si="2"/>
        <v>2934</v>
      </c>
    </row>
    <row r="163" spans="1:9">
      <c r="A163" s="27">
        <v>8</v>
      </c>
      <c r="D163" t="s">
        <v>558</v>
      </c>
      <c r="E163">
        <v>1045</v>
      </c>
      <c r="H163" t="s">
        <v>105</v>
      </c>
      <c r="I163">
        <f t="shared" si="2"/>
        <v>536</v>
      </c>
    </row>
    <row r="164" spans="1:9">
      <c r="A164" s="27">
        <v>2521</v>
      </c>
      <c r="D164" t="s">
        <v>1076</v>
      </c>
      <c r="E164">
        <v>23</v>
      </c>
      <c r="H164" t="s">
        <v>178</v>
      </c>
      <c r="I164">
        <f t="shared" si="2"/>
        <v>955</v>
      </c>
    </row>
    <row r="165" spans="1:9">
      <c r="A165" s="27">
        <v>12.8</v>
      </c>
      <c r="D165" t="s">
        <v>966</v>
      </c>
      <c r="E165">
        <v>0</v>
      </c>
      <c r="H165" t="s">
        <v>140</v>
      </c>
      <c r="I165">
        <f t="shared" si="2"/>
        <v>47</v>
      </c>
    </row>
    <row r="166" spans="1:9">
      <c r="A166" s="29">
        <v>0.87638888888888899</v>
      </c>
      <c r="D166" t="s">
        <v>1021</v>
      </c>
      <c r="E166">
        <v>6</v>
      </c>
      <c r="H166" t="s">
        <v>269</v>
      </c>
      <c r="I166">
        <f t="shared" si="2"/>
        <v>194</v>
      </c>
    </row>
    <row r="167" spans="1:9">
      <c r="A167" s="27">
        <v>25.3</v>
      </c>
      <c r="D167" t="s">
        <v>416</v>
      </c>
      <c r="E167">
        <v>62</v>
      </c>
      <c r="H167" t="s">
        <v>343</v>
      </c>
      <c r="I167">
        <f t="shared" si="2"/>
        <v>1229</v>
      </c>
    </row>
    <row r="168" spans="1:9">
      <c r="A168" s="28">
        <v>52.2</v>
      </c>
      <c r="D168" t="s">
        <v>582</v>
      </c>
      <c r="E168">
        <v>40</v>
      </c>
      <c r="H168" t="s">
        <v>165</v>
      </c>
      <c r="I168">
        <f t="shared" si="2"/>
        <v>134</v>
      </c>
    </row>
    <row r="169" spans="1:9">
      <c r="A169" s="25">
        <v>9</v>
      </c>
      <c r="D169" t="s">
        <v>312</v>
      </c>
      <c r="E169">
        <v>505</v>
      </c>
      <c r="H169" t="s">
        <v>162</v>
      </c>
      <c r="I169">
        <f t="shared" si="2"/>
        <v>1610</v>
      </c>
    </row>
    <row r="170" spans="1:9" ht="45">
      <c r="A170" s="26" t="s">
        <v>170</v>
      </c>
      <c r="D170" t="s">
        <v>176</v>
      </c>
      <c r="E170">
        <v>1195</v>
      </c>
      <c r="H170" t="s">
        <v>52</v>
      </c>
      <c r="I170">
        <f t="shared" si="2"/>
        <v>98</v>
      </c>
    </row>
    <row r="171" spans="1:9">
      <c r="A171" s="27" t="s">
        <v>653</v>
      </c>
      <c r="D171" t="s">
        <v>494</v>
      </c>
      <c r="E171">
        <v>971</v>
      </c>
      <c r="H171" t="s">
        <v>262</v>
      </c>
      <c r="I171">
        <f t="shared" si="2"/>
        <v>1222</v>
      </c>
    </row>
    <row r="172" spans="1:9">
      <c r="A172" s="27">
        <v>918</v>
      </c>
      <c r="D172" t="s">
        <v>231</v>
      </c>
      <c r="E172">
        <v>13</v>
      </c>
      <c r="H172" t="s">
        <v>567</v>
      </c>
      <c r="I172">
        <f t="shared" si="2"/>
        <v>751</v>
      </c>
    </row>
    <row r="173" spans="1:9">
      <c r="A173" s="27">
        <v>235</v>
      </c>
      <c r="D173" t="s">
        <v>454</v>
      </c>
      <c r="E173">
        <v>25</v>
      </c>
      <c r="H173" t="s">
        <v>238</v>
      </c>
      <c r="I173">
        <f t="shared" si="2"/>
        <v>129</v>
      </c>
    </row>
    <row r="174" spans="1:9">
      <c r="A174" s="27">
        <v>656</v>
      </c>
      <c r="D174" t="s">
        <v>724</v>
      </c>
      <c r="E174">
        <v>130</v>
      </c>
      <c r="H174" t="s">
        <v>75</v>
      </c>
      <c r="I174">
        <f t="shared" si="2"/>
        <v>98</v>
      </c>
    </row>
    <row r="175" spans="1:9">
      <c r="A175" s="27">
        <v>891</v>
      </c>
      <c r="D175" t="s">
        <v>774</v>
      </c>
      <c r="E175">
        <v>17</v>
      </c>
      <c r="H175" t="s">
        <v>325</v>
      </c>
      <c r="I175">
        <f t="shared" si="2"/>
        <v>524</v>
      </c>
    </row>
    <row r="176" spans="1:9">
      <c r="A176" s="27">
        <v>117</v>
      </c>
      <c r="D176" t="s">
        <v>192</v>
      </c>
      <c r="E176">
        <v>610</v>
      </c>
      <c r="H176" t="s">
        <v>585</v>
      </c>
      <c r="I176">
        <f t="shared" si="2"/>
        <v>2361</v>
      </c>
    </row>
    <row r="177" spans="1:9">
      <c r="A177" s="27">
        <v>450</v>
      </c>
      <c r="D177" t="s">
        <v>78</v>
      </c>
      <c r="E177">
        <v>160</v>
      </c>
      <c r="H177" t="s">
        <v>228</v>
      </c>
      <c r="I177">
        <f t="shared" si="2"/>
        <v>569</v>
      </c>
    </row>
    <row r="178" spans="1:9">
      <c r="A178" s="27">
        <v>0.97</v>
      </c>
      <c r="D178" t="s">
        <v>1091</v>
      </c>
      <c r="E178">
        <v>100</v>
      </c>
      <c r="H178" t="s">
        <v>326</v>
      </c>
      <c r="I178">
        <f t="shared" si="2"/>
        <v>319</v>
      </c>
    </row>
    <row r="179" spans="1:9">
      <c r="A179" s="27">
        <v>73</v>
      </c>
      <c r="D179" t="s">
        <v>757</v>
      </c>
      <c r="E179">
        <v>388</v>
      </c>
      <c r="H179" t="s">
        <v>504</v>
      </c>
      <c r="I179">
        <f t="shared" si="2"/>
        <v>771</v>
      </c>
    </row>
    <row r="180" spans="1:9">
      <c r="A180" s="27">
        <v>364</v>
      </c>
      <c r="D180" t="s">
        <v>1124</v>
      </c>
      <c r="E180">
        <v>190</v>
      </c>
      <c r="H180" t="s">
        <v>246</v>
      </c>
      <c r="I180">
        <f t="shared" si="2"/>
        <v>544</v>
      </c>
    </row>
    <row r="181" spans="1:9">
      <c r="A181" s="27">
        <v>2</v>
      </c>
      <c r="D181" t="s">
        <v>184</v>
      </c>
      <c r="E181">
        <v>96</v>
      </c>
      <c r="H181" t="s">
        <v>71</v>
      </c>
      <c r="I181">
        <f t="shared" si="2"/>
        <v>1140</v>
      </c>
    </row>
    <row r="182" spans="1:9">
      <c r="A182" s="27">
        <v>2</v>
      </c>
      <c r="D182" t="s">
        <v>861</v>
      </c>
      <c r="E182">
        <v>247</v>
      </c>
      <c r="H182" t="s">
        <v>392</v>
      </c>
      <c r="I182">
        <f t="shared" si="2"/>
        <v>45</v>
      </c>
    </row>
    <row r="183" spans="1:9">
      <c r="A183" s="27">
        <v>38</v>
      </c>
      <c r="D183" t="s">
        <v>68</v>
      </c>
      <c r="E183">
        <v>934</v>
      </c>
      <c r="H183" t="s">
        <v>210</v>
      </c>
      <c r="I183">
        <f t="shared" si="2"/>
        <v>1374</v>
      </c>
    </row>
    <row r="184" spans="1:9">
      <c r="A184" s="27">
        <v>8</v>
      </c>
      <c r="D184" t="s">
        <v>32</v>
      </c>
      <c r="E184">
        <v>185</v>
      </c>
      <c r="H184" t="s">
        <v>423</v>
      </c>
      <c r="I184">
        <f t="shared" si="2"/>
        <v>162</v>
      </c>
    </row>
    <row r="185" spans="1:9">
      <c r="A185" s="27">
        <v>1956</v>
      </c>
      <c r="D185" t="s">
        <v>655</v>
      </c>
      <c r="E185">
        <v>6</v>
      </c>
      <c r="H185" t="s">
        <v>575</v>
      </c>
      <c r="I185">
        <f t="shared" si="2"/>
        <v>86</v>
      </c>
    </row>
    <row r="186" spans="1:9">
      <c r="A186" s="27">
        <v>12</v>
      </c>
      <c r="D186" t="s">
        <v>1062</v>
      </c>
      <c r="E186">
        <v>29</v>
      </c>
      <c r="H186" t="s">
        <v>318</v>
      </c>
      <c r="I186">
        <f t="shared" si="2"/>
        <v>1078</v>
      </c>
    </row>
    <row r="187" spans="1:9">
      <c r="A187" s="29">
        <v>0.82152777777777775</v>
      </c>
      <c r="D187" t="s">
        <v>276</v>
      </c>
      <c r="E187">
        <v>1068</v>
      </c>
      <c r="H187" t="s">
        <v>25</v>
      </c>
      <c r="I187">
        <f t="shared" si="2"/>
        <v>352</v>
      </c>
    </row>
    <row r="188" spans="1:9">
      <c r="A188" s="27">
        <v>22.4</v>
      </c>
      <c r="D188" t="s">
        <v>706</v>
      </c>
      <c r="E188">
        <v>51</v>
      </c>
      <c r="H188" t="s">
        <v>240</v>
      </c>
      <c r="I188">
        <f t="shared" si="2"/>
        <v>822</v>
      </c>
    </row>
    <row r="189" spans="1:9">
      <c r="A189" s="28">
        <v>50.4</v>
      </c>
      <c r="D189" t="s">
        <v>230</v>
      </c>
      <c r="E189">
        <v>1239</v>
      </c>
      <c r="H189" t="s">
        <v>209</v>
      </c>
      <c r="I189">
        <f t="shared" si="2"/>
        <v>576</v>
      </c>
    </row>
    <row r="190" spans="1:9">
      <c r="A190" s="25">
        <v>10</v>
      </c>
      <c r="D190" t="s">
        <v>865</v>
      </c>
      <c r="E190">
        <v>178</v>
      </c>
      <c r="H190" t="s">
        <v>59</v>
      </c>
      <c r="I190">
        <f t="shared" si="2"/>
        <v>1174</v>
      </c>
    </row>
    <row r="191" spans="1:9" ht="45">
      <c r="A191" s="26" t="s">
        <v>711</v>
      </c>
      <c r="D191" t="s">
        <v>759</v>
      </c>
      <c r="E191">
        <v>505</v>
      </c>
      <c r="H191" t="s">
        <v>508</v>
      </c>
      <c r="I191">
        <f t="shared" si="2"/>
        <v>445</v>
      </c>
    </row>
    <row r="192" spans="1:9">
      <c r="A192" s="27" t="s">
        <v>653</v>
      </c>
      <c r="D192" t="s">
        <v>766</v>
      </c>
      <c r="E192">
        <v>361</v>
      </c>
      <c r="H192" t="s">
        <v>479</v>
      </c>
      <c r="I192">
        <f t="shared" si="2"/>
        <v>370</v>
      </c>
    </row>
    <row r="193" spans="1:9">
      <c r="A193" s="27">
        <v>942</v>
      </c>
      <c r="D193" t="s">
        <v>1117</v>
      </c>
      <c r="E193">
        <v>261</v>
      </c>
      <c r="H193" t="s">
        <v>571</v>
      </c>
      <c r="I193">
        <f t="shared" si="2"/>
        <v>1292</v>
      </c>
    </row>
    <row r="194" spans="1:9">
      <c r="A194" s="27">
        <v>300</v>
      </c>
      <c r="D194" t="s">
        <v>1073</v>
      </c>
      <c r="E194">
        <v>93</v>
      </c>
      <c r="H194" t="s">
        <v>233</v>
      </c>
      <c r="I194">
        <f t="shared" si="2"/>
        <v>2166</v>
      </c>
    </row>
    <row r="195" spans="1:9">
      <c r="A195" s="27">
        <v>573</v>
      </c>
      <c r="D195" t="s">
        <v>482</v>
      </c>
      <c r="E195">
        <v>309</v>
      </c>
      <c r="H195" t="s">
        <v>185</v>
      </c>
      <c r="I195">
        <f t="shared" ref="I195:I258" si="3">VLOOKUP(H195,$D$2:$E$984,2)</f>
        <v>415</v>
      </c>
    </row>
    <row r="196" spans="1:9">
      <c r="A196" s="27">
        <v>873</v>
      </c>
      <c r="D196" t="s">
        <v>484</v>
      </c>
      <c r="E196">
        <v>329</v>
      </c>
      <c r="H196" t="s">
        <v>473</v>
      </c>
      <c r="I196">
        <f t="shared" si="3"/>
        <v>2391</v>
      </c>
    </row>
    <row r="197" spans="1:9">
      <c r="A197" s="27">
        <v>139</v>
      </c>
      <c r="D197" t="s">
        <v>665</v>
      </c>
      <c r="E197">
        <v>199</v>
      </c>
      <c r="H197" t="s">
        <v>232</v>
      </c>
      <c r="I197">
        <f t="shared" si="3"/>
        <v>1990</v>
      </c>
    </row>
    <row r="198" spans="1:9">
      <c r="A198" s="27">
        <v>379</v>
      </c>
      <c r="D198" t="s">
        <v>1099</v>
      </c>
      <c r="E198">
        <v>65</v>
      </c>
      <c r="H198" t="s">
        <v>593</v>
      </c>
      <c r="I198">
        <f t="shared" si="3"/>
        <v>2150</v>
      </c>
    </row>
    <row r="199" spans="1:9">
      <c r="A199" s="27">
        <v>0.93</v>
      </c>
      <c r="D199" t="s">
        <v>1039</v>
      </c>
      <c r="E199">
        <v>50</v>
      </c>
      <c r="H199" t="s">
        <v>405</v>
      </c>
      <c r="I199">
        <f t="shared" si="3"/>
        <v>262</v>
      </c>
    </row>
    <row r="200" spans="1:9">
      <c r="A200" s="27">
        <v>88</v>
      </c>
      <c r="D200" t="s">
        <v>154</v>
      </c>
      <c r="E200">
        <v>57</v>
      </c>
      <c r="H200" t="s">
        <v>215</v>
      </c>
      <c r="I200">
        <f t="shared" si="3"/>
        <v>495</v>
      </c>
    </row>
    <row r="201" spans="1:9">
      <c r="A201" s="27">
        <v>312</v>
      </c>
      <c r="D201" t="s">
        <v>1120</v>
      </c>
      <c r="E201">
        <v>348</v>
      </c>
      <c r="H201" t="s">
        <v>455</v>
      </c>
      <c r="I201">
        <f t="shared" si="3"/>
        <v>995</v>
      </c>
    </row>
    <row r="202" spans="1:9">
      <c r="A202" s="27">
        <v>7</v>
      </c>
      <c r="D202" t="s">
        <v>921</v>
      </c>
      <c r="E202">
        <v>0</v>
      </c>
      <c r="H202" t="s">
        <v>481</v>
      </c>
      <c r="I202">
        <f t="shared" si="3"/>
        <v>815</v>
      </c>
    </row>
    <row r="203" spans="1:9">
      <c r="A203" s="27">
        <v>13</v>
      </c>
      <c r="D203" t="s">
        <v>785</v>
      </c>
      <c r="E203">
        <v>19</v>
      </c>
      <c r="H203" t="s">
        <v>401</v>
      </c>
      <c r="I203">
        <f t="shared" si="3"/>
        <v>153</v>
      </c>
    </row>
    <row r="204" spans="1:9">
      <c r="A204" s="27">
        <v>58</v>
      </c>
      <c r="D204" t="s">
        <v>853</v>
      </c>
      <c r="E204">
        <v>976</v>
      </c>
      <c r="H204" t="s">
        <v>61</v>
      </c>
      <c r="I204">
        <f t="shared" si="3"/>
        <v>2435</v>
      </c>
    </row>
    <row r="205" spans="1:9">
      <c r="A205" s="27">
        <v>5</v>
      </c>
      <c r="D205" t="s">
        <v>223</v>
      </c>
      <c r="E205">
        <v>2220</v>
      </c>
      <c r="H205" t="s">
        <v>458</v>
      </c>
      <c r="I205">
        <f t="shared" si="3"/>
        <v>1025</v>
      </c>
    </row>
    <row r="206" spans="1:9">
      <c r="A206" s="27">
        <v>3183</v>
      </c>
      <c r="D206" t="s">
        <v>490</v>
      </c>
      <c r="E206">
        <v>490</v>
      </c>
      <c r="H206" t="s">
        <v>309</v>
      </c>
      <c r="I206">
        <f t="shared" si="3"/>
        <v>1776</v>
      </c>
    </row>
    <row r="207" spans="1:9">
      <c r="A207" s="27">
        <v>9.4</v>
      </c>
      <c r="D207" t="s">
        <v>668</v>
      </c>
      <c r="E207">
        <v>775</v>
      </c>
      <c r="H207" t="s">
        <v>107</v>
      </c>
      <c r="I207">
        <f t="shared" si="3"/>
        <v>40</v>
      </c>
    </row>
    <row r="208" spans="1:9">
      <c r="A208" s="29">
        <v>0.8305555555555556</v>
      </c>
      <c r="D208" t="s">
        <v>512</v>
      </c>
      <c r="E208">
        <v>880</v>
      </c>
      <c r="H208" t="s">
        <v>143</v>
      </c>
      <c r="I208">
        <f t="shared" si="3"/>
        <v>745</v>
      </c>
    </row>
    <row r="209" spans="1:9">
      <c r="A209" s="27">
        <v>24.6</v>
      </c>
      <c r="D209" t="s">
        <v>514</v>
      </c>
      <c r="E209">
        <v>42</v>
      </c>
      <c r="H209" t="s">
        <v>579</v>
      </c>
      <c r="I209">
        <f t="shared" si="3"/>
        <v>3299</v>
      </c>
    </row>
    <row r="210" spans="1:9">
      <c r="A210" s="28">
        <v>51.2</v>
      </c>
      <c r="D210" t="s">
        <v>142</v>
      </c>
      <c r="E210">
        <v>119</v>
      </c>
      <c r="H210" t="s">
        <v>94</v>
      </c>
      <c r="I210">
        <f t="shared" si="3"/>
        <v>1117</v>
      </c>
    </row>
    <row r="211" spans="1:9">
      <c r="A211" s="25">
        <v>11</v>
      </c>
      <c r="D211" t="s">
        <v>758</v>
      </c>
      <c r="E211">
        <v>62</v>
      </c>
      <c r="H211" t="s">
        <v>393</v>
      </c>
      <c r="I211">
        <f t="shared" si="3"/>
        <v>2279</v>
      </c>
    </row>
    <row r="212" spans="1:9" ht="30">
      <c r="A212" s="26" t="s">
        <v>550</v>
      </c>
      <c r="D212" t="s">
        <v>846</v>
      </c>
      <c r="E212">
        <v>9</v>
      </c>
      <c r="H212" t="s">
        <v>284</v>
      </c>
      <c r="I212">
        <f t="shared" si="3"/>
        <v>23</v>
      </c>
    </row>
    <row r="213" spans="1:9">
      <c r="A213" s="27" t="s">
        <v>44</v>
      </c>
      <c r="D213" t="s">
        <v>813</v>
      </c>
      <c r="E213">
        <v>5</v>
      </c>
      <c r="H213" t="s">
        <v>285</v>
      </c>
      <c r="I213">
        <f t="shared" si="3"/>
        <v>218</v>
      </c>
    </row>
    <row r="214" spans="1:9">
      <c r="A214" s="27">
        <v>1124</v>
      </c>
      <c r="D214" t="s">
        <v>77</v>
      </c>
      <c r="E214">
        <v>487</v>
      </c>
      <c r="H214" t="s">
        <v>271</v>
      </c>
      <c r="I214">
        <f t="shared" si="3"/>
        <v>376</v>
      </c>
    </row>
    <row r="215" spans="1:9">
      <c r="A215" s="27">
        <v>404</v>
      </c>
      <c r="D215" t="s">
        <v>187</v>
      </c>
      <c r="E215">
        <v>178</v>
      </c>
      <c r="H215" t="s">
        <v>83</v>
      </c>
      <c r="I215">
        <f t="shared" si="3"/>
        <v>448</v>
      </c>
    </row>
    <row r="216" spans="1:9">
      <c r="A216" s="27">
        <v>446</v>
      </c>
      <c r="D216" t="s">
        <v>337</v>
      </c>
      <c r="E216">
        <v>995</v>
      </c>
      <c r="H216" t="s">
        <v>589</v>
      </c>
      <c r="I216">
        <f t="shared" si="3"/>
        <v>132</v>
      </c>
    </row>
    <row r="217" spans="1:9">
      <c r="A217" s="27">
        <v>850</v>
      </c>
      <c r="D217" t="s">
        <v>1149</v>
      </c>
      <c r="E217">
        <v>808</v>
      </c>
      <c r="H217" t="s">
        <v>406</v>
      </c>
      <c r="I217">
        <f t="shared" si="3"/>
        <v>2905</v>
      </c>
    </row>
    <row r="218" spans="1:9">
      <c r="A218" s="27">
        <v>-20</v>
      </c>
      <c r="D218" t="s">
        <v>113</v>
      </c>
      <c r="E218">
        <v>782</v>
      </c>
      <c r="H218" t="s">
        <v>554</v>
      </c>
      <c r="I218">
        <f t="shared" si="3"/>
        <v>1905</v>
      </c>
    </row>
    <row r="219" spans="1:9">
      <c r="A219" s="27">
        <v>318</v>
      </c>
      <c r="D219" t="s">
        <v>693</v>
      </c>
      <c r="E219">
        <v>341</v>
      </c>
      <c r="H219" t="s">
        <v>88</v>
      </c>
      <c r="I219">
        <f t="shared" si="3"/>
        <v>510</v>
      </c>
    </row>
    <row r="220" spans="1:9">
      <c r="A220" s="27">
        <v>0.76</v>
      </c>
      <c r="D220" t="s">
        <v>978</v>
      </c>
      <c r="E220">
        <v>1</v>
      </c>
      <c r="H220" t="s">
        <v>237</v>
      </c>
      <c r="I220">
        <f t="shared" si="3"/>
        <v>436</v>
      </c>
    </row>
    <row r="221" spans="1:9">
      <c r="A221" s="27">
        <v>137</v>
      </c>
      <c r="D221" t="s">
        <v>138</v>
      </c>
      <c r="E221">
        <v>416</v>
      </c>
      <c r="H221" t="s">
        <v>459</v>
      </c>
      <c r="I221">
        <f t="shared" si="3"/>
        <v>294</v>
      </c>
    </row>
    <row r="222" spans="1:9">
      <c r="A222" s="27">
        <v>323</v>
      </c>
      <c r="D222" t="s">
        <v>856</v>
      </c>
      <c r="E222">
        <v>4</v>
      </c>
      <c r="H222" t="s">
        <v>76</v>
      </c>
      <c r="I222">
        <f t="shared" si="3"/>
        <v>410</v>
      </c>
    </row>
    <row r="223" spans="1:9">
      <c r="A223" s="27">
        <v>16</v>
      </c>
      <c r="D223" t="s">
        <v>1125</v>
      </c>
      <c r="E223">
        <v>237</v>
      </c>
      <c r="H223" t="s">
        <v>172</v>
      </c>
      <c r="I223">
        <f t="shared" si="3"/>
        <v>1625</v>
      </c>
    </row>
    <row r="224" spans="1:9">
      <c r="A224" s="27">
        <v>19</v>
      </c>
      <c r="D224" t="s">
        <v>24</v>
      </c>
      <c r="E224">
        <v>40</v>
      </c>
      <c r="H224" t="s">
        <v>72</v>
      </c>
      <c r="I224">
        <f t="shared" si="3"/>
        <v>75</v>
      </c>
    </row>
    <row r="225" spans="1:9">
      <c r="A225" s="27">
        <v>79</v>
      </c>
      <c r="D225" t="s">
        <v>472</v>
      </c>
      <c r="E225">
        <v>970</v>
      </c>
      <c r="H225" t="s">
        <v>290</v>
      </c>
      <c r="I225">
        <f t="shared" si="3"/>
        <v>128</v>
      </c>
    </row>
    <row r="226" spans="1:9">
      <c r="A226" s="27">
        <v>10</v>
      </c>
      <c r="D226" t="s">
        <v>1170</v>
      </c>
      <c r="E226">
        <v>501</v>
      </c>
      <c r="H226" t="s">
        <v>214</v>
      </c>
      <c r="I226">
        <f t="shared" si="3"/>
        <v>35</v>
      </c>
    </row>
    <row r="227" spans="1:9">
      <c r="A227" s="27">
        <v>3159</v>
      </c>
      <c r="D227" t="s">
        <v>485</v>
      </c>
      <c r="E227">
        <v>190</v>
      </c>
      <c r="H227" t="s">
        <v>62</v>
      </c>
      <c r="I227">
        <f t="shared" si="3"/>
        <v>2459</v>
      </c>
    </row>
    <row r="228" spans="1:9">
      <c r="A228" s="27">
        <v>12.8</v>
      </c>
      <c r="D228" t="s">
        <v>806</v>
      </c>
      <c r="E228">
        <v>535</v>
      </c>
      <c r="H228" t="s">
        <v>203</v>
      </c>
      <c r="I228">
        <f t="shared" si="3"/>
        <v>1486</v>
      </c>
    </row>
    <row r="229" spans="1:9">
      <c r="A229" s="29">
        <v>0.79861111111111116</v>
      </c>
      <c r="D229" t="s">
        <v>960</v>
      </c>
      <c r="E229">
        <v>1</v>
      </c>
      <c r="H229" t="s">
        <v>446</v>
      </c>
      <c r="I229">
        <f t="shared" si="3"/>
        <v>585</v>
      </c>
    </row>
    <row r="230" spans="1:9">
      <c r="A230" s="27">
        <v>24.6</v>
      </c>
      <c r="D230" t="s">
        <v>900</v>
      </c>
      <c r="E230">
        <v>6</v>
      </c>
      <c r="H230" t="s">
        <v>183</v>
      </c>
      <c r="I230">
        <f t="shared" si="3"/>
        <v>33</v>
      </c>
    </row>
    <row r="231" spans="1:9">
      <c r="A231" s="28">
        <v>50.7</v>
      </c>
      <c r="D231" t="s">
        <v>407</v>
      </c>
      <c r="E231">
        <v>2897</v>
      </c>
      <c r="H231" t="s">
        <v>109</v>
      </c>
      <c r="I231">
        <f t="shared" si="3"/>
        <v>1143</v>
      </c>
    </row>
    <row r="232" spans="1:9">
      <c r="A232" s="25">
        <v>12</v>
      </c>
      <c r="D232" t="s">
        <v>874</v>
      </c>
      <c r="E232">
        <v>255</v>
      </c>
      <c r="H232" t="s">
        <v>444</v>
      </c>
      <c r="I232">
        <f t="shared" si="3"/>
        <v>2381</v>
      </c>
    </row>
    <row r="233" spans="1:9" ht="30">
      <c r="A233" s="26" t="s">
        <v>61</v>
      </c>
      <c r="D233" t="s">
        <v>350</v>
      </c>
      <c r="E233">
        <v>1576</v>
      </c>
      <c r="H233" t="s">
        <v>327</v>
      </c>
      <c r="I233">
        <f t="shared" si="3"/>
        <v>500</v>
      </c>
    </row>
    <row r="234" spans="1:9">
      <c r="A234" s="27" t="s">
        <v>653</v>
      </c>
      <c r="D234" t="s">
        <v>824</v>
      </c>
      <c r="E234">
        <v>263</v>
      </c>
      <c r="H234" t="s">
        <v>196</v>
      </c>
      <c r="I234">
        <f t="shared" si="3"/>
        <v>1611</v>
      </c>
    </row>
    <row r="235" spans="1:9">
      <c r="A235" s="27">
        <v>973</v>
      </c>
      <c r="D235" t="s">
        <v>860</v>
      </c>
      <c r="E235">
        <v>121</v>
      </c>
      <c r="H235" t="s">
        <v>450</v>
      </c>
      <c r="I235">
        <f t="shared" si="3"/>
        <v>148</v>
      </c>
    </row>
    <row r="236" spans="1:9">
      <c r="A236" s="27">
        <v>306</v>
      </c>
      <c r="D236" t="s">
        <v>1003</v>
      </c>
      <c r="E236">
        <v>7</v>
      </c>
      <c r="H236" t="s">
        <v>247</v>
      </c>
      <c r="I236">
        <f t="shared" si="3"/>
        <v>1931</v>
      </c>
    </row>
    <row r="237" spans="1:9">
      <c r="A237" s="27">
        <v>544</v>
      </c>
      <c r="D237" t="s">
        <v>872</v>
      </c>
      <c r="E237">
        <v>556</v>
      </c>
      <c r="H237" t="s">
        <v>99</v>
      </c>
      <c r="I237">
        <f t="shared" si="3"/>
        <v>265</v>
      </c>
    </row>
    <row r="238" spans="1:9">
      <c r="A238" s="27">
        <v>850</v>
      </c>
      <c r="D238" t="s">
        <v>552</v>
      </c>
      <c r="E238">
        <v>241</v>
      </c>
      <c r="H238" t="s">
        <v>462</v>
      </c>
      <c r="I238">
        <f t="shared" si="3"/>
        <v>165</v>
      </c>
    </row>
    <row r="239" spans="1:9">
      <c r="A239" s="27">
        <v>-15</v>
      </c>
      <c r="D239" t="s">
        <v>1141</v>
      </c>
      <c r="E239">
        <v>610</v>
      </c>
      <c r="H239" t="s">
        <v>189</v>
      </c>
      <c r="I239">
        <f t="shared" si="3"/>
        <v>1288</v>
      </c>
    </row>
    <row r="240" spans="1:9">
      <c r="A240" s="27">
        <v>485</v>
      </c>
      <c r="D240" t="s">
        <v>345</v>
      </c>
      <c r="E240">
        <v>1413</v>
      </c>
      <c r="H240" t="s">
        <v>104</v>
      </c>
      <c r="I240">
        <f t="shared" si="3"/>
        <v>37</v>
      </c>
    </row>
    <row r="241" spans="1:9">
      <c r="A241" s="27">
        <v>0.87</v>
      </c>
      <c r="D241" t="s">
        <v>991</v>
      </c>
      <c r="E241">
        <v>1</v>
      </c>
      <c r="H241" t="s">
        <v>568</v>
      </c>
      <c r="I241">
        <f t="shared" si="3"/>
        <v>26</v>
      </c>
    </row>
    <row r="242" spans="1:9">
      <c r="A242" s="27">
        <v>103</v>
      </c>
      <c r="D242" t="s">
        <v>739</v>
      </c>
      <c r="E242">
        <v>22</v>
      </c>
      <c r="H242" t="s">
        <v>421</v>
      </c>
      <c r="I242">
        <f t="shared" si="3"/>
        <v>355</v>
      </c>
    </row>
    <row r="243" spans="1:9">
      <c r="A243" s="27">
        <v>321</v>
      </c>
      <c r="D243" t="s">
        <v>1009</v>
      </c>
      <c r="E243">
        <v>2</v>
      </c>
      <c r="H243" t="s">
        <v>149</v>
      </c>
      <c r="I243">
        <f t="shared" si="3"/>
        <v>1213</v>
      </c>
    </row>
    <row r="244" spans="1:9">
      <c r="A244" s="27">
        <v>3</v>
      </c>
      <c r="D244" t="s">
        <v>929</v>
      </c>
      <c r="E244">
        <v>158</v>
      </c>
      <c r="H244" t="s">
        <v>221</v>
      </c>
      <c r="I244">
        <f t="shared" si="3"/>
        <v>883</v>
      </c>
    </row>
    <row r="245" spans="1:9">
      <c r="A245" s="27">
        <v>5</v>
      </c>
      <c r="D245" t="s">
        <v>908</v>
      </c>
      <c r="E245">
        <v>170</v>
      </c>
      <c r="H245" t="s">
        <v>311</v>
      </c>
      <c r="I245">
        <f t="shared" si="3"/>
        <v>1459</v>
      </c>
    </row>
    <row r="246" spans="1:9">
      <c r="A246" s="27">
        <v>49</v>
      </c>
      <c r="D246" t="s">
        <v>990</v>
      </c>
      <c r="E246">
        <v>2</v>
      </c>
      <c r="H246" t="s">
        <v>53</v>
      </c>
      <c r="I246">
        <f t="shared" si="3"/>
        <v>41</v>
      </c>
    </row>
    <row r="247" spans="1:9">
      <c r="A247" s="27">
        <v>3</v>
      </c>
      <c r="D247" t="s">
        <v>1152</v>
      </c>
      <c r="E247">
        <v>481</v>
      </c>
      <c r="H247" t="s">
        <v>217</v>
      </c>
      <c r="I247">
        <f t="shared" si="3"/>
        <v>763</v>
      </c>
    </row>
    <row r="248" spans="1:9">
      <c r="A248" s="27">
        <v>2435</v>
      </c>
      <c r="D248" t="s">
        <v>772</v>
      </c>
      <c r="E248">
        <v>24</v>
      </c>
      <c r="H248" t="s">
        <v>275</v>
      </c>
      <c r="I248">
        <f t="shared" si="3"/>
        <v>42</v>
      </c>
    </row>
    <row r="249" spans="1:9">
      <c r="A249" s="27">
        <v>12.6</v>
      </c>
      <c r="D249" t="s">
        <v>1054</v>
      </c>
      <c r="E249">
        <v>40</v>
      </c>
      <c r="H249" t="s">
        <v>55</v>
      </c>
      <c r="I249">
        <f t="shared" si="3"/>
        <v>305</v>
      </c>
    </row>
    <row r="250" spans="1:9">
      <c r="A250" s="29">
        <v>0.7368055555555556</v>
      </c>
      <c r="D250" t="s">
        <v>27</v>
      </c>
      <c r="E250">
        <v>288</v>
      </c>
      <c r="H250" t="s">
        <v>117</v>
      </c>
      <c r="I250">
        <f t="shared" si="3"/>
        <v>2113</v>
      </c>
    </row>
    <row r="251" spans="1:9">
      <c r="A251" s="27">
        <v>21.9</v>
      </c>
      <c r="D251" t="s">
        <v>1164</v>
      </c>
      <c r="E251">
        <v>659</v>
      </c>
      <c r="H251" t="s">
        <v>448</v>
      </c>
      <c r="I251">
        <f t="shared" si="3"/>
        <v>538</v>
      </c>
    </row>
    <row r="252" spans="1:9">
      <c r="A252" s="28">
        <v>53.6</v>
      </c>
      <c r="D252" t="s">
        <v>159</v>
      </c>
      <c r="E252">
        <v>1299</v>
      </c>
      <c r="H252" t="s">
        <v>549</v>
      </c>
      <c r="I252">
        <f t="shared" si="3"/>
        <v>426</v>
      </c>
    </row>
    <row r="253" spans="1:9">
      <c r="A253" s="25">
        <v>13</v>
      </c>
      <c r="D253" t="s">
        <v>18</v>
      </c>
      <c r="E253">
        <v>2133</v>
      </c>
      <c r="H253" t="s">
        <v>132</v>
      </c>
      <c r="I253">
        <f t="shared" si="3"/>
        <v>1335</v>
      </c>
    </row>
    <row r="254" spans="1:9" ht="30">
      <c r="A254" s="26" t="s">
        <v>491</v>
      </c>
      <c r="D254" t="s">
        <v>873</v>
      </c>
      <c r="E254">
        <v>1254</v>
      </c>
      <c r="H254" t="s">
        <v>431</v>
      </c>
      <c r="I254">
        <f t="shared" si="3"/>
        <v>28</v>
      </c>
    </row>
    <row r="255" spans="1:9">
      <c r="A255" s="27" t="s">
        <v>43</v>
      </c>
      <c r="D255" t="s">
        <v>418</v>
      </c>
      <c r="E255">
        <v>4</v>
      </c>
      <c r="H255" t="s">
        <v>564</v>
      </c>
      <c r="I255">
        <f t="shared" si="3"/>
        <v>127</v>
      </c>
    </row>
    <row r="256" spans="1:9">
      <c r="A256" s="27">
        <v>1025</v>
      </c>
      <c r="D256" t="s">
        <v>762</v>
      </c>
      <c r="E256">
        <v>161</v>
      </c>
      <c r="H256" t="s">
        <v>212</v>
      </c>
      <c r="I256">
        <f t="shared" si="3"/>
        <v>2010</v>
      </c>
    </row>
    <row r="257" spans="1:9">
      <c r="A257" s="27">
        <v>361</v>
      </c>
      <c r="D257" t="s">
        <v>29</v>
      </c>
      <c r="E257">
        <v>1604</v>
      </c>
      <c r="H257" t="s">
        <v>475</v>
      </c>
      <c r="I257">
        <f t="shared" si="3"/>
        <v>1005</v>
      </c>
    </row>
    <row r="258" spans="1:9">
      <c r="A258" s="27">
        <v>477</v>
      </c>
      <c r="D258" t="s">
        <v>33</v>
      </c>
      <c r="E258">
        <v>1055</v>
      </c>
      <c r="H258" t="s">
        <v>580</v>
      </c>
      <c r="I258">
        <f t="shared" si="3"/>
        <v>833</v>
      </c>
    </row>
    <row r="259" spans="1:9">
      <c r="A259" s="27">
        <v>838</v>
      </c>
      <c r="D259" t="s">
        <v>321</v>
      </c>
      <c r="E259">
        <v>1644</v>
      </c>
      <c r="H259" t="s">
        <v>415</v>
      </c>
      <c r="I259">
        <f t="shared" ref="I259:I322" si="4">VLOOKUP(H259,$D$2:$E$984,2)</f>
        <v>540</v>
      </c>
    </row>
    <row r="260" spans="1:9">
      <c r="A260" s="27">
        <v>-100</v>
      </c>
      <c r="D260" t="s">
        <v>263</v>
      </c>
      <c r="E260">
        <v>764</v>
      </c>
      <c r="H260" t="s">
        <v>80</v>
      </c>
      <c r="I260">
        <f t="shared" si="4"/>
        <v>1829</v>
      </c>
    </row>
    <row r="261" spans="1:9">
      <c r="A261" s="27">
        <v>308</v>
      </c>
      <c r="D261" t="s">
        <v>1026</v>
      </c>
      <c r="E261">
        <v>89</v>
      </c>
      <c r="H261" t="s">
        <v>292</v>
      </c>
      <c r="I261">
        <f t="shared" si="4"/>
        <v>1277</v>
      </c>
    </row>
    <row r="262" spans="1:9">
      <c r="A262" s="27">
        <v>0.82</v>
      </c>
      <c r="D262" t="s">
        <v>1074</v>
      </c>
      <c r="E262">
        <v>57</v>
      </c>
      <c r="H262" t="s">
        <v>351</v>
      </c>
      <c r="I262">
        <f t="shared" si="4"/>
        <v>1472</v>
      </c>
    </row>
    <row r="263" spans="1:9">
      <c r="A263" s="27">
        <v>105</v>
      </c>
      <c r="D263" t="s">
        <v>744</v>
      </c>
      <c r="E263">
        <v>79</v>
      </c>
      <c r="H263" t="s">
        <v>174</v>
      </c>
      <c r="I263">
        <f t="shared" si="4"/>
        <v>1239</v>
      </c>
    </row>
    <row r="264" spans="1:9">
      <c r="A264" s="27">
        <v>287</v>
      </c>
      <c r="D264" t="s">
        <v>110</v>
      </c>
      <c r="E264">
        <v>250</v>
      </c>
      <c r="H264" t="s">
        <v>480</v>
      </c>
      <c r="I264">
        <f t="shared" si="4"/>
        <v>263</v>
      </c>
    </row>
    <row r="265" spans="1:9">
      <c r="A265" s="27">
        <v>1</v>
      </c>
      <c r="D265" t="s">
        <v>153</v>
      </c>
      <c r="E265">
        <v>113</v>
      </c>
      <c r="H265" t="s">
        <v>465</v>
      </c>
      <c r="I265">
        <f t="shared" si="4"/>
        <v>872</v>
      </c>
    </row>
    <row r="266" spans="1:9">
      <c r="A266" s="27">
        <v>1</v>
      </c>
      <c r="D266" t="s">
        <v>1056</v>
      </c>
      <c r="E266">
        <v>2</v>
      </c>
      <c r="H266" t="s">
        <v>267</v>
      </c>
      <c r="I266">
        <f t="shared" si="4"/>
        <v>59</v>
      </c>
    </row>
    <row r="267" spans="1:9">
      <c r="A267" s="27">
        <v>65</v>
      </c>
      <c r="D267" t="s">
        <v>749</v>
      </c>
      <c r="E267">
        <v>267</v>
      </c>
      <c r="H267" t="s">
        <v>273</v>
      </c>
      <c r="I267">
        <f t="shared" si="4"/>
        <v>32</v>
      </c>
    </row>
    <row r="268" spans="1:9">
      <c r="A268" s="27">
        <v>10</v>
      </c>
      <c r="D268" t="s">
        <v>560</v>
      </c>
      <c r="E268">
        <v>279</v>
      </c>
      <c r="H268" t="s">
        <v>541</v>
      </c>
      <c r="I268">
        <f t="shared" si="4"/>
        <v>1981</v>
      </c>
    </row>
    <row r="269" spans="1:9">
      <c r="A269" s="27">
        <v>3328</v>
      </c>
      <c r="D269" t="s">
        <v>683</v>
      </c>
      <c r="E269">
        <v>361</v>
      </c>
      <c r="H269" t="s">
        <v>426</v>
      </c>
      <c r="I269">
        <f t="shared" si="4"/>
        <v>242</v>
      </c>
    </row>
    <row r="270" spans="1:9">
      <c r="A270" s="27">
        <v>10.8</v>
      </c>
      <c r="D270" t="s">
        <v>495</v>
      </c>
      <c r="E270">
        <v>1661</v>
      </c>
      <c r="H270" t="s">
        <v>501</v>
      </c>
      <c r="I270">
        <f t="shared" si="4"/>
        <v>1883</v>
      </c>
    </row>
    <row r="271" spans="1:9">
      <c r="A271" s="29">
        <v>0.76041666666666663</v>
      </c>
      <c r="D271" t="s">
        <v>191</v>
      </c>
      <c r="E271">
        <v>1651</v>
      </c>
      <c r="H271" t="s">
        <v>424</v>
      </c>
      <c r="I271">
        <f t="shared" si="4"/>
        <v>508</v>
      </c>
    </row>
    <row r="272" spans="1:9">
      <c r="A272" s="27">
        <v>21.8</v>
      </c>
      <c r="D272" t="s">
        <v>1126</v>
      </c>
      <c r="E272">
        <v>229</v>
      </c>
      <c r="H272" t="s">
        <v>250</v>
      </c>
      <c r="I272">
        <f t="shared" si="4"/>
        <v>194</v>
      </c>
    </row>
    <row r="273" spans="1:9">
      <c r="A273" s="28">
        <v>41.9</v>
      </c>
      <c r="D273" t="s">
        <v>513</v>
      </c>
      <c r="E273">
        <v>707</v>
      </c>
      <c r="H273" t="s">
        <v>451</v>
      </c>
      <c r="I273">
        <f t="shared" si="4"/>
        <v>180</v>
      </c>
    </row>
    <row r="274" spans="1:9">
      <c r="A274" s="25">
        <v>14</v>
      </c>
      <c r="D274" t="s">
        <v>800</v>
      </c>
      <c r="E274">
        <v>336</v>
      </c>
      <c r="H274" t="s">
        <v>131</v>
      </c>
      <c r="I274">
        <f t="shared" si="4"/>
        <v>906</v>
      </c>
    </row>
    <row r="275" spans="1:9" ht="30">
      <c r="A275" s="26" t="s">
        <v>19</v>
      </c>
      <c r="D275" t="s">
        <v>202</v>
      </c>
      <c r="E275">
        <v>127</v>
      </c>
      <c r="H275" t="s">
        <v>313</v>
      </c>
      <c r="I275">
        <f t="shared" si="4"/>
        <v>58</v>
      </c>
    </row>
    <row r="276" spans="1:9">
      <c r="A276" s="27" t="s">
        <v>653</v>
      </c>
      <c r="D276" t="s">
        <v>528</v>
      </c>
      <c r="E276">
        <v>31</v>
      </c>
      <c r="H276" t="s">
        <v>116</v>
      </c>
      <c r="I276">
        <f t="shared" si="4"/>
        <v>177</v>
      </c>
    </row>
    <row r="277" spans="1:9">
      <c r="A277" s="27">
        <v>978</v>
      </c>
      <c r="D277" t="s">
        <v>1033</v>
      </c>
      <c r="E277">
        <v>11</v>
      </c>
      <c r="H277" t="s">
        <v>152</v>
      </c>
      <c r="I277">
        <f t="shared" si="4"/>
        <v>122</v>
      </c>
    </row>
    <row r="278" spans="1:9">
      <c r="A278" s="27">
        <v>313</v>
      </c>
      <c r="D278" t="s">
        <v>987</v>
      </c>
      <c r="E278">
        <v>2</v>
      </c>
      <c r="H278" t="s">
        <v>281</v>
      </c>
      <c r="I278">
        <f t="shared" si="4"/>
        <v>936</v>
      </c>
    </row>
    <row r="279" spans="1:9">
      <c r="A279" s="27">
        <v>485</v>
      </c>
      <c r="D279" t="s">
        <v>419</v>
      </c>
      <c r="E279">
        <v>793</v>
      </c>
      <c r="H279" t="s">
        <v>555</v>
      </c>
      <c r="I279">
        <f t="shared" si="4"/>
        <v>1391</v>
      </c>
    </row>
    <row r="280" spans="1:9">
      <c r="A280" s="27">
        <v>798</v>
      </c>
      <c r="D280" t="s">
        <v>180</v>
      </c>
      <c r="E280">
        <v>592</v>
      </c>
      <c r="H280" t="s">
        <v>449</v>
      </c>
      <c r="I280">
        <f t="shared" si="4"/>
        <v>595</v>
      </c>
    </row>
    <row r="281" spans="1:9">
      <c r="A281" s="27">
        <v>183</v>
      </c>
      <c r="D281" t="s">
        <v>63</v>
      </c>
      <c r="E281">
        <v>17</v>
      </c>
      <c r="H281" t="s">
        <v>74</v>
      </c>
      <c r="I281">
        <f t="shared" si="4"/>
        <v>915</v>
      </c>
    </row>
    <row r="282" spans="1:9">
      <c r="A282" s="27">
        <v>386</v>
      </c>
      <c r="D282" t="s">
        <v>115</v>
      </c>
      <c r="E282">
        <v>36</v>
      </c>
      <c r="H282" t="s">
        <v>216</v>
      </c>
      <c r="I282">
        <f t="shared" si="4"/>
        <v>135</v>
      </c>
    </row>
    <row r="283" spans="1:9">
      <c r="A283" s="27">
        <v>0.82</v>
      </c>
      <c r="D283" t="s">
        <v>892</v>
      </c>
      <c r="E283">
        <v>5</v>
      </c>
      <c r="H283" t="s">
        <v>553</v>
      </c>
      <c r="I283">
        <f t="shared" si="4"/>
        <v>182</v>
      </c>
    </row>
    <row r="284" spans="1:9">
      <c r="A284" s="27">
        <v>92</v>
      </c>
      <c r="D284" t="s">
        <v>851</v>
      </c>
      <c r="E284">
        <v>184</v>
      </c>
      <c r="H284" t="s">
        <v>542</v>
      </c>
      <c r="I284">
        <f t="shared" si="4"/>
        <v>23</v>
      </c>
    </row>
    <row r="285" spans="1:9">
      <c r="A285" s="27">
        <v>246</v>
      </c>
      <c r="D285" t="s">
        <v>437</v>
      </c>
      <c r="E285">
        <v>57</v>
      </c>
      <c r="H285" t="s">
        <v>323</v>
      </c>
      <c r="I285">
        <f t="shared" si="4"/>
        <v>293</v>
      </c>
    </row>
    <row r="286" spans="1:9">
      <c r="A286" s="27">
        <v>16</v>
      </c>
      <c r="D286" t="s">
        <v>218</v>
      </c>
      <c r="E286">
        <v>215</v>
      </c>
      <c r="H286" t="s">
        <v>137</v>
      </c>
      <c r="I286">
        <f t="shared" si="4"/>
        <v>275</v>
      </c>
    </row>
    <row r="287" spans="1:9">
      <c r="A287" s="27">
        <v>38</v>
      </c>
      <c r="D287" t="s">
        <v>241</v>
      </c>
      <c r="E287">
        <v>1424</v>
      </c>
      <c r="H287" t="s">
        <v>532</v>
      </c>
      <c r="I287">
        <f t="shared" si="4"/>
        <v>231</v>
      </c>
    </row>
    <row r="288" spans="1:9">
      <c r="A288" s="27">
        <v>60</v>
      </c>
      <c r="D288" t="s">
        <v>672</v>
      </c>
      <c r="E288">
        <v>18</v>
      </c>
      <c r="H288" t="s">
        <v>112</v>
      </c>
      <c r="I288">
        <f t="shared" si="4"/>
        <v>393</v>
      </c>
    </row>
    <row r="289" spans="1:9">
      <c r="A289" s="27">
        <v>7</v>
      </c>
      <c r="D289" t="s">
        <v>876</v>
      </c>
      <c r="E289">
        <v>308</v>
      </c>
      <c r="H289" t="s">
        <v>425</v>
      </c>
      <c r="I289">
        <f t="shared" si="4"/>
        <v>1021</v>
      </c>
    </row>
    <row r="290" spans="1:9">
      <c r="A290" s="27">
        <v>2986</v>
      </c>
      <c r="D290" t="s">
        <v>581</v>
      </c>
      <c r="E290">
        <v>1886</v>
      </c>
      <c r="H290" t="s">
        <v>521</v>
      </c>
      <c r="I290">
        <f t="shared" si="4"/>
        <v>891</v>
      </c>
    </row>
    <row r="291" spans="1:9">
      <c r="A291" s="27">
        <v>10.5</v>
      </c>
      <c r="D291" t="s">
        <v>945</v>
      </c>
      <c r="E291">
        <v>97</v>
      </c>
      <c r="H291" t="s">
        <v>467</v>
      </c>
      <c r="I291">
        <f t="shared" si="4"/>
        <v>488</v>
      </c>
    </row>
    <row r="292" spans="1:9">
      <c r="A292" s="29">
        <v>0.79236111111111107</v>
      </c>
      <c r="D292" t="s">
        <v>436</v>
      </c>
      <c r="E292">
        <v>2263</v>
      </c>
      <c r="H292" t="s">
        <v>261</v>
      </c>
      <c r="I292">
        <f t="shared" si="4"/>
        <v>258</v>
      </c>
    </row>
    <row r="293" spans="1:9">
      <c r="A293" s="27">
        <v>24.9</v>
      </c>
      <c r="D293" t="s">
        <v>578</v>
      </c>
      <c r="E293">
        <v>2947</v>
      </c>
      <c r="H293" t="s">
        <v>243</v>
      </c>
      <c r="I293">
        <f t="shared" si="4"/>
        <v>43</v>
      </c>
    </row>
    <row r="294" spans="1:9">
      <c r="A294" s="28">
        <v>57.3</v>
      </c>
      <c r="D294" t="s">
        <v>943</v>
      </c>
      <c r="E294">
        <v>2612</v>
      </c>
      <c r="H294" t="s">
        <v>190</v>
      </c>
      <c r="I294">
        <f t="shared" si="4"/>
        <v>402</v>
      </c>
    </row>
    <row r="295" spans="1:9">
      <c r="A295" s="25">
        <v>15</v>
      </c>
      <c r="D295" t="s">
        <v>141</v>
      </c>
      <c r="E295">
        <v>288</v>
      </c>
      <c r="H295" t="s">
        <v>126</v>
      </c>
      <c r="I295">
        <f t="shared" si="4"/>
        <v>122</v>
      </c>
    </row>
    <row r="296" spans="1:9" ht="30">
      <c r="A296" s="26" t="s">
        <v>133</v>
      </c>
      <c r="D296" t="s">
        <v>543</v>
      </c>
      <c r="E296">
        <v>24</v>
      </c>
      <c r="H296" t="s">
        <v>429</v>
      </c>
      <c r="I296">
        <f t="shared" si="4"/>
        <v>971</v>
      </c>
    </row>
    <row r="297" spans="1:9">
      <c r="A297" s="27" t="s">
        <v>653</v>
      </c>
      <c r="D297" t="s">
        <v>160</v>
      </c>
      <c r="E297">
        <v>1015</v>
      </c>
      <c r="H297" t="s">
        <v>324</v>
      </c>
      <c r="I297">
        <f t="shared" si="4"/>
        <v>791</v>
      </c>
    </row>
    <row r="298" spans="1:9">
      <c r="A298" s="27">
        <v>768</v>
      </c>
      <c r="D298" t="s">
        <v>1114</v>
      </c>
      <c r="E298">
        <v>50</v>
      </c>
      <c r="H298" t="s">
        <v>340</v>
      </c>
      <c r="I298">
        <f t="shared" si="4"/>
        <v>1846</v>
      </c>
    </row>
    <row r="299" spans="1:9">
      <c r="A299" s="27">
        <v>400</v>
      </c>
      <c r="D299" t="s">
        <v>992</v>
      </c>
      <c r="E299">
        <v>61</v>
      </c>
      <c r="H299" t="s">
        <v>26</v>
      </c>
      <c r="I299">
        <f t="shared" si="4"/>
        <v>226</v>
      </c>
    </row>
    <row r="300" spans="1:9">
      <c r="A300" s="27">
        <v>388</v>
      </c>
      <c r="D300" t="s">
        <v>443</v>
      </c>
      <c r="E300">
        <v>212</v>
      </c>
      <c r="H300" t="s">
        <v>227</v>
      </c>
      <c r="I300">
        <f t="shared" si="4"/>
        <v>1477</v>
      </c>
    </row>
    <row r="301" spans="1:9">
      <c r="A301" s="27">
        <v>788</v>
      </c>
      <c r="D301" t="s">
        <v>1013</v>
      </c>
      <c r="E301">
        <v>5</v>
      </c>
      <c r="H301" t="s">
        <v>588</v>
      </c>
      <c r="I301">
        <f t="shared" si="4"/>
        <v>79</v>
      </c>
    </row>
    <row r="302" spans="1:9">
      <c r="A302" s="27">
        <v>22</v>
      </c>
      <c r="D302" t="s">
        <v>701</v>
      </c>
      <c r="E302">
        <v>9</v>
      </c>
      <c r="H302" t="s">
        <v>538</v>
      </c>
      <c r="I302">
        <f t="shared" si="4"/>
        <v>618</v>
      </c>
    </row>
    <row r="303" spans="1:9">
      <c r="A303" s="27">
        <v>481</v>
      </c>
      <c r="D303" t="s">
        <v>533</v>
      </c>
      <c r="E303">
        <v>974</v>
      </c>
      <c r="H303" t="s">
        <v>341</v>
      </c>
      <c r="I303">
        <f t="shared" si="4"/>
        <v>730</v>
      </c>
    </row>
    <row r="304" spans="1:9">
      <c r="A304" s="27">
        <v>1.03</v>
      </c>
      <c r="D304" t="s">
        <v>507</v>
      </c>
      <c r="E304">
        <v>216</v>
      </c>
      <c r="H304" t="s">
        <v>403</v>
      </c>
      <c r="I304">
        <f t="shared" si="4"/>
        <v>374</v>
      </c>
    </row>
    <row r="305" spans="1:9">
      <c r="A305" s="27">
        <v>149</v>
      </c>
      <c r="D305" t="s">
        <v>253</v>
      </c>
      <c r="E305">
        <v>35</v>
      </c>
      <c r="H305" t="s">
        <v>89</v>
      </c>
      <c r="I305">
        <f t="shared" si="4"/>
        <v>689</v>
      </c>
    </row>
    <row r="306" spans="1:9">
      <c r="A306" s="27">
        <v>287</v>
      </c>
      <c r="D306" t="s">
        <v>1070</v>
      </c>
      <c r="E306">
        <v>31</v>
      </c>
      <c r="H306" t="s">
        <v>565</v>
      </c>
      <c r="I306">
        <f t="shared" si="4"/>
        <v>99</v>
      </c>
    </row>
    <row r="307" spans="1:9">
      <c r="A307" s="27">
        <v>5</v>
      </c>
      <c r="D307" t="s">
        <v>456</v>
      </c>
      <c r="E307">
        <v>3631</v>
      </c>
      <c r="H307" t="s">
        <v>518</v>
      </c>
      <c r="I307">
        <f t="shared" si="4"/>
        <v>2357</v>
      </c>
    </row>
    <row r="308" spans="1:9">
      <c r="A308" s="27">
        <v>7</v>
      </c>
      <c r="D308" t="s">
        <v>1024</v>
      </c>
      <c r="E308">
        <v>24</v>
      </c>
      <c r="H308" t="s">
        <v>577</v>
      </c>
      <c r="I308">
        <f t="shared" si="4"/>
        <v>114</v>
      </c>
    </row>
    <row r="309" spans="1:9">
      <c r="A309" s="27">
        <v>57</v>
      </c>
      <c r="D309" t="s">
        <v>122</v>
      </c>
      <c r="E309">
        <v>150</v>
      </c>
      <c r="H309" t="s">
        <v>194</v>
      </c>
      <c r="I309">
        <f t="shared" si="4"/>
        <v>51</v>
      </c>
    </row>
    <row r="310" spans="1:9">
      <c r="A310" s="27">
        <v>8</v>
      </c>
      <c r="D310" t="s">
        <v>561</v>
      </c>
      <c r="E310">
        <v>620</v>
      </c>
      <c r="H310" t="s">
        <v>557</v>
      </c>
      <c r="I310">
        <f t="shared" si="4"/>
        <v>922</v>
      </c>
    </row>
    <row r="311" spans="1:9">
      <c r="A311" s="27">
        <v>2389</v>
      </c>
      <c r="D311" t="s">
        <v>434</v>
      </c>
      <c r="E311">
        <v>327</v>
      </c>
      <c r="H311" t="s">
        <v>529</v>
      </c>
      <c r="I311">
        <f t="shared" si="4"/>
        <v>1922</v>
      </c>
    </row>
    <row r="312" spans="1:9">
      <c r="A312" s="27">
        <v>16.7</v>
      </c>
      <c r="D312" t="s">
        <v>716</v>
      </c>
      <c r="E312">
        <v>615</v>
      </c>
      <c r="H312" t="s">
        <v>487</v>
      </c>
      <c r="I312">
        <f t="shared" si="4"/>
        <v>1320</v>
      </c>
    </row>
    <row r="313" spans="1:9">
      <c r="A313" s="29">
        <v>0.80902777777777779</v>
      </c>
      <c r="D313" t="s">
        <v>330</v>
      </c>
      <c r="E313">
        <v>1565</v>
      </c>
      <c r="H313" t="s">
        <v>111</v>
      </c>
      <c r="I313">
        <f t="shared" si="4"/>
        <v>1320</v>
      </c>
    </row>
    <row r="314" spans="1:9">
      <c r="A314" s="27">
        <v>22.8</v>
      </c>
      <c r="D314" t="s">
        <v>548</v>
      </c>
      <c r="E314">
        <v>2063</v>
      </c>
      <c r="H314" t="s">
        <v>537</v>
      </c>
      <c r="I314">
        <f t="shared" si="4"/>
        <v>684</v>
      </c>
    </row>
    <row r="315" spans="1:9">
      <c r="A315" s="28">
        <v>49.3</v>
      </c>
      <c r="D315" t="s">
        <v>404</v>
      </c>
      <c r="E315">
        <v>410</v>
      </c>
      <c r="H315" t="s">
        <v>349</v>
      </c>
      <c r="I315">
        <f t="shared" si="4"/>
        <v>172</v>
      </c>
    </row>
    <row r="316" spans="1:9">
      <c r="A316" s="25">
        <v>16</v>
      </c>
      <c r="D316" t="s">
        <v>463</v>
      </c>
      <c r="E316">
        <v>59</v>
      </c>
      <c r="H316" t="s">
        <v>282</v>
      </c>
      <c r="I316">
        <f t="shared" si="4"/>
        <v>1195</v>
      </c>
    </row>
    <row r="317" spans="1:9" ht="30">
      <c r="A317" s="26" t="s">
        <v>407</v>
      </c>
      <c r="D317" t="s">
        <v>1010</v>
      </c>
      <c r="E317">
        <v>10</v>
      </c>
      <c r="H317" t="s">
        <v>527</v>
      </c>
      <c r="I317">
        <f t="shared" si="4"/>
        <v>1477</v>
      </c>
    </row>
    <row r="318" spans="1:9">
      <c r="A318" s="27" t="s">
        <v>43</v>
      </c>
      <c r="D318" t="s">
        <v>811</v>
      </c>
      <c r="E318">
        <v>341</v>
      </c>
      <c r="H318" t="s">
        <v>344</v>
      </c>
      <c r="I318">
        <f t="shared" si="4"/>
        <v>1018</v>
      </c>
    </row>
    <row r="319" spans="1:9">
      <c r="A319" s="27">
        <v>1010</v>
      </c>
      <c r="D319" t="s">
        <v>547</v>
      </c>
      <c r="E319">
        <v>2413</v>
      </c>
      <c r="H319" t="s">
        <v>158</v>
      </c>
      <c r="I319">
        <f t="shared" si="4"/>
        <v>1881</v>
      </c>
    </row>
    <row r="320" spans="1:9">
      <c r="A320" s="27">
        <v>375</v>
      </c>
      <c r="D320" t="s">
        <v>213</v>
      </c>
      <c r="E320">
        <v>2934</v>
      </c>
      <c r="H320" t="s">
        <v>108</v>
      </c>
      <c r="I320">
        <f t="shared" si="4"/>
        <v>1321</v>
      </c>
    </row>
    <row r="321" spans="1:9">
      <c r="A321" s="27">
        <v>410</v>
      </c>
      <c r="D321" t="s">
        <v>105</v>
      </c>
      <c r="E321">
        <v>536</v>
      </c>
      <c r="H321" t="s">
        <v>95</v>
      </c>
      <c r="I321">
        <f t="shared" si="4"/>
        <v>230</v>
      </c>
    </row>
    <row r="322" spans="1:9">
      <c r="A322" s="27">
        <v>785</v>
      </c>
      <c r="D322" t="s">
        <v>178</v>
      </c>
      <c r="E322">
        <v>955</v>
      </c>
      <c r="H322" t="s">
        <v>136</v>
      </c>
      <c r="I322">
        <f t="shared" si="4"/>
        <v>1076</v>
      </c>
    </row>
    <row r="323" spans="1:9">
      <c r="A323" s="27">
        <v>79</v>
      </c>
      <c r="D323" t="s">
        <v>935</v>
      </c>
      <c r="E323">
        <v>26</v>
      </c>
      <c r="H323" t="s">
        <v>460</v>
      </c>
      <c r="I323">
        <f t="shared" ref="I323:I386" si="5">VLOOKUP(H323,$D$2:$E$984,2)</f>
        <v>2242</v>
      </c>
    </row>
    <row r="324" spans="1:9">
      <c r="A324" s="27">
        <v>1121</v>
      </c>
      <c r="D324" t="s">
        <v>140</v>
      </c>
      <c r="E324">
        <v>47</v>
      </c>
      <c r="H324" t="s">
        <v>534</v>
      </c>
      <c r="I324">
        <f t="shared" si="5"/>
        <v>1511</v>
      </c>
    </row>
    <row r="325" spans="1:9">
      <c r="A325" s="27">
        <v>0.78</v>
      </c>
      <c r="D325" t="s">
        <v>269</v>
      </c>
      <c r="E325">
        <v>194</v>
      </c>
      <c r="H325" t="s">
        <v>296</v>
      </c>
      <c r="I325">
        <f t="shared" si="5"/>
        <v>485</v>
      </c>
    </row>
    <row r="326" spans="1:9">
      <c r="A326" s="27">
        <v>103</v>
      </c>
      <c r="D326" t="s">
        <v>343</v>
      </c>
      <c r="E326">
        <v>1229</v>
      </c>
      <c r="H326" t="s">
        <v>402</v>
      </c>
      <c r="I326">
        <f t="shared" si="5"/>
        <v>254</v>
      </c>
    </row>
    <row r="327" spans="1:9">
      <c r="A327" s="27">
        <v>245</v>
      </c>
      <c r="D327" t="s">
        <v>165</v>
      </c>
      <c r="E327">
        <v>134</v>
      </c>
      <c r="H327" t="s">
        <v>57</v>
      </c>
      <c r="I327">
        <f t="shared" si="5"/>
        <v>653</v>
      </c>
    </row>
    <row r="328" spans="1:9">
      <c r="A328" s="27">
        <v>6</v>
      </c>
      <c r="D328" t="s">
        <v>736</v>
      </c>
      <c r="E328">
        <v>27</v>
      </c>
      <c r="H328" t="s">
        <v>98</v>
      </c>
      <c r="I328">
        <f t="shared" si="5"/>
        <v>825</v>
      </c>
    </row>
    <row r="329" spans="1:9">
      <c r="A329" s="27">
        <v>10</v>
      </c>
      <c r="D329" t="s">
        <v>882</v>
      </c>
      <c r="E329">
        <v>560</v>
      </c>
      <c r="H329" t="s">
        <v>414</v>
      </c>
      <c r="I329">
        <f t="shared" si="5"/>
        <v>408</v>
      </c>
    </row>
    <row r="330" spans="1:9">
      <c r="A330" s="27">
        <v>64</v>
      </c>
      <c r="D330" t="s">
        <v>162</v>
      </c>
      <c r="E330">
        <v>1610</v>
      </c>
      <c r="H330" t="s">
        <v>332</v>
      </c>
      <c r="I330">
        <f t="shared" si="5"/>
        <v>1472</v>
      </c>
    </row>
    <row r="331" spans="1:9">
      <c r="A331" s="27">
        <v>6</v>
      </c>
      <c r="D331" t="s">
        <v>773</v>
      </c>
      <c r="E331">
        <v>65</v>
      </c>
      <c r="H331" t="s">
        <v>173</v>
      </c>
      <c r="I331">
        <f t="shared" si="5"/>
        <v>191</v>
      </c>
    </row>
    <row r="332" spans="1:9">
      <c r="A332" s="27">
        <v>2897</v>
      </c>
      <c r="D332" t="s">
        <v>52</v>
      </c>
      <c r="E332">
        <v>98</v>
      </c>
      <c r="H332" t="s">
        <v>144</v>
      </c>
      <c r="I332">
        <f t="shared" si="5"/>
        <v>0</v>
      </c>
    </row>
    <row r="333" spans="1:9">
      <c r="A333" s="27">
        <v>12.9</v>
      </c>
      <c r="D333" t="s">
        <v>1139</v>
      </c>
      <c r="E333">
        <v>144</v>
      </c>
      <c r="H333" t="s">
        <v>96</v>
      </c>
      <c r="I333">
        <f t="shared" si="5"/>
        <v>283</v>
      </c>
    </row>
    <row r="334" spans="1:9">
      <c r="A334" s="29">
        <v>0.75069444444444444</v>
      </c>
      <c r="D334" t="s">
        <v>897</v>
      </c>
      <c r="E334">
        <v>417</v>
      </c>
      <c r="H334" t="s">
        <v>205</v>
      </c>
      <c r="I334">
        <f t="shared" si="5"/>
        <v>1071</v>
      </c>
    </row>
    <row r="335" spans="1:9">
      <c r="A335" s="27">
        <v>21.9</v>
      </c>
      <c r="D335" t="s">
        <v>1037</v>
      </c>
      <c r="E335">
        <v>22</v>
      </c>
      <c r="H335" t="s">
        <v>339</v>
      </c>
      <c r="I335">
        <f t="shared" si="5"/>
        <v>938</v>
      </c>
    </row>
    <row r="336" spans="1:9">
      <c r="A336" s="28">
        <v>30.4</v>
      </c>
      <c r="D336" t="s">
        <v>715</v>
      </c>
      <c r="E336">
        <v>101</v>
      </c>
      <c r="H336" t="s">
        <v>256</v>
      </c>
      <c r="I336">
        <f t="shared" si="5"/>
        <v>1596</v>
      </c>
    </row>
    <row r="337" spans="1:9">
      <c r="A337" s="25">
        <v>17</v>
      </c>
      <c r="D337" t="s">
        <v>730</v>
      </c>
      <c r="E337">
        <v>1605</v>
      </c>
      <c r="H337" t="s">
        <v>177</v>
      </c>
      <c r="I337">
        <f t="shared" si="5"/>
        <v>285</v>
      </c>
    </row>
    <row r="338" spans="1:9" ht="30">
      <c r="A338" s="26" t="s">
        <v>223</v>
      </c>
      <c r="D338" t="s">
        <v>849</v>
      </c>
      <c r="E338">
        <v>19</v>
      </c>
      <c r="H338" t="s">
        <v>197</v>
      </c>
      <c r="I338">
        <f t="shared" si="5"/>
        <v>991</v>
      </c>
    </row>
    <row r="339" spans="1:9">
      <c r="A339" s="27" t="s">
        <v>653</v>
      </c>
      <c r="D339" t="s">
        <v>870</v>
      </c>
      <c r="E339">
        <v>209</v>
      </c>
      <c r="H339" t="s">
        <v>570</v>
      </c>
      <c r="I339">
        <f t="shared" si="5"/>
        <v>471</v>
      </c>
    </row>
    <row r="340" spans="1:9">
      <c r="A340" s="27">
        <v>848</v>
      </c>
      <c r="D340" t="s">
        <v>880</v>
      </c>
      <c r="E340">
        <v>91</v>
      </c>
      <c r="H340" t="s">
        <v>497</v>
      </c>
      <c r="I340">
        <f t="shared" si="5"/>
        <v>283</v>
      </c>
    </row>
    <row r="341" spans="1:9">
      <c r="A341" s="27">
        <v>245</v>
      </c>
      <c r="D341" t="s">
        <v>1025</v>
      </c>
      <c r="E341">
        <v>25</v>
      </c>
      <c r="H341" t="s">
        <v>453</v>
      </c>
      <c r="I341">
        <f t="shared" si="5"/>
        <v>86</v>
      </c>
    </row>
    <row r="342" spans="1:9">
      <c r="A342" s="27">
        <v>537</v>
      </c>
      <c r="D342" t="s">
        <v>786</v>
      </c>
      <c r="E342">
        <v>76</v>
      </c>
      <c r="H342" t="s">
        <v>170</v>
      </c>
      <c r="I342">
        <f t="shared" si="5"/>
        <v>1956</v>
      </c>
    </row>
    <row r="343" spans="1:9">
      <c r="A343" s="27">
        <v>782</v>
      </c>
      <c r="D343" t="s">
        <v>735</v>
      </c>
      <c r="E343">
        <v>9</v>
      </c>
      <c r="H343" t="s">
        <v>291</v>
      </c>
      <c r="I343">
        <f t="shared" si="5"/>
        <v>395</v>
      </c>
    </row>
    <row r="344" spans="1:9">
      <c r="A344" s="27">
        <v>42</v>
      </c>
      <c r="D344" t="s">
        <v>837</v>
      </c>
      <c r="E344">
        <v>1</v>
      </c>
      <c r="H344" t="s">
        <v>515</v>
      </c>
      <c r="I344">
        <f t="shared" si="5"/>
        <v>23</v>
      </c>
    </row>
    <row r="345" spans="1:9">
      <c r="A345" s="27">
        <v>366</v>
      </c>
      <c r="D345" t="s">
        <v>954</v>
      </c>
      <c r="E345">
        <v>0</v>
      </c>
      <c r="H345" t="s">
        <v>288</v>
      </c>
      <c r="I345">
        <f t="shared" si="5"/>
        <v>59</v>
      </c>
    </row>
    <row r="346" spans="1:9">
      <c r="A346" s="27">
        <v>0.92</v>
      </c>
      <c r="D346" t="s">
        <v>1019</v>
      </c>
      <c r="E346">
        <v>5</v>
      </c>
      <c r="H346" t="s">
        <v>629</v>
      </c>
      <c r="I346">
        <f t="shared" si="5"/>
        <v>15</v>
      </c>
    </row>
    <row r="347" spans="1:9">
      <c r="A347" s="27">
        <v>76</v>
      </c>
      <c r="D347" t="s">
        <v>761</v>
      </c>
      <c r="E347">
        <v>110</v>
      </c>
      <c r="H347" t="s">
        <v>417</v>
      </c>
      <c r="I347">
        <f t="shared" si="5"/>
        <v>844</v>
      </c>
    </row>
    <row r="348" spans="1:9">
      <c r="A348" s="27">
        <v>304</v>
      </c>
      <c r="D348" t="s">
        <v>1159</v>
      </c>
      <c r="E348">
        <v>284</v>
      </c>
      <c r="H348" t="s">
        <v>244</v>
      </c>
      <c r="I348">
        <f t="shared" si="5"/>
        <v>1082</v>
      </c>
    </row>
    <row r="349" spans="1:9">
      <c r="A349" s="27">
        <v>6</v>
      </c>
      <c r="D349" t="s">
        <v>984</v>
      </c>
      <c r="E349">
        <v>5</v>
      </c>
      <c r="H349" t="s">
        <v>195</v>
      </c>
      <c r="I349">
        <f t="shared" si="5"/>
        <v>7</v>
      </c>
    </row>
    <row r="350" spans="1:9">
      <c r="A350" s="27">
        <v>15</v>
      </c>
      <c r="D350" t="s">
        <v>1088</v>
      </c>
      <c r="E350">
        <v>187</v>
      </c>
      <c r="H350" t="s">
        <v>544</v>
      </c>
      <c r="I350">
        <f t="shared" si="5"/>
        <v>11</v>
      </c>
    </row>
    <row r="351" spans="1:9">
      <c r="A351" s="27">
        <v>42</v>
      </c>
      <c r="D351" t="s">
        <v>262</v>
      </c>
      <c r="E351">
        <v>1222</v>
      </c>
      <c r="H351" t="s">
        <v>531</v>
      </c>
      <c r="I351">
        <f t="shared" si="5"/>
        <v>568</v>
      </c>
    </row>
    <row r="352" spans="1:9">
      <c r="A352" s="27">
        <v>11</v>
      </c>
      <c r="D352" t="s">
        <v>1069</v>
      </c>
      <c r="E352">
        <v>32</v>
      </c>
      <c r="H352" t="s">
        <v>254</v>
      </c>
      <c r="I352">
        <f t="shared" si="5"/>
        <v>484</v>
      </c>
    </row>
    <row r="353" spans="1:9">
      <c r="A353" s="27">
        <v>2220</v>
      </c>
      <c r="D353" t="s">
        <v>567</v>
      </c>
      <c r="E353">
        <v>751</v>
      </c>
      <c r="H353" t="s">
        <v>483</v>
      </c>
      <c r="I353">
        <f t="shared" si="5"/>
        <v>1569</v>
      </c>
    </row>
    <row r="354" spans="1:9">
      <c r="A354" s="27">
        <v>11</v>
      </c>
      <c r="D354" t="s">
        <v>238</v>
      </c>
      <c r="E354">
        <v>129</v>
      </c>
      <c r="H354" t="s">
        <v>566</v>
      </c>
      <c r="I354">
        <f t="shared" si="5"/>
        <v>369</v>
      </c>
    </row>
    <row r="355" spans="1:9">
      <c r="A355" s="29">
        <v>0.82361111111111107</v>
      </c>
      <c r="D355" t="s">
        <v>75</v>
      </c>
      <c r="E355">
        <v>98</v>
      </c>
      <c r="H355" t="s">
        <v>129</v>
      </c>
      <c r="I355">
        <f t="shared" si="5"/>
        <v>863</v>
      </c>
    </row>
    <row r="356" spans="1:9">
      <c r="A356" s="27">
        <v>25</v>
      </c>
      <c r="D356" t="s">
        <v>852</v>
      </c>
      <c r="E356">
        <v>63</v>
      </c>
      <c r="H356" t="s">
        <v>470</v>
      </c>
      <c r="I356">
        <f t="shared" si="5"/>
        <v>803</v>
      </c>
    </row>
    <row r="357" spans="1:9">
      <c r="A357" s="28">
        <v>55.1</v>
      </c>
      <c r="D357" t="s">
        <v>711</v>
      </c>
      <c r="E357">
        <v>3183</v>
      </c>
      <c r="H357" t="s">
        <v>226</v>
      </c>
      <c r="I357">
        <f t="shared" si="5"/>
        <v>265</v>
      </c>
    </row>
    <row r="358" spans="1:9">
      <c r="A358" s="25">
        <v>18</v>
      </c>
      <c r="D358" t="s">
        <v>1064</v>
      </c>
      <c r="E358">
        <v>16</v>
      </c>
      <c r="H358" t="s">
        <v>319</v>
      </c>
      <c r="I358">
        <f t="shared" si="5"/>
        <v>218</v>
      </c>
    </row>
    <row r="359" spans="1:9" ht="30">
      <c r="A359" s="26" t="s">
        <v>406</v>
      </c>
      <c r="D359" t="s">
        <v>325</v>
      </c>
      <c r="E359">
        <v>524</v>
      </c>
      <c r="H359" t="s">
        <v>294</v>
      </c>
      <c r="I359">
        <f t="shared" si="5"/>
        <v>1661</v>
      </c>
    </row>
    <row r="360" spans="1:9">
      <c r="A360" s="27" t="s">
        <v>653</v>
      </c>
      <c r="D360" t="s">
        <v>1097</v>
      </c>
      <c r="E360">
        <v>41</v>
      </c>
      <c r="H360" t="s">
        <v>128</v>
      </c>
      <c r="I360">
        <f t="shared" si="5"/>
        <v>814</v>
      </c>
    </row>
    <row r="361" spans="1:9">
      <c r="A361" s="27">
        <v>992</v>
      </c>
      <c r="D361" t="s">
        <v>585</v>
      </c>
      <c r="E361">
        <v>2361</v>
      </c>
      <c r="H361" t="s">
        <v>19</v>
      </c>
      <c r="I361">
        <f t="shared" si="5"/>
        <v>2986</v>
      </c>
    </row>
    <row r="362" spans="1:9">
      <c r="A362" s="27">
        <v>360</v>
      </c>
      <c r="D362" t="s">
        <v>1123</v>
      </c>
      <c r="E362">
        <v>43</v>
      </c>
      <c r="H362" t="s">
        <v>435</v>
      </c>
      <c r="I362">
        <f t="shared" si="5"/>
        <v>3031</v>
      </c>
    </row>
    <row r="363" spans="1:9">
      <c r="A363" s="27">
        <v>413</v>
      </c>
      <c r="D363" t="s">
        <v>676</v>
      </c>
      <c r="E363">
        <v>69</v>
      </c>
      <c r="H363" t="s">
        <v>550</v>
      </c>
      <c r="I363">
        <f t="shared" si="5"/>
        <v>3159</v>
      </c>
    </row>
    <row r="364" spans="1:9">
      <c r="A364" s="27">
        <v>773</v>
      </c>
      <c r="D364" t="s">
        <v>868</v>
      </c>
      <c r="E364">
        <v>16</v>
      </c>
      <c r="H364" t="s">
        <v>420</v>
      </c>
      <c r="I364">
        <f t="shared" si="5"/>
        <v>772</v>
      </c>
    </row>
    <row r="365" spans="1:9">
      <c r="A365" s="27">
        <v>107</v>
      </c>
      <c r="D365" t="s">
        <v>832</v>
      </c>
      <c r="E365">
        <v>155</v>
      </c>
      <c r="H365" t="s">
        <v>161</v>
      </c>
      <c r="I365">
        <f t="shared" si="5"/>
        <v>272</v>
      </c>
    </row>
    <row r="366" spans="1:9">
      <c r="A366" s="27">
        <v>387</v>
      </c>
      <c r="D366" t="s">
        <v>228</v>
      </c>
      <c r="E366">
        <v>569</v>
      </c>
      <c r="H366" t="s">
        <v>101</v>
      </c>
      <c r="I366">
        <f t="shared" si="5"/>
        <v>493</v>
      </c>
    </row>
    <row r="367" spans="1:9">
      <c r="A367" s="27">
        <v>0.78</v>
      </c>
      <c r="D367" t="s">
        <v>690</v>
      </c>
      <c r="E367">
        <v>12</v>
      </c>
      <c r="H367" t="s">
        <v>520</v>
      </c>
      <c r="I367">
        <f t="shared" si="5"/>
        <v>1924</v>
      </c>
    </row>
    <row r="368" spans="1:9">
      <c r="A368" s="27">
        <v>123</v>
      </c>
      <c r="D368" t="s">
        <v>854</v>
      </c>
      <c r="E368">
        <v>503</v>
      </c>
      <c r="H368" t="s">
        <v>268</v>
      </c>
      <c r="I368">
        <f t="shared" si="5"/>
        <v>353</v>
      </c>
    </row>
    <row r="369" spans="1:9">
      <c r="A369" s="27">
        <v>282</v>
      </c>
      <c r="D369" t="s">
        <v>326</v>
      </c>
      <c r="E369">
        <v>319</v>
      </c>
      <c r="H369" t="s">
        <v>297</v>
      </c>
      <c r="I369">
        <f t="shared" si="5"/>
        <v>329</v>
      </c>
    </row>
    <row r="370" spans="1:9">
      <c r="A370" s="27">
        <v>10</v>
      </c>
      <c r="D370" t="s">
        <v>504</v>
      </c>
      <c r="E370">
        <v>771</v>
      </c>
      <c r="H370" t="s">
        <v>22</v>
      </c>
      <c r="I370">
        <f t="shared" si="5"/>
        <v>41</v>
      </c>
    </row>
    <row r="371" spans="1:9">
      <c r="A371" s="27">
        <v>16</v>
      </c>
      <c r="D371" t="s">
        <v>246</v>
      </c>
      <c r="E371">
        <v>544</v>
      </c>
      <c r="H371" t="s">
        <v>491</v>
      </c>
      <c r="I371">
        <f t="shared" si="5"/>
        <v>3328</v>
      </c>
    </row>
    <row r="372" spans="1:9">
      <c r="A372" s="27">
        <v>61</v>
      </c>
      <c r="D372" t="s">
        <v>71</v>
      </c>
      <c r="E372">
        <v>1140</v>
      </c>
      <c r="H372" t="s">
        <v>255</v>
      </c>
      <c r="I372">
        <f t="shared" si="5"/>
        <v>405</v>
      </c>
    </row>
    <row r="373" spans="1:9">
      <c r="A373" s="27">
        <v>2</v>
      </c>
      <c r="D373" t="s">
        <v>392</v>
      </c>
      <c r="E373">
        <v>45</v>
      </c>
      <c r="H373" t="s">
        <v>503</v>
      </c>
      <c r="I373">
        <f t="shared" si="5"/>
        <v>51</v>
      </c>
    </row>
    <row r="374" spans="1:9">
      <c r="A374" s="27">
        <v>2905</v>
      </c>
      <c r="D374" t="s">
        <v>210</v>
      </c>
      <c r="E374">
        <v>1374</v>
      </c>
      <c r="H374" t="s">
        <v>412</v>
      </c>
      <c r="I374">
        <f t="shared" si="5"/>
        <v>483</v>
      </c>
    </row>
    <row r="375" spans="1:9">
      <c r="A375" s="27">
        <v>12.4</v>
      </c>
      <c r="D375" t="s">
        <v>1034</v>
      </c>
      <c r="E375">
        <v>2</v>
      </c>
      <c r="H375" t="s">
        <v>175</v>
      </c>
      <c r="I375">
        <f t="shared" si="5"/>
        <v>784</v>
      </c>
    </row>
    <row r="376" spans="1:9">
      <c r="A376" s="29">
        <v>0.78611111111111109</v>
      </c>
      <c r="D376" t="s">
        <v>423</v>
      </c>
      <c r="E376">
        <v>162</v>
      </c>
      <c r="H376" t="s">
        <v>526</v>
      </c>
      <c r="I376">
        <f t="shared" si="5"/>
        <v>180</v>
      </c>
    </row>
    <row r="377" spans="1:9">
      <c r="A377" s="27">
        <v>24.8</v>
      </c>
      <c r="D377" t="s">
        <v>678</v>
      </c>
      <c r="E377">
        <v>3</v>
      </c>
      <c r="H377" t="s">
        <v>70</v>
      </c>
      <c r="I377">
        <f t="shared" si="5"/>
        <v>210</v>
      </c>
    </row>
    <row r="378" spans="1:9">
      <c r="A378" s="28">
        <v>54.9</v>
      </c>
      <c r="D378" t="s">
        <v>829</v>
      </c>
      <c r="E378">
        <v>196</v>
      </c>
      <c r="H378" t="s">
        <v>82</v>
      </c>
      <c r="I378">
        <f t="shared" si="5"/>
        <v>983</v>
      </c>
    </row>
    <row r="379" spans="1:9">
      <c r="A379" s="25">
        <v>19</v>
      </c>
      <c r="D379" t="s">
        <v>575</v>
      </c>
      <c r="E379">
        <v>86</v>
      </c>
      <c r="H379" t="s">
        <v>524</v>
      </c>
      <c r="I379">
        <f t="shared" si="5"/>
        <v>1068</v>
      </c>
    </row>
    <row r="380" spans="1:9" ht="30">
      <c r="A380" s="26" t="s">
        <v>444</v>
      </c>
      <c r="D380" t="s">
        <v>969</v>
      </c>
      <c r="E380">
        <v>1</v>
      </c>
      <c r="H380" t="s">
        <v>569</v>
      </c>
      <c r="I380">
        <f t="shared" si="5"/>
        <v>979</v>
      </c>
    </row>
    <row r="381" spans="1:9">
      <c r="A381" s="27" t="s">
        <v>653</v>
      </c>
      <c r="D381" t="s">
        <v>985</v>
      </c>
      <c r="E381">
        <v>0</v>
      </c>
      <c r="H381" t="s">
        <v>260</v>
      </c>
      <c r="I381">
        <f t="shared" si="5"/>
        <v>631</v>
      </c>
    </row>
    <row r="382" spans="1:9">
      <c r="A382" s="27">
        <v>900</v>
      </c>
      <c r="D382" t="s">
        <v>878</v>
      </c>
      <c r="E382">
        <v>0</v>
      </c>
      <c r="H382" t="s">
        <v>476</v>
      </c>
      <c r="I382">
        <f t="shared" si="5"/>
        <v>664</v>
      </c>
    </row>
    <row r="383" spans="1:9">
      <c r="A383" s="27">
        <v>331</v>
      </c>
      <c r="D383" t="s">
        <v>1165</v>
      </c>
      <c r="E383">
        <v>922</v>
      </c>
      <c r="H383" t="s">
        <v>156</v>
      </c>
      <c r="I383">
        <f t="shared" si="5"/>
        <v>282</v>
      </c>
    </row>
    <row r="384" spans="1:9">
      <c r="A384" s="27">
        <v>438</v>
      </c>
      <c r="D384" t="s">
        <v>318</v>
      </c>
      <c r="E384">
        <v>1078</v>
      </c>
      <c r="H384" t="s">
        <v>308</v>
      </c>
      <c r="I384">
        <f t="shared" si="5"/>
        <v>367</v>
      </c>
    </row>
    <row r="385" spans="1:9">
      <c r="A385" s="27">
        <v>769</v>
      </c>
      <c r="D385" t="s">
        <v>962</v>
      </c>
      <c r="E385">
        <v>1</v>
      </c>
      <c r="H385" t="s">
        <v>224</v>
      </c>
      <c r="I385">
        <f t="shared" si="5"/>
        <v>194</v>
      </c>
    </row>
    <row r="386" spans="1:9">
      <c r="A386" s="27">
        <v>190</v>
      </c>
      <c r="D386" t="s">
        <v>1018</v>
      </c>
      <c r="E386">
        <v>6</v>
      </c>
      <c r="H386" t="s">
        <v>320</v>
      </c>
      <c r="I386">
        <f t="shared" si="5"/>
        <v>111</v>
      </c>
    </row>
    <row r="387" spans="1:9">
      <c r="A387" s="27">
        <v>499</v>
      </c>
      <c r="D387" t="s">
        <v>25</v>
      </c>
      <c r="E387">
        <v>352</v>
      </c>
      <c r="H387" t="s">
        <v>398</v>
      </c>
      <c r="I387">
        <f t="shared" ref="I387:I450" si="6">VLOOKUP(H387,$D$2:$E$984,2)</f>
        <v>1563</v>
      </c>
    </row>
    <row r="388" spans="1:9">
      <c r="A388" s="27">
        <v>0.85</v>
      </c>
      <c r="D388" t="s">
        <v>1129</v>
      </c>
      <c r="E388">
        <v>105</v>
      </c>
      <c r="H388" t="s">
        <v>640</v>
      </c>
      <c r="I388">
        <f t="shared" si="6"/>
        <v>770</v>
      </c>
    </row>
    <row r="389" spans="1:9">
      <c r="A389" s="27">
        <v>80</v>
      </c>
      <c r="D389" t="s">
        <v>240</v>
      </c>
      <c r="E389">
        <v>822</v>
      </c>
      <c r="H389" t="s">
        <v>396</v>
      </c>
      <c r="I389">
        <f t="shared" si="6"/>
        <v>1367</v>
      </c>
    </row>
    <row r="390" spans="1:9">
      <c r="A390" s="27">
        <v>204</v>
      </c>
      <c r="D390" t="s">
        <v>209</v>
      </c>
      <c r="E390">
        <v>576</v>
      </c>
      <c r="H390" t="s">
        <v>447</v>
      </c>
      <c r="I390">
        <f t="shared" si="6"/>
        <v>196</v>
      </c>
    </row>
    <row r="391" spans="1:9">
      <c r="A391" s="27">
        <v>15</v>
      </c>
      <c r="D391" t="s">
        <v>1148</v>
      </c>
      <c r="E391">
        <v>294</v>
      </c>
      <c r="H391" t="s">
        <v>236</v>
      </c>
      <c r="I391">
        <f t="shared" si="6"/>
        <v>480</v>
      </c>
    </row>
    <row r="392" spans="1:9">
      <c r="A392" s="27">
        <v>30</v>
      </c>
      <c r="D392" t="s">
        <v>59</v>
      </c>
      <c r="E392">
        <v>1174</v>
      </c>
      <c r="H392" t="s">
        <v>342</v>
      </c>
      <c r="I392">
        <f t="shared" si="6"/>
        <v>937</v>
      </c>
    </row>
    <row r="393" spans="1:9">
      <c r="A393" s="27">
        <v>64</v>
      </c>
      <c r="D393" t="s">
        <v>508</v>
      </c>
      <c r="E393">
        <v>445</v>
      </c>
      <c r="H393" t="s">
        <v>559</v>
      </c>
      <c r="I393">
        <f t="shared" si="6"/>
        <v>2309</v>
      </c>
    </row>
    <row r="394" spans="1:9">
      <c r="A394" s="27">
        <v>13</v>
      </c>
      <c r="D394" t="s">
        <v>479</v>
      </c>
      <c r="E394">
        <v>370</v>
      </c>
      <c r="H394" t="s">
        <v>329</v>
      </c>
      <c r="I394">
        <f t="shared" si="6"/>
        <v>64</v>
      </c>
    </row>
    <row r="395" spans="1:9">
      <c r="A395" s="27">
        <v>2381</v>
      </c>
      <c r="D395" t="s">
        <v>844</v>
      </c>
      <c r="E395">
        <v>21</v>
      </c>
      <c r="H395" t="s">
        <v>347</v>
      </c>
      <c r="I395">
        <f t="shared" si="6"/>
        <v>1267</v>
      </c>
    </row>
    <row r="396" spans="1:9">
      <c r="A396" s="27">
        <v>13.9</v>
      </c>
      <c r="D396" t="s">
        <v>657</v>
      </c>
      <c r="E396">
        <v>11</v>
      </c>
      <c r="H396" t="s">
        <v>278</v>
      </c>
      <c r="I396">
        <f t="shared" si="6"/>
        <v>23</v>
      </c>
    </row>
    <row r="397" spans="1:9">
      <c r="A397" s="29">
        <v>0.82777777777777783</v>
      </c>
      <c r="D397" t="s">
        <v>571</v>
      </c>
      <c r="E397">
        <v>1292</v>
      </c>
      <c r="H397" t="s">
        <v>394</v>
      </c>
      <c r="I397">
        <f t="shared" si="6"/>
        <v>1079</v>
      </c>
    </row>
    <row r="398" spans="1:9">
      <c r="A398" s="27">
        <v>25.3</v>
      </c>
      <c r="D398" t="s">
        <v>233</v>
      </c>
      <c r="E398">
        <v>2166</v>
      </c>
      <c r="H398" t="s">
        <v>474</v>
      </c>
      <c r="I398">
        <f t="shared" si="6"/>
        <v>1306</v>
      </c>
    </row>
    <row r="399" spans="1:9">
      <c r="A399" s="28">
        <v>56.8</v>
      </c>
      <c r="D399" t="s">
        <v>185</v>
      </c>
      <c r="E399">
        <v>415</v>
      </c>
      <c r="H399" t="s">
        <v>314</v>
      </c>
      <c r="I399">
        <f t="shared" si="6"/>
        <v>1746</v>
      </c>
    </row>
    <row r="400" spans="1:9">
      <c r="A400" s="25">
        <v>20</v>
      </c>
      <c r="D400" t="s">
        <v>986</v>
      </c>
      <c r="E400">
        <v>1</v>
      </c>
      <c r="H400" t="s">
        <v>201</v>
      </c>
      <c r="I400">
        <f t="shared" si="6"/>
        <v>434</v>
      </c>
    </row>
    <row r="401" spans="1:9" ht="30">
      <c r="A401" s="26" t="s">
        <v>452</v>
      </c>
      <c r="D401" t="s">
        <v>473</v>
      </c>
      <c r="E401">
        <v>2391</v>
      </c>
      <c r="H401" t="s">
        <v>519</v>
      </c>
      <c r="I401">
        <f t="shared" si="6"/>
        <v>405</v>
      </c>
    </row>
    <row r="402" spans="1:9">
      <c r="A402" s="27" t="s">
        <v>44</v>
      </c>
      <c r="D402" t="s">
        <v>232</v>
      </c>
      <c r="E402">
        <v>1990</v>
      </c>
      <c r="H402" t="s">
        <v>457</v>
      </c>
      <c r="I402">
        <f t="shared" si="6"/>
        <v>1894</v>
      </c>
    </row>
    <row r="403" spans="1:9">
      <c r="A403" s="27">
        <v>974</v>
      </c>
      <c r="D403" t="s">
        <v>593</v>
      </c>
      <c r="E403">
        <v>2150</v>
      </c>
      <c r="H403" t="s">
        <v>466</v>
      </c>
      <c r="I403">
        <f t="shared" si="6"/>
        <v>1709</v>
      </c>
    </row>
    <row r="404" spans="1:9">
      <c r="A404" s="27">
        <v>373</v>
      </c>
      <c r="D404" t="s">
        <v>405</v>
      </c>
      <c r="E404">
        <v>262</v>
      </c>
      <c r="H404" t="s">
        <v>211</v>
      </c>
      <c r="I404">
        <f t="shared" si="6"/>
        <v>30</v>
      </c>
    </row>
    <row r="405" spans="1:9">
      <c r="A405" s="27">
        <v>390</v>
      </c>
      <c r="D405" t="s">
        <v>1080</v>
      </c>
      <c r="E405">
        <v>121</v>
      </c>
      <c r="H405" t="s">
        <v>81</v>
      </c>
      <c r="I405">
        <f t="shared" si="6"/>
        <v>767</v>
      </c>
    </row>
    <row r="406" spans="1:9">
      <c r="A406" s="27">
        <v>763</v>
      </c>
      <c r="D406" t="s">
        <v>963</v>
      </c>
      <c r="E406">
        <v>12</v>
      </c>
      <c r="H406" t="s">
        <v>572</v>
      </c>
      <c r="I406">
        <f t="shared" si="6"/>
        <v>63</v>
      </c>
    </row>
    <row r="407" spans="1:9">
      <c r="A407" s="27">
        <v>74</v>
      </c>
      <c r="D407" t="s">
        <v>215</v>
      </c>
      <c r="E407">
        <v>495</v>
      </c>
      <c r="H407" t="s">
        <v>295</v>
      </c>
      <c r="I407">
        <f t="shared" si="6"/>
        <v>757</v>
      </c>
    </row>
    <row r="408" spans="1:9">
      <c r="A408" s="27">
        <v>374</v>
      </c>
      <c r="D408" t="s">
        <v>455</v>
      </c>
      <c r="E408">
        <v>995</v>
      </c>
      <c r="H408" t="s">
        <v>307</v>
      </c>
      <c r="I408">
        <f t="shared" si="6"/>
        <v>65</v>
      </c>
    </row>
    <row r="409" spans="1:9">
      <c r="A409" s="27">
        <v>0.78</v>
      </c>
      <c r="D409" t="s">
        <v>820</v>
      </c>
      <c r="E409">
        <v>6</v>
      </c>
      <c r="H409" t="s">
        <v>328</v>
      </c>
      <c r="I409">
        <f t="shared" si="6"/>
        <v>238</v>
      </c>
    </row>
    <row r="410" spans="1:9">
      <c r="A410" s="27">
        <v>113</v>
      </c>
      <c r="D410" t="s">
        <v>1092</v>
      </c>
      <c r="E410">
        <v>23</v>
      </c>
      <c r="H410" t="s">
        <v>222</v>
      </c>
      <c r="I410">
        <f t="shared" si="6"/>
        <v>1270</v>
      </c>
    </row>
    <row r="411" spans="1:9">
      <c r="A411" s="27">
        <v>231</v>
      </c>
      <c r="D411" t="s">
        <v>481</v>
      </c>
      <c r="E411">
        <v>815</v>
      </c>
      <c r="H411" t="s">
        <v>30</v>
      </c>
      <c r="I411">
        <f t="shared" si="6"/>
        <v>326</v>
      </c>
    </row>
    <row r="412" spans="1:9">
      <c r="A412" s="27">
        <v>7</v>
      </c>
      <c r="D412" t="s">
        <v>401</v>
      </c>
      <c r="E412">
        <v>153</v>
      </c>
      <c r="H412" t="s">
        <v>235</v>
      </c>
      <c r="I412">
        <f t="shared" si="6"/>
        <v>739</v>
      </c>
    </row>
    <row r="413" spans="1:9">
      <c r="A413" s="27">
        <v>16</v>
      </c>
      <c r="D413" t="s">
        <v>61</v>
      </c>
      <c r="E413">
        <v>2435</v>
      </c>
      <c r="H413" t="s">
        <v>522</v>
      </c>
      <c r="I413">
        <f t="shared" si="6"/>
        <v>507</v>
      </c>
    </row>
    <row r="414" spans="1:9">
      <c r="A414" s="27">
        <v>72</v>
      </c>
      <c r="D414" t="s">
        <v>458</v>
      </c>
      <c r="E414">
        <v>1025</v>
      </c>
      <c r="H414" t="s">
        <v>100</v>
      </c>
      <c r="I414">
        <f t="shared" si="6"/>
        <v>2561</v>
      </c>
    </row>
    <row r="415" spans="1:9">
      <c r="A415" s="27">
        <v>8</v>
      </c>
      <c r="D415" t="s">
        <v>680</v>
      </c>
      <c r="E415">
        <v>597</v>
      </c>
      <c r="H415" t="s">
        <v>207</v>
      </c>
      <c r="I415">
        <f t="shared" si="6"/>
        <v>3109</v>
      </c>
    </row>
    <row r="416" spans="1:9">
      <c r="A416" s="27">
        <v>3228</v>
      </c>
      <c r="D416" t="s">
        <v>309</v>
      </c>
      <c r="E416">
        <v>1776</v>
      </c>
      <c r="H416" t="s">
        <v>259</v>
      </c>
      <c r="I416">
        <f t="shared" si="6"/>
        <v>109</v>
      </c>
    </row>
    <row r="417" spans="1:9">
      <c r="A417" s="27">
        <v>11.6</v>
      </c>
      <c r="D417" t="s">
        <v>107</v>
      </c>
      <c r="E417">
        <v>40</v>
      </c>
      <c r="H417" t="s">
        <v>28</v>
      </c>
      <c r="I417">
        <f t="shared" si="6"/>
        <v>244</v>
      </c>
    </row>
    <row r="418" spans="1:9">
      <c r="A418" s="29">
        <v>0.7715277777777777</v>
      </c>
      <c r="D418" t="s">
        <v>1071</v>
      </c>
      <c r="E418">
        <v>38</v>
      </c>
      <c r="H418" t="s">
        <v>133</v>
      </c>
      <c r="I418">
        <f t="shared" si="6"/>
        <v>2389</v>
      </c>
    </row>
    <row r="419" spans="1:9">
      <c r="A419" s="27">
        <v>22.7</v>
      </c>
      <c r="D419" t="s">
        <v>942</v>
      </c>
      <c r="E419">
        <v>134</v>
      </c>
      <c r="H419" t="s">
        <v>499</v>
      </c>
      <c r="I419">
        <f t="shared" si="6"/>
        <v>437</v>
      </c>
    </row>
    <row r="420" spans="1:9">
      <c r="A420" s="28">
        <v>43.4</v>
      </c>
      <c r="D420" t="s">
        <v>1061</v>
      </c>
      <c r="E420">
        <v>4</v>
      </c>
      <c r="H420" t="s">
        <v>181</v>
      </c>
      <c r="I420">
        <f t="shared" si="6"/>
        <v>1585</v>
      </c>
    </row>
    <row r="421" spans="1:9">
      <c r="A421" s="25">
        <v>21</v>
      </c>
      <c r="D421" t="s">
        <v>143</v>
      </c>
      <c r="E421">
        <v>745</v>
      </c>
      <c r="H421" t="s">
        <v>336</v>
      </c>
      <c r="I421">
        <f t="shared" si="6"/>
        <v>9</v>
      </c>
    </row>
    <row r="422" spans="1:9" ht="30">
      <c r="A422" s="26" t="s">
        <v>912</v>
      </c>
      <c r="D422" t="s">
        <v>725</v>
      </c>
      <c r="E422">
        <v>31</v>
      </c>
      <c r="H422" t="s">
        <v>506</v>
      </c>
      <c r="I422">
        <f t="shared" si="6"/>
        <v>828</v>
      </c>
    </row>
    <row r="423" spans="1:9">
      <c r="A423" s="27" t="s">
        <v>43</v>
      </c>
      <c r="D423" t="s">
        <v>579</v>
      </c>
      <c r="E423">
        <v>3299</v>
      </c>
      <c r="H423" t="s">
        <v>289</v>
      </c>
      <c r="I423">
        <f t="shared" si="6"/>
        <v>1968</v>
      </c>
    </row>
    <row r="424" spans="1:9">
      <c r="A424" s="27">
        <v>842</v>
      </c>
      <c r="D424" t="s">
        <v>94</v>
      </c>
      <c r="E424">
        <v>1117</v>
      </c>
      <c r="H424" t="s">
        <v>206</v>
      </c>
      <c r="I424">
        <f t="shared" si="6"/>
        <v>71</v>
      </c>
    </row>
    <row r="425" spans="1:9">
      <c r="A425" s="27">
        <v>337</v>
      </c>
      <c r="D425" t="s">
        <v>393</v>
      </c>
      <c r="E425">
        <v>2279</v>
      </c>
      <c r="H425" t="s">
        <v>249</v>
      </c>
      <c r="I425">
        <f t="shared" si="6"/>
        <v>804</v>
      </c>
    </row>
    <row r="426" spans="1:9">
      <c r="A426" s="27">
        <v>407</v>
      </c>
      <c r="D426" t="s">
        <v>1036</v>
      </c>
      <c r="E426">
        <v>11</v>
      </c>
      <c r="H426" t="s">
        <v>139</v>
      </c>
      <c r="I426">
        <f t="shared" si="6"/>
        <v>356</v>
      </c>
    </row>
    <row r="427" spans="1:9">
      <c r="A427" s="27">
        <v>744</v>
      </c>
      <c r="D427" t="s">
        <v>284</v>
      </c>
      <c r="E427">
        <v>23</v>
      </c>
      <c r="H427" t="s">
        <v>545</v>
      </c>
      <c r="I427">
        <f t="shared" si="6"/>
        <v>113</v>
      </c>
    </row>
    <row r="428" spans="1:9">
      <c r="A428" s="27">
        <v>181</v>
      </c>
      <c r="D428" t="s">
        <v>285</v>
      </c>
      <c r="E428">
        <v>218</v>
      </c>
      <c r="H428" t="s">
        <v>551</v>
      </c>
      <c r="I428">
        <f t="shared" si="6"/>
        <v>626</v>
      </c>
    </row>
    <row r="429" spans="1:9">
      <c r="A429" s="27">
        <v>385</v>
      </c>
      <c r="D429" t="s">
        <v>271</v>
      </c>
      <c r="E429">
        <v>376</v>
      </c>
      <c r="H429" t="s">
        <v>186</v>
      </c>
      <c r="I429">
        <f t="shared" si="6"/>
        <v>657</v>
      </c>
    </row>
    <row r="430" spans="1:9">
      <c r="A430" s="27">
        <v>0.88</v>
      </c>
      <c r="D430" t="s">
        <v>807</v>
      </c>
      <c r="E430">
        <v>163</v>
      </c>
      <c r="H430" t="s">
        <v>546</v>
      </c>
      <c r="I430">
        <f t="shared" si="6"/>
        <v>952</v>
      </c>
    </row>
    <row r="431" spans="1:9">
      <c r="A431" s="27">
        <v>89</v>
      </c>
      <c r="D431" t="s">
        <v>956</v>
      </c>
      <c r="E431">
        <v>1</v>
      </c>
      <c r="H431" t="s">
        <v>97</v>
      </c>
      <c r="I431">
        <f t="shared" si="6"/>
        <v>1179</v>
      </c>
    </row>
    <row r="432" spans="1:9">
      <c r="A432" s="27">
        <v>237</v>
      </c>
      <c r="D432" t="s">
        <v>83</v>
      </c>
      <c r="E432">
        <v>448</v>
      </c>
      <c r="H432" t="s">
        <v>171</v>
      </c>
      <c r="I432">
        <f t="shared" si="6"/>
        <v>51</v>
      </c>
    </row>
    <row r="433" spans="1:9">
      <c r="A433" s="27">
        <v>30</v>
      </c>
      <c r="D433" t="s">
        <v>864</v>
      </c>
      <c r="E433">
        <v>473</v>
      </c>
      <c r="H433" t="s">
        <v>51</v>
      </c>
      <c r="I433">
        <f t="shared" si="6"/>
        <v>180</v>
      </c>
    </row>
    <row r="434" spans="1:9">
      <c r="A434" s="27">
        <v>39</v>
      </c>
      <c r="D434" t="s">
        <v>737</v>
      </c>
      <c r="E434">
        <v>22</v>
      </c>
      <c r="H434" t="s">
        <v>530</v>
      </c>
      <c r="I434">
        <f t="shared" si="6"/>
        <v>1080</v>
      </c>
    </row>
    <row r="435" spans="1:9">
      <c r="A435" s="27">
        <v>53</v>
      </c>
      <c r="D435" t="s">
        <v>589</v>
      </c>
      <c r="E435">
        <v>132</v>
      </c>
      <c r="H435" t="s">
        <v>225</v>
      </c>
      <c r="I435">
        <f t="shared" si="6"/>
        <v>555</v>
      </c>
    </row>
    <row r="436" spans="1:9">
      <c r="A436" s="27">
        <v>12</v>
      </c>
      <c r="D436" t="s">
        <v>1072</v>
      </c>
      <c r="E436">
        <v>24</v>
      </c>
      <c r="H436" t="s">
        <v>229</v>
      </c>
      <c r="I436">
        <f t="shared" si="6"/>
        <v>240</v>
      </c>
    </row>
    <row r="437" spans="1:9">
      <c r="A437" s="27">
        <v>2866</v>
      </c>
      <c r="D437" t="s">
        <v>1122</v>
      </c>
      <c r="E437">
        <v>206</v>
      </c>
      <c r="H437" t="s">
        <v>298</v>
      </c>
      <c r="I437">
        <f t="shared" si="6"/>
        <v>1713</v>
      </c>
    </row>
    <row r="438" spans="1:9">
      <c r="A438" s="27">
        <v>11.8</v>
      </c>
      <c r="D438" t="s">
        <v>406</v>
      </c>
      <c r="E438">
        <v>2905</v>
      </c>
      <c r="H438" t="s">
        <v>573</v>
      </c>
      <c r="I438">
        <f t="shared" si="6"/>
        <v>62</v>
      </c>
    </row>
    <row r="439" spans="1:9">
      <c r="A439" s="29">
        <v>0.8027777777777777</v>
      </c>
      <c r="D439" t="s">
        <v>554</v>
      </c>
      <c r="E439">
        <v>1905</v>
      </c>
      <c r="H439" t="s">
        <v>422</v>
      </c>
      <c r="I439">
        <f t="shared" si="6"/>
        <v>54</v>
      </c>
    </row>
    <row r="440" spans="1:9">
      <c r="A440" s="27">
        <v>24.8</v>
      </c>
      <c r="D440" t="s">
        <v>88</v>
      </c>
      <c r="E440">
        <v>510</v>
      </c>
      <c r="H440" t="s">
        <v>151</v>
      </c>
      <c r="I440">
        <f t="shared" si="6"/>
        <v>278</v>
      </c>
    </row>
    <row r="441" spans="1:9">
      <c r="A441" s="28">
        <v>30</v>
      </c>
      <c r="D441" t="s">
        <v>237</v>
      </c>
      <c r="E441">
        <v>436</v>
      </c>
      <c r="H441" t="s">
        <v>147</v>
      </c>
      <c r="I441">
        <f t="shared" si="6"/>
        <v>1223</v>
      </c>
    </row>
    <row r="442" spans="1:9">
      <c r="A442" s="25">
        <v>22</v>
      </c>
      <c r="D442" t="s">
        <v>459</v>
      </c>
      <c r="E442">
        <v>294</v>
      </c>
      <c r="H442" t="s">
        <v>179</v>
      </c>
      <c r="I442">
        <f t="shared" si="6"/>
        <v>5</v>
      </c>
    </row>
    <row r="443" spans="1:9" ht="30">
      <c r="A443" s="26" t="s">
        <v>62</v>
      </c>
      <c r="D443" t="s">
        <v>1032</v>
      </c>
      <c r="E443">
        <v>40</v>
      </c>
      <c r="H443" t="s">
        <v>505</v>
      </c>
      <c r="I443">
        <f t="shared" si="6"/>
        <v>1095</v>
      </c>
    </row>
    <row r="444" spans="1:9">
      <c r="A444" s="27" t="s">
        <v>653</v>
      </c>
      <c r="D444" t="s">
        <v>1066</v>
      </c>
      <c r="E444">
        <v>30</v>
      </c>
      <c r="H444" t="s">
        <v>410</v>
      </c>
      <c r="I444">
        <f t="shared" si="6"/>
        <v>2458</v>
      </c>
    </row>
    <row r="445" spans="1:9">
      <c r="A445" s="27">
        <v>774</v>
      </c>
      <c r="D445" t="s">
        <v>801</v>
      </c>
      <c r="E445">
        <v>26</v>
      </c>
      <c r="H445" t="s">
        <v>590</v>
      </c>
      <c r="I445">
        <f t="shared" si="6"/>
        <v>1273</v>
      </c>
    </row>
    <row r="446" spans="1:9">
      <c r="A446" s="27">
        <v>329</v>
      </c>
      <c r="D446" t="s">
        <v>1005</v>
      </c>
      <c r="E446">
        <v>14</v>
      </c>
      <c r="H446" t="s">
        <v>50</v>
      </c>
      <c r="I446">
        <f t="shared" si="6"/>
        <v>1143</v>
      </c>
    </row>
    <row r="447" spans="1:9">
      <c r="A447" s="27">
        <v>400</v>
      </c>
      <c r="D447" t="s">
        <v>695</v>
      </c>
      <c r="E447">
        <v>49</v>
      </c>
      <c r="H447" t="s">
        <v>331</v>
      </c>
      <c r="I447">
        <f t="shared" si="6"/>
        <v>283</v>
      </c>
    </row>
    <row r="448" spans="1:9">
      <c r="A448" s="27">
        <v>729</v>
      </c>
      <c r="D448" t="s">
        <v>764</v>
      </c>
      <c r="E448">
        <v>1607</v>
      </c>
      <c r="H448" t="s">
        <v>335</v>
      </c>
      <c r="I448">
        <f t="shared" si="6"/>
        <v>383</v>
      </c>
    </row>
    <row r="449" spans="1:9">
      <c r="A449" s="27">
        <v>-26</v>
      </c>
      <c r="D449" t="s">
        <v>76</v>
      </c>
      <c r="E449">
        <v>410</v>
      </c>
      <c r="H449" t="s">
        <v>157</v>
      </c>
      <c r="I449">
        <f t="shared" si="6"/>
        <v>1376</v>
      </c>
    </row>
    <row r="450" spans="1:9">
      <c r="A450" s="27">
        <v>349</v>
      </c>
      <c r="D450" t="s">
        <v>172</v>
      </c>
      <c r="E450">
        <v>1625</v>
      </c>
      <c r="H450" t="s">
        <v>125</v>
      </c>
      <c r="I450">
        <f t="shared" si="6"/>
        <v>1425</v>
      </c>
    </row>
    <row r="451" spans="1:9">
      <c r="A451" s="27">
        <v>0.94</v>
      </c>
      <c r="D451" t="s">
        <v>72</v>
      </c>
      <c r="E451">
        <v>75</v>
      </c>
      <c r="H451" t="s">
        <v>93</v>
      </c>
      <c r="I451">
        <f t="shared" ref="I451:I472" si="7">VLOOKUP(H451,$D$2:$E$984,2)</f>
        <v>142</v>
      </c>
    </row>
    <row r="452" spans="1:9">
      <c r="A452" s="27">
        <v>94</v>
      </c>
      <c r="D452" t="s">
        <v>290</v>
      </c>
      <c r="E452">
        <v>128</v>
      </c>
      <c r="H452" t="s">
        <v>338</v>
      </c>
      <c r="I452">
        <f t="shared" si="7"/>
        <v>886</v>
      </c>
    </row>
    <row r="453" spans="1:9">
      <c r="A453" s="27">
        <v>238</v>
      </c>
      <c r="D453" t="s">
        <v>663</v>
      </c>
      <c r="E453">
        <v>800</v>
      </c>
      <c r="H453" t="s">
        <v>310</v>
      </c>
      <c r="I453">
        <f t="shared" si="7"/>
        <v>351</v>
      </c>
    </row>
    <row r="454" spans="1:9">
      <c r="A454" s="27">
        <v>3</v>
      </c>
      <c r="D454" t="s">
        <v>214</v>
      </c>
      <c r="E454">
        <v>35</v>
      </c>
      <c r="H454" t="s">
        <v>489</v>
      </c>
      <c r="I454">
        <f t="shared" si="7"/>
        <v>363</v>
      </c>
    </row>
    <row r="455" spans="1:9">
      <c r="A455" s="27">
        <v>6</v>
      </c>
      <c r="D455" t="s">
        <v>1161</v>
      </c>
      <c r="E455">
        <v>731</v>
      </c>
      <c r="H455" t="s">
        <v>86</v>
      </c>
      <c r="I455">
        <f t="shared" si="7"/>
        <v>721</v>
      </c>
    </row>
    <row r="456" spans="1:9">
      <c r="A456" s="27">
        <v>52</v>
      </c>
      <c r="D456" t="s">
        <v>902</v>
      </c>
      <c r="E456">
        <v>42</v>
      </c>
      <c r="H456" t="s">
        <v>257</v>
      </c>
      <c r="I456">
        <f t="shared" si="7"/>
        <v>30</v>
      </c>
    </row>
    <row r="457" spans="1:9">
      <c r="A457" s="27">
        <v>14</v>
      </c>
      <c r="D457" t="s">
        <v>62</v>
      </c>
      <c r="E457">
        <v>2459</v>
      </c>
      <c r="H457" t="s">
        <v>333</v>
      </c>
      <c r="I457">
        <f t="shared" si="7"/>
        <v>39</v>
      </c>
    </row>
    <row r="458" spans="1:9">
      <c r="A458" s="27">
        <v>2459</v>
      </c>
      <c r="D458" t="s">
        <v>203</v>
      </c>
      <c r="E458">
        <v>1486</v>
      </c>
      <c r="H458" t="s">
        <v>239</v>
      </c>
      <c r="I458">
        <f t="shared" si="7"/>
        <v>163</v>
      </c>
    </row>
    <row r="459" spans="1:9">
      <c r="A459" s="27">
        <v>13.4</v>
      </c>
      <c r="D459" t="s">
        <v>903</v>
      </c>
      <c r="E459">
        <v>1118</v>
      </c>
      <c r="H459" t="s">
        <v>293</v>
      </c>
      <c r="I459">
        <f t="shared" si="7"/>
        <v>1925</v>
      </c>
    </row>
    <row r="460" spans="1:9">
      <c r="A460" s="29">
        <v>0.82847222222222217</v>
      </c>
      <c r="D460" t="s">
        <v>1138</v>
      </c>
      <c r="E460">
        <v>293</v>
      </c>
      <c r="H460" t="s">
        <v>286</v>
      </c>
      <c r="I460">
        <f t="shared" si="7"/>
        <v>230</v>
      </c>
    </row>
    <row r="461" spans="1:9">
      <c r="A461" s="27">
        <v>22.6</v>
      </c>
      <c r="D461" t="s">
        <v>446</v>
      </c>
      <c r="E461">
        <v>585</v>
      </c>
      <c r="H461" t="s">
        <v>511</v>
      </c>
      <c r="I461">
        <f t="shared" si="7"/>
        <v>231</v>
      </c>
    </row>
    <row r="462" spans="1:9">
      <c r="A462" s="28">
        <v>51.7</v>
      </c>
      <c r="D462" t="s">
        <v>183</v>
      </c>
      <c r="E462">
        <v>33</v>
      </c>
      <c r="H462" t="s">
        <v>516</v>
      </c>
      <c r="I462">
        <f t="shared" si="7"/>
        <v>654</v>
      </c>
    </row>
    <row r="463" spans="1:9">
      <c r="A463" s="25">
        <v>23</v>
      </c>
      <c r="D463" t="s">
        <v>994</v>
      </c>
      <c r="E463">
        <v>3</v>
      </c>
      <c r="H463" t="s">
        <v>60</v>
      </c>
      <c r="I463">
        <f t="shared" si="7"/>
        <v>648</v>
      </c>
    </row>
    <row r="464" spans="1:9" ht="30">
      <c r="A464" s="26" t="s">
        <v>579</v>
      </c>
      <c r="D464" t="s">
        <v>840</v>
      </c>
      <c r="E464">
        <v>682</v>
      </c>
      <c r="H464" t="s">
        <v>353</v>
      </c>
      <c r="I464">
        <f t="shared" si="7"/>
        <v>603</v>
      </c>
    </row>
    <row r="465" spans="1:9">
      <c r="A465" s="27" t="s">
        <v>653</v>
      </c>
      <c r="D465" t="s">
        <v>670</v>
      </c>
      <c r="E465">
        <v>683</v>
      </c>
      <c r="H465" t="s">
        <v>536</v>
      </c>
      <c r="I465">
        <f t="shared" si="7"/>
        <v>276</v>
      </c>
    </row>
    <row r="466" spans="1:9">
      <c r="A466" s="27">
        <v>1009</v>
      </c>
      <c r="D466" t="s">
        <v>109</v>
      </c>
      <c r="E466">
        <v>1143</v>
      </c>
      <c r="H466" t="s">
        <v>452</v>
      </c>
      <c r="I466">
        <f t="shared" si="7"/>
        <v>3228</v>
      </c>
    </row>
    <row r="467" spans="1:9">
      <c r="A467" s="27">
        <v>373</v>
      </c>
      <c r="D467" t="s">
        <v>835</v>
      </c>
      <c r="E467">
        <v>927</v>
      </c>
      <c r="H467" t="s">
        <v>316</v>
      </c>
      <c r="I467">
        <f t="shared" si="7"/>
        <v>145</v>
      </c>
    </row>
    <row r="468" spans="1:9">
      <c r="A468" s="27">
        <v>344</v>
      </c>
      <c r="D468" t="s">
        <v>444</v>
      </c>
      <c r="E468">
        <v>2381</v>
      </c>
      <c r="H468" t="s">
        <v>265</v>
      </c>
      <c r="I468">
        <f t="shared" si="7"/>
        <v>0</v>
      </c>
    </row>
    <row r="469" spans="1:9">
      <c r="A469" s="27">
        <v>717</v>
      </c>
      <c r="D469" t="s">
        <v>869</v>
      </c>
      <c r="E469">
        <v>92</v>
      </c>
      <c r="H469" t="s">
        <v>469</v>
      </c>
      <c r="I469">
        <f t="shared" si="7"/>
        <v>645</v>
      </c>
    </row>
    <row r="470" spans="1:9">
      <c r="A470" s="27">
        <v>49</v>
      </c>
      <c r="D470" t="s">
        <v>1016</v>
      </c>
      <c r="E470">
        <v>6</v>
      </c>
      <c r="H470" t="s">
        <v>442</v>
      </c>
      <c r="I470">
        <f t="shared" si="7"/>
        <v>1013</v>
      </c>
    </row>
    <row r="471" spans="1:9">
      <c r="A471" s="27">
        <v>519</v>
      </c>
      <c r="D471" t="s">
        <v>327</v>
      </c>
      <c r="E471">
        <v>500</v>
      </c>
      <c r="H471" t="s">
        <v>23</v>
      </c>
      <c r="I471">
        <f t="shared" si="7"/>
        <v>2574</v>
      </c>
    </row>
    <row r="472" spans="1:9">
      <c r="A472" s="27">
        <v>0.71</v>
      </c>
      <c r="D472" t="s">
        <v>196</v>
      </c>
      <c r="E472">
        <v>1611</v>
      </c>
      <c r="H472" t="s">
        <v>73</v>
      </c>
      <c r="I472">
        <f t="shared" si="7"/>
        <v>673</v>
      </c>
    </row>
    <row r="473" spans="1:9">
      <c r="A473" s="27">
        <v>110</v>
      </c>
      <c r="D473" t="s">
        <v>450</v>
      </c>
      <c r="E473">
        <v>148</v>
      </c>
    </row>
    <row r="474" spans="1:9">
      <c r="A474" s="27">
        <v>211</v>
      </c>
      <c r="D474" t="s">
        <v>652</v>
      </c>
      <c r="E474">
        <v>16</v>
      </c>
    </row>
    <row r="475" spans="1:9">
      <c r="A475" s="27">
        <v>18</v>
      </c>
      <c r="D475" t="s">
        <v>825</v>
      </c>
      <c r="E475">
        <v>495</v>
      </c>
    </row>
    <row r="476" spans="1:9">
      <c r="A476" s="27">
        <v>23</v>
      </c>
      <c r="D476" t="s">
        <v>936</v>
      </c>
      <c r="E476">
        <v>299</v>
      </c>
    </row>
    <row r="477" spans="1:9">
      <c r="A477" s="27">
        <v>80</v>
      </c>
      <c r="D477" t="s">
        <v>1109</v>
      </c>
      <c r="E477">
        <v>232</v>
      </c>
    </row>
    <row r="478" spans="1:9">
      <c r="A478" s="27">
        <v>13</v>
      </c>
      <c r="D478" t="s">
        <v>1042</v>
      </c>
      <c r="E478">
        <v>21</v>
      </c>
    </row>
    <row r="479" spans="1:9">
      <c r="A479" s="27">
        <v>3299</v>
      </c>
      <c r="D479" t="s">
        <v>247</v>
      </c>
      <c r="E479">
        <v>1931</v>
      </c>
    </row>
    <row r="480" spans="1:9">
      <c r="A480" s="27">
        <v>11.3</v>
      </c>
      <c r="D480" t="s">
        <v>855</v>
      </c>
      <c r="E480">
        <v>54</v>
      </c>
    </row>
    <row r="481" spans="1:5">
      <c r="A481" s="29">
        <v>0.75624999999999998</v>
      </c>
      <c r="D481" t="s">
        <v>99</v>
      </c>
      <c r="E481">
        <v>265</v>
      </c>
    </row>
    <row r="482" spans="1:5">
      <c r="A482" s="27">
        <v>23.5</v>
      </c>
      <c r="D482" t="s">
        <v>751</v>
      </c>
      <c r="E482">
        <v>556</v>
      </c>
    </row>
    <row r="483" spans="1:5">
      <c r="A483" s="28">
        <v>50.4</v>
      </c>
      <c r="D483" t="s">
        <v>833</v>
      </c>
      <c r="E483">
        <v>85</v>
      </c>
    </row>
    <row r="484" spans="1:5">
      <c r="A484" s="25">
        <v>24</v>
      </c>
      <c r="D484" t="s">
        <v>671</v>
      </c>
      <c r="E484">
        <v>36</v>
      </c>
    </row>
    <row r="485" spans="1:5" ht="30">
      <c r="A485" s="26" t="s">
        <v>427</v>
      </c>
      <c r="D485" t="s">
        <v>673</v>
      </c>
      <c r="E485">
        <v>7</v>
      </c>
    </row>
    <row r="486" spans="1:5">
      <c r="A486" s="27" t="s">
        <v>43</v>
      </c>
      <c r="D486" t="s">
        <v>890</v>
      </c>
      <c r="E486">
        <v>607</v>
      </c>
    </row>
    <row r="487" spans="1:5">
      <c r="A487" s="27">
        <v>888</v>
      </c>
      <c r="D487" t="s">
        <v>462</v>
      </c>
      <c r="E487">
        <v>165</v>
      </c>
    </row>
    <row r="488" spans="1:5">
      <c r="A488" s="27">
        <v>248</v>
      </c>
      <c r="D488" t="s">
        <v>189</v>
      </c>
      <c r="E488">
        <v>1288</v>
      </c>
    </row>
    <row r="489" spans="1:5">
      <c r="A489" s="27">
        <v>467</v>
      </c>
      <c r="D489" t="s">
        <v>104</v>
      </c>
      <c r="E489">
        <v>37</v>
      </c>
    </row>
    <row r="490" spans="1:5">
      <c r="A490" s="27">
        <v>715</v>
      </c>
      <c r="D490" t="s">
        <v>858</v>
      </c>
      <c r="E490">
        <v>19</v>
      </c>
    </row>
    <row r="491" spans="1:5">
      <c r="A491" s="27">
        <v>94</v>
      </c>
      <c r="D491" t="s">
        <v>973</v>
      </c>
      <c r="E491">
        <v>1</v>
      </c>
    </row>
    <row r="492" spans="1:5">
      <c r="A492" s="27">
        <v>586</v>
      </c>
      <c r="D492" t="s">
        <v>821</v>
      </c>
      <c r="E492">
        <v>297</v>
      </c>
    </row>
    <row r="493" spans="1:5">
      <c r="A493" s="27">
        <v>0.81</v>
      </c>
      <c r="D493" t="s">
        <v>568</v>
      </c>
      <c r="E493">
        <v>26</v>
      </c>
    </row>
    <row r="494" spans="1:5">
      <c r="A494" s="27">
        <v>40</v>
      </c>
      <c r="D494" t="s">
        <v>1168</v>
      </c>
      <c r="E494">
        <v>428</v>
      </c>
    </row>
    <row r="495" spans="1:5">
      <c r="A495" s="27">
        <v>186</v>
      </c>
      <c r="D495" t="s">
        <v>421</v>
      </c>
      <c r="E495">
        <v>355</v>
      </c>
    </row>
    <row r="496" spans="1:5">
      <c r="A496" s="27">
        <v>13</v>
      </c>
      <c r="D496" t="s">
        <v>999</v>
      </c>
      <c r="E496">
        <v>0</v>
      </c>
    </row>
    <row r="497" spans="1:5">
      <c r="A497" s="27">
        <v>22</v>
      </c>
      <c r="D497" t="s">
        <v>923</v>
      </c>
      <c r="E497">
        <v>50</v>
      </c>
    </row>
    <row r="498" spans="1:5">
      <c r="A498" s="27">
        <v>36</v>
      </c>
      <c r="D498" t="s">
        <v>810</v>
      </c>
      <c r="E498">
        <v>195</v>
      </c>
    </row>
    <row r="499" spans="1:5">
      <c r="A499" s="27">
        <v>4</v>
      </c>
      <c r="D499" t="s">
        <v>733</v>
      </c>
      <c r="E499">
        <v>0</v>
      </c>
    </row>
    <row r="500" spans="1:5">
      <c r="A500" s="27">
        <v>2354</v>
      </c>
      <c r="D500" t="s">
        <v>149</v>
      </c>
      <c r="E500">
        <v>1213</v>
      </c>
    </row>
    <row r="501" spans="1:5">
      <c r="A501" s="27">
        <v>10.5</v>
      </c>
      <c r="D501" t="s">
        <v>1084</v>
      </c>
      <c r="E501">
        <v>82</v>
      </c>
    </row>
    <row r="502" spans="1:5">
      <c r="A502" s="29">
        <v>0.76944444444444438</v>
      </c>
      <c r="D502" t="s">
        <v>221</v>
      </c>
      <c r="E502">
        <v>883</v>
      </c>
    </row>
    <row r="503" spans="1:5">
      <c r="A503" s="27">
        <v>23.2</v>
      </c>
      <c r="D503" t="s">
        <v>717</v>
      </c>
      <c r="E503">
        <v>43</v>
      </c>
    </row>
    <row r="504" spans="1:5">
      <c r="A504" s="28">
        <v>44.1</v>
      </c>
      <c r="D504" t="s">
        <v>311</v>
      </c>
      <c r="E504">
        <v>1459</v>
      </c>
    </row>
    <row r="505" spans="1:5">
      <c r="A505" s="25">
        <v>25</v>
      </c>
      <c r="D505" t="s">
        <v>53</v>
      </c>
      <c r="E505">
        <v>41</v>
      </c>
    </row>
    <row r="506" spans="1:5" ht="30">
      <c r="A506" s="26" t="s">
        <v>520</v>
      </c>
      <c r="D506" t="s">
        <v>975</v>
      </c>
      <c r="E506">
        <v>2</v>
      </c>
    </row>
    <row r="507" spans="1:5">
      <c r="A507" s="27" t="s">
        <v>653</v>
      </c>
      <c r="D507" t="s">
        <v>217</v>
      </c>
      <c r="E507">
        <v>763</v>
      </c>
    </row>
    <row r="508" spans="1:5">
      <c r="A508" s="27">
        <v>904</v>
      </c>
      <c r="D508" t="s">
        <v>1096</v>
      </c>
      <c r="E508">
        <v>60</v>
      </c>
    </row>
    <row r="509" spans="1:5">
      <c r="A509" s="27">
        <v>241</v>
      </c>
      <c r="D509" t="s">
        <v>1049</v>
      </c>
      <c r="E509">
        <v>28</v>
      </c>
    </row>
    <row r="510" spans="1:5">
      <c r="A510" s="27">
        <v>459</v>
      </c>
      <c r="D510" t="s">
        <v>275</v>
      </c>
      <c r="E510">
        <v>42</v>
      </c>
    </row>
    <row r="511" spans="1:5">
      <c r="A511" s="27">
        <v>700</v>
      </c>
      <c r="D511" t="s">
        <v>1052</v>
      </c>
      <c r="E511">
        <v>36</v>
      </c>
    </row>
    <row r="512" spans="1:5">
      <c r="A512" s="27">
        <v>25</v>
      </c>
      <c r="D512" t="s">
        <v>738</v>
      </c>
      <c r="E512">
        <v>21</v>
      </c>
    </row>
    <row r="513" spans="1:5">
      <c r="A513" s="27">
        <v>428</v>
      </c>
      <c r="D513" t="s">
        <v>1169</v>
      </c>
      <c r="E513">
        <v>621</v>
      </c>
    </row>
    <row r="514" spans="1:5">
      <c r="A514" s="27">
        <v>0.77</v>
      </c>
      <c r="D514" t="s">
        <v>740</v>
      </c>
      <c r="E514">
        <v>28</v>
      </c>
    </row>
    <row r="515" spans="1:5">
      <c r="A515" s="27">
        <v>69</v>
      </c>
      <c r="D515" t="s">
        <v>55</v>
      </c>
      <c r="E515">
        <v>305</v>
      </c>
    </row>
    <row r="516" spans="1:5">
      <c r="A516" s="27">
        <v>220</v>
      </c>
      <c r="D516" t="s">
        <v>998</v>
      </c>
      <c r="E516">
        <v>4</v>
      </c>
    </row>
    <row r="517" spans="1:5">
      <c r="A517" s="27">
        <v>2</v>
      </c>
      <c r="D517" t="s">
        <v>117</v>
      </c>
      <c r="E517">
        <v>2113</v>
      </c>
    </row>
    <row r="518" spans="1:5">
      <c r="A518" s="27">
        <v>7</v>
      </c>
      <c r="D518" t="s">
        <v>898</v>
      </c>
      <c r="E518">
        <v>122</v>
      </c>
    </row>
    <row r="519" spans="1:5">
      <c r="A519" s="27">
        <v>46</v>
      </c>
      <c r="D519" t="s">
        <v>1166</v>
      </c>
      <c r="E519">
        <v>287</v>
      </c>
    </row>
    <row r="520" spans="1:5">
      <c r="A520" s="27">
        <v>4</v>
      </c>
      <c r="D520" t="s">
        <v>1155</v>
      </c>
      <c r="E520">
        <v>461</v>
      </c>
    </row>
    <row r="521" spans="1:5">
      <c r="A521" s="27">
        <v>1924</v>
      </c>
      <c r="D521" t="s">
        <v>658</v>
      </c>
      <c r="E521">
        <v>24</v>
      </c>
    </row>
    <row r="522" spans="1:5">
      <c r="A522" s="27">
        <v>12.5</v>
      </c>
      <c r="D522" t="s">
        <v>448</v>
      </c>
      <c r="E522">
        <v>538</v>
      </c>
    </row>
    <row r="523" spans="1:5">
      <c r="A523" s="29">
        <v>0.79791666666666661</v>
      </c>
      <c r="D523" t="s">
        <v>1102</v>
      </c>
      <c r="E523">
        <v>120</v>
      </c>
    </row>
    <row r="524" spans="1:5">
      <c r="A524" s="27">
        <v>24.8</v>
      </c>
      <c r="D524" t="s">
        <v>802</v>
      </c>
      <c r="E524">
        <v>779</v>
      </c>
    </row>
    <row r="525" spans="1:5">
      <c r="A525" s="28">
        <v>53.5</v>
      </c>
      <c r="D525" t="s">
        <v>549</v>
      </c>
      <c r="E525">
        <v>426</v>
      </c>
    </row>
    <row r="526" spans="1:5">
      <c r="A526" s="25">
        <v>26</v>
      </c>
      <c r="D526" t="s">
        <v>769</v>
      </c>
      <c r="E526">
        <v>59</v>
      </c>
    </row>
    <row r="527" spans="1:5" ht="30">
      <c r="A527" s="26" t="s">
        <v>460</v>
      </c>
      <c r="D527" t="s">
        <v>1027</v>
      </c>
      <c r="E527">
        <v>28</v>
      </c>
    </row>
    <row r="528" spans="1:5">
      <c r="A528" s="27" t="s">
        <v>653</v>
      </c>
      <c r="D528" t="s">
        <v>132</v>
      </c>
      <c r="E528">
        <v>1335</v>
      </c>
    </row>
    <row r="529" spans="1:5">
      <c r="A529" s="27">
        <v>1001</v>
      </c>
      <c r="D529" t="s">
        <v>734</v>
      </c>
      <c r="E529">
        <v>3</v>
      </c>
    </row>
    <row r="530" spans="1:5">
      <c r="A530" s="27">
        <v>203</v>
      </c>
      <c r="D530" t="s">
        <v>827</v>
      </c>
      <c r="E530">
        <v>60</v>
      </c>
    </row>
    <row r="531" spans="1:5">
      <c r="A531" s="27">
        <v>497</v>
      </c>
      <c r="D531" t="s">
        <v>431</v>
      </c>
      <c r="E531">
        <v>28</v>
      </c>
    </row>
    <row r="532" spans="1:5">
      <c r="A532" s="27">
        <v>700</v>
      </c>
      <c r="D532" t="s">
        <v>1007</v>
      </c>
      <c r="E532">
        <v>5</v>
      </c>
    </row>
    <row r="533" spans="1:5">
      <c r="A533" s="27">
        <v>70</v>
      </c>
      <c r="D533" t="s">
        <v>1044</v>
      </c>
      <c r="E533">
        <v>8</v>
      </c>
    </row>
    <row r="534" spans="1:5">
      <c r="A534" s="27">
        <v>574</v>
      </c>
      <c r="D534" t="s">
        <v>564</v>
      </c>
      <c r="E534">
        <v>127</v>
      </c>
    </row>
    <row r="535" spans="1:5">
      <c r="A535" s="27">
        <v>0.7</v>
      </c>
      <c r="D535" t="s">
        <v>212</v>
      </c>
      <c r="E535">
        <v>2010</v>
      </c>
    </row>
    <row r="536" spans="1:5">
      <c r="A536" s="27">
        <v>60</v>
      </c>
      <c r="D536" t="s">
        <v>475</v>
      </c>
      <c r="E536">
        <v>1005</v>
      </c>
    </row>
    <row r="537" spans="1:5">
      <c r="A537" s="27">
        <v>250</v>
      </c>
      <c r="D537" t="s">
        <v>965</v>
      </c>
      <c r="E537">
        <v>1</v>
      </c>
    </row>
    <row r="538" spans="1:5">
      <c r="A538" s="27">
        <v>10</v>
      </c>
      <c r="D538" t="s">
        <v>1095</v>
      </c>
      <c r="E538">
        <v>11</v>
      </c>
    </row>
    <row r="539" spans="1:5">
      <c r="A539" s="27">
        <v>25</v>
      </c>
      <c r="D539" t="s">
        <v>1105</v>
      </c>
      <c r="E539">
        <v>46</v>
      </c>
    </row>
    <row r="540" spans="1:5">
      <c r="A540" s="27">
        <v>33</v>
      </c>
      <c r="D540" t="s">
        <v>752</v>
      </c>
      <c r="E540">
        <v>1248</v>
      </c>
    </row>
    <row r="541" spans="1:5">
      <c r="A541" s="27">
        <v>5</v>
      </c>
      <c r="D541" t="s">
        <v>1031</v>
      </c>
      <c r="E541">
        <v>7</v>
      </c>
    </row>
    <row r="542" spans="1:5">
      <c r="A542" s="27">
        <v>2242</v>
      </c>
      <c r="D542" t="s">
        <v>580</v>
      </c>
      <c r="E542">
        <v>833</v>
      </c>
    </row>
    <row r="543" spans="1:5">
      <c r="A543" s="27">
        <v>9</v>
      </c>
      <c r="D543" t="s">
        <v>415</v>
      </c>
      <c r="E543">
        <v>540</v>
      </c>
    </row>
    <row r="544" spans="1:5">
      <c r="A544" s="29">
        <v>0.80555555555555547</v>
      </c>
      <c r="D544" t="s">
        <v>795</v>
      </c>
      <c r="E544">
        <v>5</v>
      </c>
    </row>
    <row r="545" spans="1:5">
      <c r="A545" s="27">
        <v>25.2</v>
      </c>
      <c r="D545" t="s">
        <v>80</v>
      </c>
      <c r="E545">
        <v>1829</v>
      </c>
    </row>
    <row r="546" spans="1:5">
      <c r="A546" s="28">
        <v>53.6</v>
      </c>
      <c r="D546" t="s">
        <v>292</v>
      </c>
      <c r="E546">
        <v>1277</v>
      </c>
    </row>
    <row r="547" spans="1:5">
      <c r="A547" s="25">
        <v>27</v>
      </c>
      <c r="D547" t="s">
        <v>674</v>
      </c>
      <c r="E547">
        <v>46</v>
      </c>
    </row>
    <row r="548" spans="1:5" ht="30">
      <c r="A548" s="26" t="s">
        <v>540</v>
      </c>
      <c r="D548" t="s">
        <v>351</v>
      </c>
      <c r="E548">
        <v>1472</v>
      </c>
    </row>
    <row r="549" spans="1:5">
      <c r="A549" s="27" t="s">
        <v>42</v>
      </c>
      <c r="D549" t="s">
        <v>174</v>
      </c>
      <c r="E549">
        <v>1239</v>
      </c>
    </row>
    <row r="550" spans="1:5">
      <c r="A550" s="27">
        <v>1036</v>
      </c>
      <c r="D550" t="s">
        <v>812</v>
      </c>
      <c r="E550">
        <v>42</v>
      </c>
    </row>
    <row r="551" spans="1:5">
      <c r="A551" s="27">
        <v>202</v>
      </c>
      <c r="D551" t="s">
        <v>1047</v>
      </c>
      <c r="E551">
        <v>37</v>
      </c>
    </row>
    <row r="552" spans="1:5">
      <c r="A552" s="27">
        <v>462</v>
      </c>
      <c r="D552" t="s">
        <v>480</v>
      </c>
      <c r="E552">
        <v>263</v>
      </c>
    </row>
    <row r="553" spans="1:5">
      <c r="A553" s="27">
        <v>664</v>
      </c>
      <c r="D553" t="s">
        <v>1023</v>
      </c>
      <c r="E553">
        <v>9</v>
      </c>
    </row>
    <row r="554" spans="1:5">
      <c r="A554" s="27">
        <v>9</v>
      </c>
      <c r="D554" t="s">
        <v>779</v>
      </c>
      <c r="E554">
        <v>580</v>
      </c>
    </row>
    <row r="555" spans="1:5">
      <c r="A555" s="27">
        <v>661</v>
      </c>
      <c r="D555" t="s">
        <v>465</v>
      </c>
      <c r="E555">
        <v>872</v>
      </c>
    </row>
    <row r="556" spans="1:5">
      <c r="A556" s="27">
        <v>0.64</v>
      </c>
      <c r="D556" t="s">
        <v>926</v>
      </c>
      <c r="E556">
        <v>17</v>
      </c>
    </row>
    <row r="557" spans="1:5">
      <c r="A557" s="27">
        <v>71</v>
      </c>
      <c r="D557" t="s">
        <v>267</v>
      </c>
      <c r="E557">
        <v>59</v>
      </c>
    </row>
    <row r="558" spans="1:5">
      <c r="A558" s="27">
        <v>242</v>
      </c>
      <c r="D558" t="s">
        <v>273</v>
      </c>
      <c r="E558">
        <v>32</v>
      </c>
    </row>
    <row r="559" spans="1:5">
      <c r="A559" s="27">
        <v>2</v>
      </c>
      <c r="D559" t="s">
        <v>857</v>
      </c>
      <c r="E559">
        <v>22</v>
      </c>
    </row>
    <row r="560" spans="1:5">
      <c r="A560" s="27">
        <v>14</v>
      </c>
      <c r="D560" t="s">
        <v>541</v>
      </c>
      <c r="E560">
        <v>1981</v>
      </c>
    </row>
    <row r="561" spans="1:5">
      <c r="A561" s="27">
        <v>38</v>
      </c>
      <c r="D561" t="s">
        <v>1014</v>
      </c>
      <c r="E561">
        <v>9</v>
      </c>
    </row>
    <row r="562" spans="1:5">
      <c r="A562" s="27">
        <v>14</v>
      </c>
      <c r="D562" t="s">
        <v>426</v>
      </c>
      <c r="E562">
        <v>242</v>
      </c>
    </row>
    <row r="563" spans="1:5">
      <c r="A563" s="27">
        <v>2916</v>
      </c>
      <c r="D563" t="s">
        <v>501</v>
      </c>
      <c r="E563">
        <v>1883</v>
      </c>
    </row>
    <row r="564" spans="1:5">
      <c r="A564" s="27">
        <v>6.9</v>
      </c>
      <c r="D564" t="s">
        <v>974</v>
      </c>
      <c r="E564">
        <v>0</v>
      </c>
    </row>
    <row r="565" spans="1:5">
      <c r="A565" s="29">
        <v>0.92291666666666661</v>
      </c>
      <c r="D565" t="s">
        <v>424</v>
      </c>
      <c r="E565">
        <v>508</v>
      </c>
    </row>
    <row r="566" spans="1:5">
      <c r="A566" s="27">
        <v>27.3</v>
      </c>
      <c r="D566" t="s">
        <v>250</v>
      </c>
      <c r="E566">
        <v>194</v>
      </c>
    </row>
    <row r="567" spans="1:5">
      <c r="A567" s="28">
        <v>46.2</v>
      </c>
      <c r="D567" t="s">
        <v>687</v>
      </c>
      <c r="E567">
        <v>52</v>
      </c>
    </row>
    <row r="568" spans="1:5">
      <c r="A568" s="25">
        <v>28</v>
      </c>
      <c r="D568" t="s">
        <v>686</v>
      </c>
      <c r="E568">
        <v>541</v>
      </c>
    </row>
    <row r="569" spans="1:5" ht="30">
      <c r="A569" s="26" t="s">
        <v>29</v>
      </c>
      <c r="D569" t="s">
        <v>776</v>
      </c>
      <c r="E569">
        <v>19</v>
      </c>
    </row>
    <row r="570" spans="1:5">
      <c r="A570" s="27" t="s">
        <v>653</v>
      </c>
      <c r="D570" t="s">
        <v>451</v>
      </c>
      <c r="E570">
        <v>180</v>
      </c>
    </row>
    <row r="571" spans="1:5">
      <c r="A571" s="27">
        <v>872</v>
      </c>
      <c r="D571" t="s">
        <v>131</v>
      </c>
      <c r="E571">
        <v>906</v>
      </c>
    </row>
    <row r="572" spans="1:5">
      <c r="A572" s="27">
        <v>200</v>
      </c>
      <c r="D572" t="s">
        <v>748</v>
      </c>
      <c r="E572">
        <v>75</v>
      </c>
    </row>
    <row r="573" spans="1:5">
      <c r="A573" s="27">
        <v>464</v>
      </c>
      <c r="D573" t="s">
        <v>313</v>
      </c>
      <c r="E573">
        <v>58</v>
      </c>
    </row>
    <row r="574" spans="1:5">
      <c r="A574" s="27">
        <v>664</v>
      </c>
      <c r="D574" t="s">
        <v>116</v>
      </c>
      <c r="E574">
        <v>177</v>
      </c>
    </row>
    <row r="575" spans="1:5">
      <c r="A575" s="27">
        <v>131</v>
      </c>
      <c r="D575" t="s">
        <v>152</v>
      </c>
      <c r="E575">
        <v>122</v>
      </c>
    </row>
    <row r="576" spans="1:5">
      <c r="A576" s="27">
        <v>306</v>
      </c>
      <c r="D576" t="s">
        <v>281</v>
      </c>
      <c r="E576">
        <v>936</v>
      </c>
    </row>
    <row r="577" spans="1:5">
      <c r="A577" s="27">
        <v>0.76</v>
      </c>
      <c r="D577" t="s">
        <v>1158</v>
      </c>
      <c r="E577">
        <v>1391</v>
      </c>
    </row>
    <row r="578" spans="1:5">
      <c r="A578" s="27">
        <v>46</v>
      </c>
      <c r="D578" t="s">
        <v>1157</v>
      </c>
      <c r="E578">
        <v>752</v>
      </c>
    </row>
    <row r="579" spans="1:5">
      <c r="A579" s="27">
        <v>167</v>
      </c>
      <c r="D579" t="s">
        <v>449</v>
      </c>
      <c r="E579">
        <v>595</v>
      </c>
    </row>
    <row r="580" spans="1:5">
      <c r="A580" s="27">
        <v>4</v>
      </c>
      <c r="D580" t="s">
        <v>74</v>
      </c>
      <c r="E580">
        <v>915</v>
      </c>
    </row>
    <row r="581" spans="1:5">
      <c r="A581" s="27">
        <v>12</v>
      </c>
      <c r="D581" t="s">
        <v>216</v>
      </c>
      <c r="E581">
        <v>135</v>
      </c>
    </row>
    <row r="582" spans="1:5">
      <c r="A582" s="27">
        <v>39</v>
      </c>
      <c r="D582" t="s">
        <v>553</v>
      </c>
      <c r="E582">
        <v>182</v>
      </c>
    </row>
    <row r="583" spans="1:5">
      <c r="A583" s="27">
        <v>5</v>
      </c>
      <c r="D583" t="s">
        <v>930</v>
      </c>
      <c r="E583">
        <v>2307</v>
      </c>
    </row>
    <row r="584" spans="1:5">
      <c r="A584" s="27">
        <v>1604</v>
      </c>
      <c r="D584" t="s">
        <v>912</v>
      </c>
      <c r="E584">
        <v>2866</v>
      </c>
    </row>
    <row r="585" spans="1:5">
      <c r="A585" s="27">
        <v>12.5</v>
      </c>
      <c r="D585" t="s">
        <v>542</v>
      </c>
      <c r="E585">
        <v>23</v>
      </c>
    </row>
    <row r="586" spans="1:5">
      <c r="A586" s="29">
        <v>0.74861111111111101</v>
      </c>
      <c r="D586" t="s">
        <v>1043</v>
      </c>
      <c r="E586">
        <v>13</v>
      </c>
    </row>
    <row r="587" spans="1:5">
      <c r="A587" s="27">
        <v>21.4</v>
      </c>
      <c r="D587" t="s">
        <v>323</v>
      </c>
      <c r="E587">
        <v>293</v>
      </c>
    </row>
    <row r="588" spans="1:5">
      <c r="A588" s="28">
        <v>50.8</v>
      </c>
      <c r="D588" t="s">
        <v>137</v>
      </c>
      <c r="E588">
        <v>275</v>
      </c>
    </row>
    <row r="589" spans="1:5">
      <c r="A589" s="25">
        <v>29</v>
      </c>
      <c r="D589" t="s">
        <v>970</v>
      </c>
      <c r="E589">
        <v>1</v>
      </c>
    </row>
    <row r="590" spans="1:5" ht="30">
      <c r="A590" s="26" t="s">
        <v>593</v>
      </c>
      <c r="D590" t="s">
        <v>1172</v>
      </c>
      <c r="E590">
        <v>1805</v>
      </c>
    </row>
    <row r="591" spans="1:5">
      <c r="A591" s="27" t="s">
        <v>44</v>
      </c>
      <c r="D591" t="s">
        <v>532</v>
      </c>
      <c r="E591">
        <v>231</v>
      </c>
    </row>
    <row r="592" spans="1:5">
      <c r="A592" s="27">
        <v>774</v>
      </c>
      <c r="D592" t="s">
        <v>703</v>
      </c>
      <c r="E592">
        <v>872</v>
      </c>
    </row>
    <row r="593" spans="1:5">
      <c r="A593" s="27">
        <v>286</v>
      </c>
      <c r="D593" t="s">
        <v>112</v>
      </c>
      <c r="E593">
        <v>393</v>
      </c>
    </row>
    <row r="594" spans="1:5">
      <c r="A594" s="27">
        <v>377</v>
      </c>
      <c r="D594" t="s">
        <v>425</v>
      </c>
      <c r="E594">
        <v>1021</v>
      </c>
    </row>
    <row r="595" spans="1:5">
      <c r="A595" s="27">
        <v>663</v>
      </c>
      <c r="D595" t="s">
        <v>521</v>
      </c>
      <c r="E595">
        <v>891</v>
      </c>
    </row>
    <row r="596" spans="1:5">
      <c r="A596" s="27">
        <v>50</v>
      </c>
      <c r="D596" t="s">
        <v>885</v>
      </c>
      <c r="E596">
        <v>207</v>
      </c>
    </row>
    <row r="597" spans="1:5">
      <c r="A597" s="27">
        <v>570</v>
      </c>
      <c r="D597" t="s">
        <v>467</v>
      </c>
      <c r="E597">
        <v>488</v>
      </c>
    </row>
    <row r="598" spans="1:5">
      <c r="A598" s="27">
        <v>0.86</v>
      </c>
      <c r="D598" t="s">
        <v>839</v>
      </c>
      <c r="E598">
        <v>94</v>
      </c>
    </row>
    <row r="599" spans="1:5">
      <c r="A599" s="27">
        <v>76</v>
      </c>
      <c r="D599" t="s">
        <v>261</v>
      </c>
      <c r="E599">
        <v>258</v>
      </c>
    </row>
    <row r="600" spans="1:5">
      <c r="A600" s="27">
        <v>173</v>
      </c>
      <c r="D600" t="s">
        <v>1008</v>
      </c>
      <c r="E600">
        <v>4</v>
      </c>
    </row>
    <row r="601" spans="1:5">
      <c r="A601" s="27">
        <v>12</v>
      </c>
      <c r="D601" t="s">
        <v>1098</v>
      </c>
      <c r="E601">
        <v>128</v>
      </c>
    </row>
    <row r="602" spans="1:5">
      <c r="A602" s="27">
        <v>23</v>
      </c>
      <c r="D602" t="s">
        <v>704</v>
      </c>
      <c r="E602">
        <v>1382</v>
      </c>
    </row>
    <row r="603" spans="1:5">
      <c r="A603" s="27">
        <v>46</v>
      </c>
      <c r="D603" t="s">
        <v>745</v>
      </c>
      <c r="E603">
        <v>183</v>
      </c>
    </row>
    <row r="604" spans="1:5">
      <c r="A604" s="27">
        <v>6</v>
      </c>
      <c r="D604" t="s">
        <v>243</v>
      </c>
      <c r="E604">
        <v>43</v>
      </c>
    </row>
    <row r="605" spans="1:5">
      <c r="A605" s="27">
        <v>2150</v>
      </c>
      <c r="D605" t="s">
        <v>1065</v>
      </c>
      <c r="E605">
        <v>38</v>
      </c>
    </row>
    <row r="606" spans="1:5">
      <c r="A606" s="27">
        <v>13.3</v>
      </c>
      <c r="D606" t="s">
        <v>190</v>
      </c>
      <c r="E606">
        <v>402</v>
      </c>
    </row>
    <row r="607" spans="1:5">
      <c r="A607" s="29">
        <v>0.77569444444444446</v>
      </c>
      <c r="D607" t="s">
        <v>126</v>
      </c>
      <c r="E607">
        <v>122</v>
      </c>
    </row>
    <row r="608" spans="1:5">
      <c r="A608" s="27">
        <v>25.4</v>
      </c>
      <c r="D608" t="s">
        <v>1041</v>
      </c>
      <c r="E608">
        <v>6</v>
      </c>
    </row>
    <row r="609" spans="1:5">
      <c r="A609" s="28">
        <v>49.6</v>
      </c>
      <c r="D609" t="s">
        <v>429</v>
      </c>
      <c r="E609">
        <v>971</v>
      </c>
    </row>
    <row r="610" spans="1:5">
      <c r="A610" s="25">
        <v>30</v>
      </c>
      <c r="D610" t="s">
        <v>891</v>
      </c>
      <c r="E610">
        <v>1107</v>
      </c>
    </row>
    <row r="611" spans="1:5" ht="30">
      <c r="A611" s="26" t="s">
        <v>233</v>
      </c>
      <c r="D611" t="s">
        <v>1151</v>
      </c>
      <c r="E611">
        <v>293</v>
      </c>
    </row>
    <row r="612" spans="1:5">
      <c r="A612" s="27" t="s">
        <v>43</v>
      </c>
      <c r="D612" t="s">
        <v>875</v>
      </c>
      <c r="E612">
        <v>841</v>
      </c>
    </row>
    <row r="613" spans="1:5">
      <c r="A613" s="27">
        <v>874</v>
      </c>
      <c r="D613" t="s">
        <v>1144</v>
      </c>
      <c r="E613">
        <v>292</v>
      </c>
    </row>
    <row r="614" spans="1:5">
      <c r="A614" s="27">
        <v>201</v>
      </c>
      <c r="D614" t="s">
        <v>324</v>
      </c>
      <c r="E614">
        <v>791</v>
      </c>
    </row>
    <row r="615" spans="1:5">
      <c r="A615" s="27">
        <v>458</v>
      </c>
      <c r="D615" t="s">
        <v>1090</v>
      </c>
      <c r="E615">
        <v>105</v>
      </c>
    </row>
    <row r="616" spans="1:5">
      <c r="A616" s="27">
        <v>659</v>
      </c>
      <c r="D616" t="s">
        <v>340</v>
      </c>
      <c r="E616">
        <v>1846</v>
      </c>
    </row>
    <row r="617" spans="1:5">
      <c r="A617" s="27">
        <v>-15</v>
      </c>
      <c r="D617" t="s">
        <v>666</v>
      </c>
      <c r="E617">
        <v>716</v>
      </c>
    </row>
    <row r="618" spans="1:5">
      <c r="A618" s="27">
        <v>444</v>
      </c>
      <c r="D618" t="s">
        <v>26</v>
      </c>
      <c r="E618">
        <v>226</v>
      </c>
    </row>
    <row r="619" spans="1:5">
      <c r="A619" s="27">
        <v>0.75</v>
      </c>
      <c r="D619" t="s">
        <v>1160</v>
      </c>
      <c r="E619">
        <v>603</v>
      </c>
    </row>
    <row r="620" spans="1:5">
      <c r="A620" s="27">
        <v>50</v>
      </c>
      <c r="D620" t="s">
        <v>1147</v>
      </c>
      <c r="E620">
        <v>545</v>
      </c>
    </row>
    <row r="621" spans="1:5">
      <c r="A621" s="27">
        <v>215</v>
      </c>
      <c r="D621" t="s">
        <v>953</v>
      </c>
      <c r="E621">
        <v>6</v>
      </c>
    </row>
    <row r="622" spans="1:5">
      <c r="A622" s="27">
        <v>0</v>
      </c>
      <c r="D622" t="s">
        <v>924</v>
      </c>
      <c r="E622">
        <v>54</v>
      </c>
    </row>
    <row r="623" spans="1:5">
      <c r="A623" s="27">
        <v>0</v>
      </c>
      <c r="D623" t="s">
        <v>862</v>
      </c>
      <c r="E623">
        <v>749</v>
      </c>
    </row>
    <row r="624" spans="1:5">
      <c r="A624" s="27">
        <v>25</v>
      </c>
      <c r="D624" t="s">
        <v>888</v>
      </c>
      <c r="E624">
        <v>640</v>
      </c>
    </row>
    <row r="625" spans="1:5">
      <c r="A625" s="27">
        <v>9</v>
      </c>
      <c r="D625" t="s">
        <v>227</v>
      </c>
      <c r="E625">
        <v>1477</v>
      </c>
    </row>
    <row r="626" spans="1:5">
      <c r="A626" s="27">
        <v>2166</v>
      </c>
      <c r="D626" t="s">
        <v>941</v>
      </c>
      <c r="E626">
        <v>94</v>
      </c>
    </row>
    <row r="627" spans="1:5">
      <c r="A627" s="27">
        <v>9.3000000000000007</v>
      </c>
      <c r="D627" t="s">
        <v>588</v>
      </c>
      <c r="E627">
        <v>79</v>
      </c>
    </row>
    <row r="628" spans="1:5">
      <c r="A628" s="29">
        <v>0.72013888888888899</v>
      </c>
      <c r="D628" t="s">
        <v>1121</v>
      </c>
      <c r="E628">
        <v>145</v>
      </c>
    </row>
    <row r="629" spans="1:5">
      <c r="A629" s="27">
        <v>22.3</v>
      </c>
      <c r="D629" t="s">
        <v>934</v>
      </c>
      <c r="E629">
        <v>27</v>
      </c>
    </row>
    <row r="630" spans="1:5">
      <c r="A630" s="28">
        <v>39</v>
      </c>
      <c r="D630" t="s">
        <v>728</v>
      </c>
      <c r="E630">
        <v>62</v>
      </c>
    </row>
    <row r="631" spans="1:5">
      <c r="A631" s="25">
        <v>31</v>
      </c>
      <c r="D631" t="s">
        <v>538</v>
      </c>
      <c r="E631">
        <v>618</v>
      </c>
    </row>
    <row r="632" spans="1:5" ht="45">
      <c r="A632" s="26" t="s">
        <v>585</v>
      </c>
      <c r="D632" t="s">
        <v>341</v>
      </c>
      <c r="E632">
        <v>730</v>
      </c>
    </row>
    <row r="633" spans="1:5">
      <c r="A633" s="27" t="s">
        <v>44</v>
      </c>
      <c r="D633" t="s">
        <v>403</v>
      </c>
      <c r="E633">
        <v>374</v>
      </c>
    </row>
    <row r="634" spans="1:5">
      <c r="A634" s="27">
        <v>670</v>
      </c>
      <c r="D634" t="s">
        <v>933</v>
      </c>
      <c r="E634">
        <v>24</v>
      </c>
    </row>
    <row r="635" spans="1:5">
      <c r="A635" s="27">
        <v>328</v>
      </c>
      <c r="D635" t="s">
        <v>89</v>
      </c>
      <c r="E635">
        <v>689</v>
      </c>
    </row>
    <row r="636" spans="1:5">
      <c r="A636" s="27">
        <v>326</v>
      </c>
      <c r="D636" t="s">
        <v>565</v>
      </c>
      <c r="E636">
        <v>99</v>
      </c>
    </row>
    <row r="637" spans="1:5">
      <c r="A637" s="27">
        <v>654</v>
      </c>
      <c r="D637" t="s">
        <v>708</v>
      </c>
      <c r="E637">
        <v>89</v>
      </c>
    </row>
    <row r="638" spans="1:5">
      <c r="A638" s="27">
        <v>-99</v>
      </c>
      <c r="D638" t="s">
        <v>518</v>
      </c>
      <c r="E638">
        <v>2357</v>
      </c>
    </row>
    <row r="639" spans="1:5">
      <c r="A639" s="27">
        <v>390</v>
      </c>
      <c r="D639" t="s">
        <v>976</v>
      </c>
      <c r="E639">
        <v>18</v>
      </c>
    </row>
    <row r="640" spans="1:5">
      <c r="A640" s="27">
        <v>0.98</v>
      </c>
      <c r="D640" t="s">
        <v>1068</v>
      </c>
      <c r="E640">
        <v>81</v>
      </c>
    </row>
    <row r="641" spans="1:5">
      <c r="A641" s="27">
        <v>111</v>
      </c>
      <c r="D641" t="s">
        <v>763</v>
      </c>
      <c r="E641">
        <v>444</v>
      </c>
    </row>
    <row r="642" spans="1:5">
      <c r="A642" s="27">
        <v>257</v>
      </c>
      <c r="D642" t="s">
        <v>577</v>
      </c>
      <c r="E642">
        <v>114</v>
      </c>
    </row>
    <row r="643" spans="1:5">
      <c r="A643" s="27">
        <v>9</v>
      </c>
      <c r="D643" t="s">
        <v>1012</v>
      </c>
      <c r="E643">
        <v>5</v>
      </c>
    </row>
    <row r="644" spans="1:5">
      <c r="A644" s="27">
        <v>13</v>
      </c>
      <c r="D644" t="s">
        <v>709</v>
      </c>
      <c r="E644">
        <v>136</v>
      </c>
    </row>
    <row r="645" spans="1:5">
      <c r="A645" s="27">
        <v>48</v>
      </c>
      <c r="D645" t="s">
        <v>194</v>
      </c>
      <c r="E645">
        <v>51</v>
      </c>
    </row>
    <row r="646" spans="1:5">
      <c r="A646" s="27">
        <v>11</v>
      </c>
      <c r="D646" t="s">
        <v>557</v>
      </c>
      <c r="E646">
        <v>922</v>
      </c>
    </row>
    <row r="647" spans="1:5">
      <c r="A647" s="27">
        <v>2361</v>
      </c>
      <c r="D647" t="s">
        <v>529</v>
      </c>
      <c r="E647">
        <v>1922</v>
      </c>
    </row>
    <row r="648" spans="1:5">
      <c r="A648" s="27">
        <v>13.9</v>
      </c>
      <c r="D648" t="s">
        <v>487</v>
      </c>
      <c r="E648">
        <v>1320</v>
      </c>
    </row>
    <row r="649" spans="1:5">
      <c r="A649" s="29">
        <v>0.90347222222222223</v>
      </c>
      <c r="D649" t="s">
        <v>781</v>
      </c>
      <c r="E649">
        <v>87</v>
      </c>
    </row>
    <row r="650" spans="1:5">
      <c r="A650" s="27">
        <v>22.1</v>
      </c>
      <c r="D650" t="s">
        <v>694</v>
      </c>
      <c r="E650">
        <v>21</v>
      </c>
    </row>
    <row r="651" spans="1:5">
      <c r="A651" s="28">
        <v>36.4</v>
      </c>
      <c r="D651" t="s">
        <v>925</v>
      </c>
      <c r="E651">
        <v>23</v>
      </c>
    </row>
    <row r="652" spans="1:5">
      <c r="A652" s="25">
        <v>32</v>
      </c>
      <c r="D652" t="s">
        <v>765</v>
      </c>
      <c r="E652">
        <v>619</v>
      </c>
    </row>
    <row r="653" spans="1:5" ht="30">
      <c r="A653" s="26" t="s">
        <v>578</v>
      </c>
      <c r="D653" t="s">
        <v>889</v>
      </c>
      <c r="E653">
        <v>74</v>
      </c>
    </row>
    <row r="654" spans="1:5">
      <c r="A654" s="27" t="s">
        <v>43</v>
      </c>
      <c r="D654" t="s">
        <v>830</v>
      </c>
      <c r="E654">
        <v>42</v>
      </c>
    </row>
    <row r="655" spans="1:5">
      <c r="A655" s="27">
        <v>1115</v>
      </c>
      <c r="D655" t="s">
        <v>537</v>
      </c>
      <c r="E655">
        <v>684</v>
      </c>
    </row>
    <row r="656" spans="1:5">
      <c r="A656" s="27">
        <v>287</v>
      </c>
      <c r="D656" t="s">
        <v>1128</v>
      </c>
      <c r="E656">
        <v>282</v>
      </c>
    </row>
    <row r="657" spans="1:5">
      <c r="A657" s="27">
        <v>341</v>
      </c>
      <c r="D657" t="s">
        <v>877</v>
      </c>
      <c r="E657">
        <v>575</v>
      </c>
    </row>
    <row r="658" spans="1:5">
      <c r="A658" s="27">
        <v>628</v>
      </c>
      <c r="D658" t="s">
        <v>805</v>
      </c>
      <c r="E658">
        <v>175</v>
      </c>
    </row>
    <row r="659" spans="1:5">
      <c r="A659" s="27">
        <v>-28</v>
      </c>
      <c r="D659" t="s">
        <v>349</v>
      </c>
      <c r="E659">
        <v>172</v>
      </c>
    </row>
    <row r="660" spans="1:5">
      <c r="A660" s="27">
        <v>672</v>
      </c>
      <c r="D660" t="s">
        <v>282</v>
      </c>
      <c r="E660">
        <v>1195</v>
      </c>
    </row>
    <row r="661" spans="1:5">
      <c r="A661" s="27">
        <v>0.56000000000000005</v>
      </c>
      <c r="D661" t="s">
        <v>527</v>
      </c>
      <c r="E661">
        <v>1477</v>
      </c>
    </row>
    <row r="662" spans="1:5">
      <c r="A662" s="27">
        <v>95</v>
      </c>
      <c r="D662" t="s">
        <v>344</v>
      </c>
      <c r="E662">
        <v>1018</v>
      </c>
    </row>
    <row r="663" spans="1:5">
      <c r="A663" s="27">
        <v>182</v>
      </c>
      <c r="D663" t="s">
        <v>158</v>
      </c>
      <c r="E663">
        <v>1881</v>
      </c>
    </row>
    <row r="664" spans="1:5">
      <c r="A664" s="27">
        <v>6</v>
      </c>
      <c r="D664" t="s">
        <v>108</v>
      </c>
      <c r="E664">
        <v>1321</v>
      </c>
    </row>
    <row r="665" spans="1:5">
      <c r="A665" s="27">
        <v>13</v>
      </c>
      <c r="D665" t="s">
        <v>1040</v>
      </c>
      <c r="E665">
        <v>3</v>
      </c>
    </row>
    <row r="666" spans="1:5">
      <c r="A666" s="27">
        <v>40</v>
      </c>
      <c r="D666" t="s">
        <v>746</v>
      </c>
      <c r="E666">
        <v>527</v>
      </c>
    </row>
    <row r="667" spans="1:5">
      <c r="A667" s="27">
        <v>9</v>
      </c>
      <c r="D667" t="s">
        <v>95</v>
      </c>
      <c r="E667">
        <v>230</v>
      </c>
    </row>
    <row r="668" spans="1:5">
      <c r="A668" s="27">
        <v>2947</v>
      </c>
      <c r="D668" t="s">
        <v>675</v>
      </c>
      <c r="E668">
        <v>1</v>
      </c>
    </row>
    <row r="669" spans="1:5">
      <c r="A669" s="27">
        <v>9.6999999999999993</v>
      </c>
      <c r="D669" t="s">
        <v>747</v>
      </c>
      <c r="E669">
        <v>314</v>
      </c>
    </row>
    <row r="670" spans="1:5">
      <c r="A670" s="29">
        <v>0.75902777777777775</v>
      </c>
      <c r="D670" t="s">
        <v>863</v>
      </c>
      <c r="E670">
        <v>14</v>
      </c>
    </row>
    <row r="671" spans="1:5">
      <c r="A671" s="27">
        <v>23.5</v>
      </c>
      <c r="D671" t="s">
        <v>136</v>
      </c>
      <c r="E671">
        <v>1076</v>
      </c>
    </row>
    <row r="672" spans="1:5">
      <c r="A672" s="28">
        <v>43.5</v>
      </c>
      <c r="D672" t="s">
        <v>460</v>
      </c>
      <c r="E672">
        <v>2242</v>
      </c>
    </row>
    <row r="673" spans="1:5">
      <c r="A673" s="25">
        <v>33</v>
      </c>
      <c r="D673" t="s">
        <v>723</v>
      </c>
      <c r="E673">
        <v>540</v>
      </c>
    </row>
    <row r="674" spans="1:5" ht="30">
      <c r="A674" s="26" t="s">
        <v>808</v>
      </c>
      <c r="D674" t="s">
        <v>534</v>
      </c>
      <c r="E674">
        <v>1511</v>
      </c>
    </row>
    <row r="675" spans="1:5">
      <c r="A675" s="27" t="s">
        <v>44</v>
      </c>
      <c r="D675" t="s">
        <v>296</v>
      </c>
      <c r="E675">
        <v>485</v>
      </c>
    </row>
    <row r="676" spans="1:5">
      <c r="A676" s="27">
        <v>980</v>
      </c>
      <c r="D676" t="s">
        <v>1111</v>
      </c>
      <c r="E676">
        <v>107</v>
      </c>
    </row>
    <row r="677" spans="1:5">
      <c r="A677" s="27">
        <v>238</v>
      </c>
      <c r="D677" t="s">
        <v>402</v>
      </c>
      <c r="E677">
        <v>254</v>
      </c>
    </row>
    <row r="678" spans="1:5">
      <c r="A678" s="27">
        <v>372</v>
      </c>
      <c r="D678" t="s">
        <v>955</v>
      </c>
      <c r="E678">
        <v>1</v>
      </c>
    </row>
    <row r="679" spans="1:5">
      <c r="A679" s="27">
        <v>610</v>
      </c>
      <c r="D679" t="s">
        <v>57</v>
      </c>
      <c r="E679">
        <v>653</v>
      </c>
    </row>
    <row r="680" spans="1:5">
      <c r="A680" s="27">
        <v>37</v>
      </c>
      <c r="D680" t="s">
        <v>702</v>
      </c>
      <c r="E680">
        <v>24</v>
      </c>
    </row>
    <row r="681" spans="1:5">
      <c r="A681" s="27">
        <v>446</v>
      </c>
      <c r="D681" t="s">
        <v>971</v>
      </c>
      <c r="E681">
        <v>0</v>
      </c>
    </row>
    <row r="682" spans="1:5">
      <c r="A682" s="27">
        <v>0.62</v>
      </c>
      <c r="D682" t="s">
        <v>1145</v>
      </c>
      <c r="E682">
        <v>1064</v>
      </c>
    </row>
    <row r="683" spans="1:5">
      <c r="A683" s="27">
        <v>58</v>
      </c>
      <c r="D683" t="s">
        <v>1131</v>
      </c>
      <c r="E683">
        <v>187</v>
      </c>
    </row>
    <row r="684" spans="1:5">
      <c r="A684" s="27">
        <v>182</v>
      </c>
      <c r="D684" t="s">
        <v>1134</v>
      </c>
      <c r="E684">
        <v>470</v>
      </c>
    </row>
    <row r="685" spans="1:5">
      <c r="A685" s="27">
        <v>11</v>
      </c>
      <c r="D685" t="s">
        <v>98</v>
      </c>
      <c r="E685">
        <v>825</v>
      </c>
    </row>
    <row r="686" spans="1:5">
      <c r="A686" s="27">
        <v>15</v>
      </c>
      <c r="D686" t="s">
        <v>659</v>
      </c>
      <c r="E686">
        <v>13</v>
      </c>
    </row>
    <row r="687" spans="1:5">
      <c r="A687" s="27">
        <v>45</v>
      </c>
      <c r="D687" t="s">
        <v>414</v>
      </c>
      <c r="E687">
        <v>408</v>
      </c>
    </row>
    <row r="688" spans="1:5">
      <c r="A688" s="27">
        <v>3</v>
      </c>
      <c r="D688" t="s">
        <v>866</v>
      </c>
      <c r="E688">
        <v>955</v>
      </c>
    </row>
    <row r="689" spans="1:5">
      <c r="A689" s="27">
        <v>2382</v>
      </c>
      <c r="D689" t="s">
        <v>815</v>
      </c>
      <c r="E689">
        <v>1321</v>
      </c>
    </row>
    <row r="690" spans="1:5">
      <c r="A690" s="27">
        <v>10</v>
      </c>
      <c r="D690" t="s">
        <v>797</v>
      </c>
      <c r="E690">
        <v>1707</v>
      </c>
    </row>
    <row r="691" spans="1:5">
      <c r="A691" s="29">
        <v>0.75555555555555554</v>
      </c>
      <c r="D691" t="s">
        <v>660</v>
      </c>
      <c r="E691">
        <v>13</v>
      </c>
    </row>
    <row r="692" spans="1:5">
      <c r="A692" s="27">
        <v>25.1</v>
      </c>
      <c r="D692" t="s">
        <v>332</v>
      </c>
      <c r="E692">
        <v>1472</v>
      </c>
    </row>
    <row r="693" spans="1:5">
      <c r="A693" s="28">
        <v>45</v>
      </c>
      <c r="D693" t="s">
        <v>1130</v>
      </c>
      <c r="E693">
        <v>245</v>
      </c>
    </row>
    <row r="694" spans="1:5">
      <c r="A694" s="25">
        <v>34</v>
      </c>
      <c r="D694" t="s">
        <v>1030</v>
      </c>
      <c r="E694">
        <v>9</v>
      </c>
    </row>
    <row r="695" spans="1:5" ht="30">
      <c r="A695" s="26" t="s">
        <v>930</v>
      </c>
      <c r="D695" t="s">
        <v>173</v>
      </c>
      <c r="E695">
        <v>191</v>
      </c>
    </row>
    <row r="696" spans="1:5">
      <c r="A696" s="27" t="s">
        <v>43</v>
      </c>
      <c r="D696" t="s">
        <v>791</v>
      </c>
      <c r="E696">
        <v>130</v>
      </c>
    </row>
    <row r="697" spans="1:5">
      <c r="A697" s="27">
        <v>740</v>
      </c>
      <c r="D697" t="s">
        <v>947</v>
      </c>
      <c r="E697">
        <v>0</v>
      </c>
    </row>
    <row r="698" spans="1:5">
      <c r="A698" s="27">
        <v>311</v>
      </c>
      <c r="D698" t="s">
        <v>721</v>
      </c>
      <c r="E698">
        <v>283</v>
      </c>
    </row>
    <row r="699" spans="1:5">
      <c r="A699" s="27">
        <v>296</v>
      </c>
      <c r="D699" t="s">
        <v>205</v>
      </c>
      <c r="E699">
        <v>1071</v>
      </c>
    </row>
    <row r="700" spans="1:5">
      <c r="A700" s="27">
        <v>607</v>
      </c>
      <c r="D700" t="s">
        <v>339</v>
      </c>
      <c r="E700">
        <v>938</v>
      </c>
    </row>
    <row r="701" spans="1:5">
      <c r="A701" s="27">
        <v>79</v>
      </c>
      <c r="D701" t="s">
        <v>741</v>
      </c>
      <c r="E701">
        <v>13</v>
      </c>
    </row>
    <row r="702" spans="1:5">
      <c r="A702" s="27">
        <v>360</v>
      </c>
      <c r="D702" t="s">
        <v>826</v>
      </c>
      <c r="E702">
        <v>449</v>
      </c>
    </row>
    <row r="703" spans="1:5">
      <c r="A703" s="27">
        <v>0.82</v>
      </c>
      <c r="D703" t="s">
        <v>256</v>
      </c>
      <c r="E703">
        <v>1596</v>
      </c>
    </row>
    <row r="704" spans="1:5">
      <c r="A704" s="27">
        <v>86</v>
      </c>
      <c r="D704" t="s">
        <v>1171</v>
      </c>
      <c r="E704">
        <v>541</v>
      </c>
    </row>
    <row r="705" spans="1:5">
      <c r="A705" s="27">
        <v>187</v>
      </c>
      <c r="D705" t="s">
        <v>177</v>
      </c>
      <c r="E705">
        <v>285</v>
      </c>
    </row>
    <row r="706" spans="1:5">
      <c r="A706" s="27">
        <v>6</v>
      </c>
      <c r="D706" t="s">
        <v>688</v>
      </c>
      <c r="E706">
        <v>75</v>
      </c>
    </row>
    <row r="707" spans="1:5">
      <c r="A707" s="27">
        <v>8</v>
      </c>
      <c r="D707" t="s">
        <v>197</v>
      </c>
      <c r="E707">
        <v>991</v>
      </c>
    </row>
    <row r="708" spans="1:5">
      <c r="A708" s="27">
        <v>52</v>
      </c>
      <c r="D708" t="s">
        <v>692</v>
      </c>
      <c r="E708">
        <v>113</v>
      </c>
    </row>
    <row r="709" spans="1:5">
      <c r="A709" s="27">
        <v>11</v>
      </c>
      <c r="D709" t="s">
        <v>570</v>
      </c>
      <c r="E709">
        <v>471</v>
      </c>
    </row>
    <row r="710" spans="1:5">
      <c r="A710" s="27">
        <v>2307</v>
      </c>
      <c r="D710" t="s">
        <v>497</v>
      </c>
      <c r="E710">
        <v>283</v>
      </c>
    </row>
    <row r="711" spans="1:5">
      <c r="A711" s="27">
        <v>13.5</v>
      </c>
      <c r="D711" t="s">
        <v>453</v>
      </c>
      <c r="E711">
        <v>86</v>
      </c>
    </row>
    <row r="712" spans="1:5">
      <c r="A712" s="29">
        <v>0.75069444444444444</v>
      </c>
      <c r="D712" t="s">
        <v>771</v>
      </c>
      <c r="E712">
        <v>46</v>
      </c>
    </row>
    <row r="713" spans="1:5">
      <c r="A713" s="27">
        <v>22.8</v>
      </c>
      <c r="D713" t="s">
        <v>170</v>
      </c>
      <c r="E713">
        <v>1956</v>
      </c>
    </row>
    <row r="714" spans="1:5">
      <c r="A714" s="28">
        <v>23.3</v>
      </c>
      <c r="D714" t="s">
        <v>291</v>
      </c>
      <c r="E714">
        <v>395</v>
      </c>
    </row>
    <row r="715" spans="1:5">
      <c r="A715" s="25">
        <v>35</v>
      </c>
      <c r="D715" t="s">
        <v>915</v>
      </c>
      <c r="E715">
        <v>7</v>
      </c>
    </row>
    <row r="716" spans="1:5" ht="30">
      <c r="A716" s="26" t="s">
        <v>410</v>
      </c>
      <c r="D716" t="s">
        <v>1035</v>
      </c>
      <c r="E716">
        <v>2</v>
      </c>
    </row>
    <row r="717" spans="1:5">
      <c r="A717" s="27" t="s">
        <v>653</v>
      </c>
      <c r="D717" t="s">
        <v>871</v>
      </c>
      <c r="E717">
        <v>342</v>
      </c>
    </row>
    <row r="718" spans="1:5">
      <c r="A718" s="27">
        <v>701</v>
      </c>
      <c r="D718" t="s">
        <v>515</v>
      </c>
      <c r="E718">
        <v>23</v>
      </c>
    </row>
    <row r="719" spans="1:5">
      <c r="A719" s="27">
        <v>268</v>
      </c>
      <c r="D719" t="s">
        <v>720</v>
      </c>
      <c r="E719">
        <v>8</v>
      </c>
    </row>
    <row r="720" spans="1:5">
      <c r="A720" s="27">
        <v>338</v>
      </c>
      <c r="D720" t="s">
        <v>288</v>
      </c>
      <c r="E720">
        <v>59</v>
      </c>
    </row>
    <row r="721" spans="1:5">
      <c r="A721" s="27">
        <v>606</v>
      </c>
      <c r="D721" t="s">
        <v>904</v>
      </c>
      <c r="E721">
        <v>1339</v>
      </c>
    </row>
    <row r="722" spans="1:5">
      <c r="A722" s="27">
        <v>86</v>
      </c>
      <c r="D722" t="s">
        <v>669</v>
      </c>
      <c r="E722">
        <v>357</v>
      </c>
    </row>
    <row r="723" spans="1:5">
      <c r="A723" s="27">
        <v>215</v>
      </c>
      <c r="D723" t="s">
        <v>1150</v>
      </c>
      <c r="E723">
        <v>260</v>
      </c>
    </row>
    <row r="724" spans="1:5">
      <c r="A724" s="27">
        <v>0.86</v>
      </c>
      <c r="D724" t="s">
        <v>1142</v>
      </c>
      <c r="E724">
        <v>680</v>
      </c>
    </row>
    <row r="725" spans="1:5">
      <c r="A725" s="27">
        <v>75</v>
      </c>
      <c r="D725" t="s">
        <v>629</v>
      </c>
      <c r="E725">
        <v>15</v>
      </c>
    </row>
    <row r="726" spans="1:5">
      <c r="A726" s="27">
        <v>186</v>
      </c>
      <c r="D726" t="s">
        <v>417</v>
      </c>
      <c r="E726">
        <v>844</v>
      </c>
    </row>
    <row r="727" spans="1:5">
      <c r="A727" s="27">
        <v>1</v>
      </c>
      <c r="D727" t="s">
        <v>742</v>
      </c>
      <c r="E727">
        <v>176</v>
      </c>
    </row>
    <row r="728" spans="1:5">
      <c r="A728" s="27">
        <v>2</v>
      </c>
      <c r="D728" t="s">
        <v>244</v>
      </c>
      <c r="E728">
        <v>1082</v>
      </c>
    </row>
    <row r="729" spans="1:5">
      <c r="A729" s="27">
        <v>48</v>
      </c>
      <c r="D729" t="s">
        <v>195</v>
      </c>
      <c r="E729">
        <v>7</v>
      </c>
    </row>
    <row r="730" spans="1:5">
      <c r="A730" s="27">
        <v>6</v>
      </c>
      <c r="D730" t="s">
        <v>544</v>
      </c>
      <c r="E730">
        <v>11</v>
      </c>
    </row>
    <row r="731" spans="1:5">
      <c r="A731" s="27">
        <v>2458</v>
      </c>
      <c r="D731" t="s">
        <v>531</v>
      </c>
      <c r="E731">
        <v>568</v>
      </c>
    </row>
    <row r="732" spans="1:5">
      <c r="A732" s="27">
        <v>10.9</v>
      </c>
      <c r="D732" t="s">
        <v>1100</v>
      </c>
      <c r="E732">
        <v>55</v>
      </c>
    </row>
    <row r="733" spans="1:5">
      <c r="A733" s="29">
        <v>0.76736111111111116</v>
      </c>
      <c r="D733" t="s">
        <v>775</v>
      </c>
      <c r="E733">
        <v>242</v>
      </c>
    </row>
    <row r="734" spans="1:5">
      <c r="A734" s="27">
        <v>23.5</v>
      </c>
      <c r="D734" t="s">
        <v>714</v>
      </c>
      <c r="E734">
        <v>242</v>
      </c>
    </row>
    <row r="735" spans="1:5">
      <c r="A735" s="28">
        <v>52.5</v>
      </c>
      <c r="D735" t="s">
        <v>254</v>
      </c>
      <c r="E735">
        <v>484</v>
      </c>
    </row>
    <row r="736" spans="1:5">
      <c r="A736" s="25">
        <v>36</v>
      </c>
      <c r="D736" t="s">
        <v>483</v>
      </c>
      <c r="E736">
        <v>1569</v>
      </c>
    </row>
    <row r="737" spans="1:5" ht="45">
      <c r="A737" s="26" t="s">
        <v>31</v>
      </c>
      <c r="D737" t="s">
        <v>1058</v>
      </c>
      <c r="E737">
        <v>41</v>
      </c>
    </row>
    <row r="738" spans="1:5">
      <c r="A738" s="27" t="s">
        <v>44</v>
      </c>
      <c r="D738" t="s">
        <v>1022</v>
      </c>
      <c r="E738">
        <v>9</v>
      </c>
    </row>
    <row r="739" spans="1:5">
      <c r="A739" s="27">
        <v>709</v>
      </c>
      <c r="D739" t="s">
        <v>1153</v>
      </c>
      <c r="E739">
        <v>577</v>
      </c>
    </row>
    <row r="740" spans="1:5">
      <c r="A740" s="27">
        <v>280</v>
      </c>
      <c r="D740" t="s">
        <v>566</v>
      </c>
      <c r="E740">
        <v>369</v>
      </c>
    </row>
    <row r="741" spans="1:5">
      <c r="A741" s="27">
        <v>323</v>
      </c>
      <c r="D741" t="s">
        <v>129</v>
      </c>
      <c r="E741">
        <v>863</v>
      </c>
    </row>
    <row r="742" spans="1:5">
      <c r="A742" s="27">
        <v>603</v>
      </c>
      <c r="D742" t="s">
        <v>1104</v>
      </c>
      <c r="E742">
        <v>106</v>
      </c>
    </row>
    <row r="743" spans="1:5">
      <c r="A743" s="27">
        <v>216</v>
      </c>
      <c r="D743" t="s">
        <v>470</v>
      </c>
      <c r="E743">
        <v>803</v>
      </c>
    </row>
    <row r="744" spans="1:5">
      <c r="A744" s="27">
        <v>717</v>
      </c>
      <c r="D744" t="s">
        <v>226</v>
      </c>
      <c r="E744">
        <v>265</v>
      </c>
    </row>
    <row r="745" spans="1:5">
      <c r="A745" s="27">
        <v>0.85</v>
      </c>
      <c r="D745" t="s">
        <v>319</v>
      </c>
      <c r="E745">
        <v>218</v>
      </c>
    </row>
    <row r="746" spans="1:5">
      <c r="A746" s="27">
        <v>50</v>
      </c>
      <c r="D746" t="s">
        <v>909</v>
      </c>
      <c r="E746">
        <v>2</v>
      </c>
    </row>
    <row r="747" spans="1:5">
      <c r="A747" s="27">
        <v>119</v>
      </c>
      <c r="D747" t="s">
        <v>988</v>
      </c>
      <c r="E747">
        <v>17</v>
      </c>
    </row>
    <row r="748" spans="1:5">
      <c r="A748" s="27">
        <v>26</v>
      </c>
      <c r="D748" t="s">
        <v>294</v>
      </c>
      <c r="E748">
        <v>1661</v>
      </c>
    </row>
    <row r="749" spans="1:5">
      <c r="A749" s="27">
        <v>41</v>
      </c>
      <c r="D749" t="s">
        <v>754</v>
      </c>
      <c r="E749">
        <v>81</v>
      </c>
    </row>
    <row r="750" spans="1:5">
      <c r="A750" s="27">
        <v>55</v>
      </c>
      <c r="D750" t="s">
        <v>128</v>
      </c>
      <c r="E750">
        <v>814</v>
      </c>
    </row>
    <row r="751" spans="1:5">
      <c r="A751" s="27">
        <v>15</v>
      </c>
      <c r="D751" t="s">
        <v>841</v>
      </c>
      <c r="E751">
        <v>2353</v>
      </c>
    </row>
    <row r="752" spans="1:5">
      <c r="A752" s="27">
        <v>1727</v>
      </c>
      <c r="D752" t="s">
        <v>19</v>
      </c>
      <c r="E752">
        <v>2986</v>
      </c>
    </row>
    <row r="753" spans="1:5">
      <c r="A753" s="27">
        <v>16.2</v>
      </c>
      <c r="D753" t="s">
        <v>696</v>
      </c>
      <c r="E753">
        <v>24</v>
      </c>
    </row>
    <row r="754" spans="1:5">
      <c r="A754" s="29">
        <v>0.7319444444444444</v>
      </c>
      <c r="D754" t="s">
        <v>896</v>
      </c>
      <c r="E754">
        <v>1168</v>
      </c>
    </row>
    <row r="755" spans="1:5">
      <c r="A755" s="27">
        <v>22.5</v>
      </c>
      <c r="D755" t="s">
        <v>435</v>
      </c>
      <c r="E755">
        <v>3031</v>
      </c>
    </row>
    <row r="756" spans="1:5">
      <c r="A756" s="28">
        <v>38.9</v>
      </c>
      <c r="D756" t="s">
        <v>550</v>
      </c>
      <c r="E756">
        <v>3159</v>
      </c>
    </row>
    <row r="757" spans="1:5">
      <c r="A757" s="25">
        <v>37</v>
      </c>
      <c r="D757" t="s">
        <v>743</v>
      </c>
      <c r="E757">
        <v>37</v>
      </c>
    </row>
    <row r="758" spans="1:5" ht="30">
      <c r="A758" s="26" t="s">
        <v>436</v>
      </c>
      <c r="D758" t="s">
        <v>996</v>
      </c>
      <c r="E758">
        <v>4</v>
      </c>
    </row>
    <row r="759" spans="1:5">
      <c r="A759" s="27" t="s">
        <v>42</v>
      </c>
      <c r="D759" t="s">
        <v>420</v>
      </c>
      <c r="E759">
        <v>772</v>
      </c>
    </row>
    <row r="760" spans="1:5">
      <c r="A760" s="27">
        <v>1102</v>
      </c>
      <c r="D760" t="s">
        <v>161</v>
      </c>
      <c r="E760">
        <v>272</v>
      </c>
    </row>
    <row r="761" spans="1:5">
      <c r="A761" s="27">
        <v>99</v>
      </c>
      <c r="D761" t="s">
        <v>101</v>
      </c>
      <c r="E761">
        <v>493</v>
      </c>
    </row>
    <row r="762" spans="1:5">
      <c r="A762" s="27">
        <v>490</v>
      </c>
      <c r="D762" t="s">
        <v>847</v>
      </c>
      <c r="E762">
        <v>79</v>
      </c>
    </row>
    <row r="763" spans="1:5">
      <c r="A763" s="27">
        <v>589</v>
      </c>
      <c r="D763" t="s">
        <v>1089</v>
      </c>
      <c r="E763">
        <v>75</v>
      </c>
    </row>
    <row r="764" spans="1:5">
      <c r="A764" s="27">
        <v>157</v>
      </c>
      <c r="D764" t="s">
        <v>520</v>
      </c>
      <c r="E764">
        <v>1924</v>
      </c>
    </row>
    <row r="765" spans="1:5">
      <c r="A765" s="27">
        <v>617</v>
      </c>
      <c r="D765" t="s">
        <v>1078</v>
      </c>
      <c r="E765">
        <v>22</v>
      </c>
    </row>
    <row r="766" spans="1:5">
      <c r="A766" s="27">
        <v>0.53</v>
      </c>
      <c r="D766" t="s">
        <v>268</v>
      </c>
      <c r="E766">
        <v>353</v>
      </c>
    </row>
    <row r="767" spans="1:5">
      <c r="A767" s="27">
        <v>27</v>
      </c>
      <c r="D767" t="s">
        <v>297</v>
      </c>
      <c r="E767">
        <v>329</v>
      </c>
    </row>
    <row r="768" spans="1:5">
      <c r="A768" s="27">
        <v>169</v>
      </c>
      <c r="D768" t="s">
        <v>22</v>
      </c>
      <c r="E768">
        <v>41</v>
      </c>
    </row>
    <row r="769" spans="1:5">
      <c r="A769" s="27">
        <v>5</v>
      </c>
      <c r="D769" t="s">
        <v>491</v>
      </c>
      <c r="E769">
        <v>3328</v>
      </c>
    </row>
    <row r="770" spans="1:5">
      <c r="A770" s="27">
        <v>20</v>
      </c>
      <c r="D770" t="s">
        <v>782</v>
      </c>
      <c r="E770">
        <v>80</v>
      </c>
    </row>
    <row r="771" spans="1:5">
      <c r="A771" s="27">
        <v>17</v>
      </c>
      <c r="D771" t="s">
        <v>967</v>
      </c>
      <c r="E771">
        <v>0</v>
      </c>
    </row>
    <row r="772" spans="1:5">
      <c r="A772" s="27">
        <v>3</v>
      </c>
      <c r="D772" t="s">
        <v>1086</v>
      </c>
      <c r="E772">
        <v>46</v>
      </c>
    </row>
    <row r="773" spans="1:5">
      <c r="A773" s="27">
        <v>2263</v>
      </c>
      <c r="D773" t="s">
        <v>698</v>
      </c>
      <c r="E773">
        <v>473</v>
      </c>
    </row>
    <row r="774" spans="1:5">
      <c r="A774" s="27">
        <v>4.4000000000000004</v>
      </c>
      <c r="D774" t="s">
        <v>893</v>
      </c>
      <c r="E774">
        <v>231</v>
      </c>
    </row>
    <row r="775" spans="1:5">
      <c r="A775" s="30">
        <v>1.0423611111111111</v>
      </c>
      <c r="D775" t="s">
        <v>1006</v>
      </c>
      <c r="E775">
        <v>9</v>
      </c>
    </row>
    <row r="776" spans="1:5">
      <c r="A776" s="27">
        <v>29</v>
      </c>
      <c r="D776" t="s">
        <v>753</v>
      </c>
      <c r="E776">
        <v>532</v>
      </c>
    </row>
    <row r="777" spans="1:5">
      <c r="A777" s="28">
        <v>0</v>
      </c>
      <c r="D777" t="s">
        <v>255</v>
      </c>
      <c r="E777">
        <v>405</v>
      </c>
    </row>
    <row r="778" spans="1:5">
      <c r="A778" s="25">
        <v>38</v>
      </c>
      <c r="D778" t="s">
        <v>932</v>
      </c>
      <c r="E778">
        <v>183</v>
      </c>
    </row>
    <row r="779" spans="1:5" ht="30">
      <c r="A779" s="26" t="s">
        <v>548</v>
      </c>
      <c r="D779" t="s">
        <v>503</v>
      </c>
      <c r="E779">
        <v>51</v>
      </c>
    </row>
    <row r="780" spans="1:5">
      <c r="A780" s="27" t="s">
        <v>42</v>
      </c>
      <c r="D780" t="s">
        <v>412</v>
      </c>
      <c r="E780">
        <v>483</v>
      </c>
    </row>
    <row r="781" spans="1:5">
      <c r="A781" s="27">
        <v>708</v>
      </c>
      <c r="D781" t="s">
        <v>1093</v>
      </c>
      <c r="E781">
        <v>54</v>
      </c>
    </row>
    <row r="782" spans="1:5">
      <c r="A782" s="27">
        <v>132</v>
      </c>
      <c r="D782" t="s">
        <v>175</v>
      </c>
      <c r="E782">
        <v>784</v>
      </c>
    </row>
    <row r="783" spans="1:5">
      <c r="A783" s="27">
        <v>452</v>
      </c>
      <c r="D783" t="s">
        <v>526</v>
      </c>
      <c r="E783">
        <v>180</v>
      </c>
    </row>
    <row r="784" spans="1:5">
      <c r="A784" s="27">
        <v>584</v>
      </c>
      <c r="D784" t="s">
        <v>838</v>
      </c>
      <c r="E784">
        <v>17</v>
      </c>
    </row>
    <row r="785" spans="1:5">
      <c r="A785" s="27">
        <v>-33</v>
      </c>
      <c r="D785" t="s">
        <v>70</v>
      </c>
      <c r="E785">
        <v>210</v>
      </c>
    </row>
    <row r="786" spans="1:5">
      <c r="A786" s="27">
        <v>344</v>
      </c>
      <c r="D786" t="s">
        <v>82</v>
      </c>
      <c r="E786">
        <v>983</v>
      </c>
    </row>
    <row r="787" spans="1:5">
      <c r="A787" s="27">
        <v>0.82</v>
      </c>
      <c r="D787" t="s">
        <v>1001</v>
      </c>
      <c r="E787">
        <v>5</v>
      </c>
    </row>
    <row r="788" spans="1:5">
      <c r="A788" s="27">
        <v>32</v>
      </c>
      <c r="D788" t="s">
        <v>911</v>
      </c>
      <c r="E788">
        <v>228</v>
      </c>
    </row>
    <row r="789" spans="1:5">
      <c r="A789" s="27">
        <v>221</v>
      </c>
      <c r="D789" t="s">
        <v>524</v>
      </c>
      <c r="E789">
        <v>1068</v>
      </c>
    </row>
    <row r="790" spans="1:5">
      <c r="A790" s="27">
        <v>1</v>
      </c>
      <c r="D790" t="s">
        <v>959</v>
      </c>
      <c r="E790">
        <v>0</v>
      </c>
    </row>
    <row r="791" spans="1:5">
      <c r="A791" s="27">
        <v>5</v>
      </c>
      <c r="D791" t="s">
        <v>828</v>
      </c>
      <c r="E791">
        <v>94</v>
      </c>
    </row>
    <row r="792" spans="1:5">
      <c r="A792" s="27">
        <v>26</v>
      </c>
      <c r="D792" t="s">
        <v>783</v>
      </c>
      <c r="E792">
        <v>8</v>
      </c>
    </row>
    <row r="793" spans="1:5">
      <c r="A793" s="27">
        <v>6</v>
      </c>
      <c r="D793" t="s">
        <v>886</v>
      </c>
      <c r="E793">
        <v>674</v>
      </c>
    </row>
    <row r="794" spans="1:5">
      <c r="A794" s="27">
        <v>2063</v>
      </c>
      <c r="D794" t="s">
        <v>569</v>
      </c>
      <c r="E794">
        <v>979</v>
      </c>
    </row>
    <row r="795" spans="1:5">
      <c r="A795" s="27">
        <v>6.4</v>
      </c>
      <c r="D795" t="s">
        <v>972</v>
      </c>
      <c r="E795">
        <v>2</v>
      </c>
    </row>
    <row r="796" spans="1:5">
      <c r="A796" s="30">
        <v>1.075</v>
      </c>
      <c r="D796" t="s">
        <v>260</v>
      </c>
      <c r="E796">
        <v>631</v>
      </c>
    </row>
    <row r="797" spans="1:5">
      <c r="A797" s="27">
        <v>27.4</v>
      </c>
      <c r="D797" t="s">
        <v>476</v>
      </c>
      <c r="E797">
        <v>664</v>
      </c>
    </row>
    <row r="798" spans="1:5">
      <c r="A798" s="28">
        <v>0</v>
      </c>
      <c r="D798" t="s">
        <v>1015</v>
      </c>
      <c r="E798">
        <v>8</v>
      </c>
    </row>
    <row r="799" spans="1:5">
      <c r="A799" s="25">
        <v>39</v>
      </c>
      <c r="D799" t="s">
        <v>1020</v>
      </c>
      <c r="E799">
        <v>9</v>
      </c>
    </row>
    <row r="800" spans="1:5" ht="30">
      <c r="A800" s="26" t="s">
        <v>501</v>
      </c>
      <c r="D800" t="s">
        <v>1053</v>
      </c>
      <c r="E800">
        <v>18</v>
      </c>
    </row>
    <row r="801" spans="1:5">
      <c r="A801" s="27" t="s">
        <v>44</v>
      </c>
      <c r="D801" t="s">
        <v>156</v>
      </c>
      <c r="E801">
        <v>282</v>
      </c>
    </row>
    <row r="802" spans="1:5">
      <c r="A802" s="27">
        <v>938</v>
      </c>
      <c r="D802" t="s">
        <v>308</v>
      </c>
      <c r="E802">
        <v>367</v>
      </c>
    </row>
    <row r="803" spans="1:5">
      <c r="A803" s="27">
        <v>245</v>
      </c>
      <c r="D803" t="s">
        <v>224</v>
      </c>
      <c r="E803">
        <v>194</v>
      </c>
    </row>
    <row r="804" spans="1:5">
      <c r="A804" s="27">
        <v>336</v>
      </c>
      <c r="D804" t="s">
        <v>320</v>
      </c>
      <c r="E804">
        <v>111</v>
      </c>
    </row>
    <row r="805" spans="1:5">
      <c r="A805" s="27">
        <v>581</v>
      </c>
      <c r="D805" t="s">
        <v>831</v>
      </c>
      <c r="E805">
        <v>180</v>
      </c>
    </row>
    <row r="806" spans="1:5">
      <c r="A806" s="27">
        <v>36</v>
      </c>
      <c r="D806" t="s">
        <v>983</v>
      </c>
      <c r="E806">
        <v>7</v>
      </c>
    </row>
    <row r="807" spans="1:5">
      <c r="A807" s="27">
        <v>188</v>
      </c>
      <c r="D807" t="s">
        <v>398</v>
      </c>
      <c r="E807">
        <v>1563</v>
      </c>
    </row>
    <row r="808" spans="1:5">
      <c r="A808" s="27">
        <v>0.62</v>
      </c>
      <c r="D808" t="s">
        <v>640</v>
      </c>
      <c r="E808">
        <v>770</v>
      </c>
    </row>
    <row r="809" spans="1:5">
      <c r="A809" s="27">
        <v>60</v>
      </c>
      <c r="D809" t="s">
        <v>396</v>
      </c>
      <c r="E809">
        <v>1367</v>
      </c>
    </row>
    <row r="810" spans="1:5">
      <c r="A810" s="27">
        <v>134</v>
      </c>
      <c r="D810" t="s">
        <v>707</v>
      </c>
      <c r="E810">
        <v>142</v>
      </c>
    </row>
    <row r="811" spans="1:5">
      <c r="A811" s="27">
        <v>10</v>
      </c>
      <c r="D811" t="s">
        <v>918</v>
      </c>
      <c r="E811">
        <v>35</v>
      </c>
    </row>
    <row r="812" spans="1:5">
      <c r="A812" s="27">
        <v>19</v>
      </c>
      <c r="D812" t="s">
        <v>944</v>
      </c>
      <c r="E812">
        <v>48</v>
      </c>
    </row>
    <row r="813" spans="1:5">
      <c r="A813" s="27">
        <v>34</v>
      </c>
      <c r="D813" t="s">
        <v>823</v>
      </c>
      <c r="E813">
        <v>1843</v>
      </c>
    </row>
    <row r="814" spans="1:5">
      <c r="A814" s="27">
        <v>9</v>
      </c>
      <c r="D814" t="s">
        <v>755</v>
      </c>
      <c r="E814">
        <v>224</v>
      </c>
    </row>
    <row r="815" spans="1:5">
      <c r="A815" s="27">
        <v>1883</v>
      </c>
      <c r="D815" t="s">
        <v>447</v>
      </c>
      <c r="E815">
        <v>196</v>
      </c>
    </row>
    <row r="816" spans="1:5">
      <c r="A816" s="27">
        <v>13</v>
      </c>
      <c r="D816" t="s">
        <v>236</v>
      </c>
      <c r="E816">
        <v>480</v>
      </c>
    </row>
    <row r="817" spans="1:5">
      <c r="A817" s="29">
        <v>0.73888888888888893</v>
      </c>
      <c r="D817" t="s">
        <v>342</v>
      </c>
      <c r="E817">
        <v>937</v>
      </c>
    </row>
    <row r="818" spans="1:5">
      <c r="A818" s="27">
        <v>22.2</v>
      </c>
      <c r="D818" t="s">
        <v>559</v>
      </c>
      <c r="E818">
        <v>2309</v>
      </c>
    </row>
    <row r="819" spans="1:5">
      <c r="A819" s="28">
        <v>34.9</v>
      </c>
      <c r="D819" t="s">
        <v>329</v>
      </c>
      <c r="E819">
        <v>64</v>
      </c>
    </row>
    <row r="820" spans="1:5">
      <c r="A820" s="25">
        <v>40</v>
      </c>
      <c r="D820" t="s">
        <v>834</v>
      </c>
      <c r="E820">
        <v>493</v>
      </c>
    </row>
    <row r="821" spans="1:5" ht="30">
      <c r="A821" s="26" t="s">
        <v>685</v>
      </c>
      <c r="D821" t="s">
        <v>347</v>
      </c>
      <c r="E821">
        <v>1267</v>
      </c>
    </row>
    <row r="822" spans="1:5">
      <c r="A822" s="27" t="s">
        <v>653</v>
      </c>
      <c r="D822" t="s">
        <v>685</v>
      </c>
      <c r="E822">
        <v>2253</v>
      </c>
    </row>
    <row r="823" spans="1:5">
      <c r="A823" s="27">
        <v>973</v>
      </c>
      <c r="D823" t="s">
        <v>997</v>
      </c>
      <c r="E823">
        <v>8</v>
      </c>
    </row>
    <row r="824" spans="1:5">
      <c r="A824" s="27">
        <v>256</v>
      </c>
      <c r="D824" t="s">
        <v>278</v>
      </c>
      <c r="E824">
        <v>23</v>
      </c>
    </row>
    <row r="825" spans="1:5">
      <c r="A825" s="27">
        <v>312</v>
      </c>
      <c r="D825" t="s">
        <v>1050</v>
      </c>
      <c r="E825">
        <v>6</v>
      </c>
    </row>
    <row r="826" spans="1:5">
      <c r="A826" s="27">
        <v>568</v>
      </c>
      <c r="D826" t="s">
        <v>394</v>
      </c>
      <c r="E826">
        <v>1079</v>
      </c>
    </row>
    <row r="827" spans="1:5">
      <c r="A827" s="27">
        <v>12</v>
      </c>
      <c r="D827" t="s">
        <v>1113</v>
      </c>
      <c r="E827">
        <v>340</v>
      </c>
    </row>
    <row r="828" spans="1:5">
      <c r="A828" s="27">
        <v>904</v>
      </c>
      <c r="D828" t="s">
        <v>474</v>
      </c>
      <c r="E828">
        <v>1306</v>
      </c>
    </row>
    <row r="829" spans="1:5">
      <c r="A829" s="27">
        <v>0.57999999999999996</v>
      </c>
      <c r="D829" t="s">
        <v>314</v>
      </c>
      <c r="E829">
        <v>1746</v>
      </c>
    </row>
    <row r="830" spans="1:5">
      <c r="A830" s="27">
        <v>82</v>
      </c>
      <c r="D830" t="s">
        <v>895</v>
      </c>
      <c r="E830">
        <v>5</v>
      </c>
    </row>
    <row r="831" spans="1:5">
      <c r="A831" s="27">
        <v>175</v>
      </c>
      <c r="D831" t="s">
        <v>201</v>
      </c>
      <c r="E831">
        <v>434</v>
      </c>
    </row>
    <row r="832" spans="1:5">
      <c r="A832" s="27">
        <v>12</v>
      </c>
      <c r="D832" t="s">
        <v>519</v>
      </c>
      <c r="E832">
        <v>405</v>
      </c>
    </row>
    <row r="833" spans="1:5">
      <c r="A833" s="27">
        <v>21</v>
      </c>
      <c r="D833" t="s">
        <v>799</v>
      </c>
      <c r="E833">
        <v>810</v>
      </c>
    </row>
    <row r="834" spans="1:5">
      <c r="A834" s="27">
        <v>38</v>
      </c>
      <c r="D834" t="s">
        <v>457</v>
      </c>
      <c r="E834">
        <v>1894</v>
      </c>
    </row>
    <row r="835" spans="1:5">
      <c r="A835" s="27">
        <v>5</v>
      </c>
      <c r="D835" t="s">
        <v>778</v>
      </c>
      <c r="E835">
        <v>568</v>
      </c>
    </row>
    <row r="836" spans="1:5">
      <c r="A836" s="27">
        <v>2253</v>
      </c>
      <c r="D836" t="s">
        <v>809</v>
      </c>
      <c r="E836">
        <v>26</v>
      </c>
    </row>
    <row r="837" spans="1:5">
      <c r="A837" s="27">
        <v>11.4</v>
      </c>
      <c r="D837" t="s">
        <v>466</v>
      </c>
      <c r="E837">
        <v>1709</v>
      </c>
    </row>
    <row r="838" spans="1:5">
      <c r="A838" s="29">
        <v>0.7944444444444444</v>
      </c>
      <c r="D838" t="s">
        <v>211</v>
      </c>
      <c r="E838">
        <v>30</v>
      </c>
    </row>
    <row r="839" spans="1:5">
      <c r="A839" s="27">
        <v>25</v>
      </c>
      <c r="D839" t="s">
        <v>81</v>
      </c>
      <c r="E839">
        <v>767</v>
      </c>
    </row>
    <row r="840" spans="1:5">
      <c r="A840" s="28">
        <v>54.6</v>
      </c>
      <c r="D840" t="s">
        <v>572</v>
      </c>
      <c r="E840">
        <v>63</v>
      </c>
    </row>
    <row r="841" spans="1:5">
      <c r="A841" s="25">
        <v>41</v>
      </c>
      <c r="D841" t="s">
        <v>1028</v>
      </c>
      <c r="E841">
        <v>22</v>
      </c>
    </row>
    <row r="842" spans="1:5" ht="30">
      <c r="A842" s="26" t="s">
        <v>340</v>
      </c>
      <c r="D842" t="s">
        <v>295</v>
      </c>
      <c r="E842">
        <v>757</v>
      </c>
    </row>
    <row r="843" spans="1:5">
      <c r="A843" s="27" t="s">
        <v>653</v>
      </c>
      <c r="D843" t="s">
        <v>307</v>
      </c>
      <c r="E843">
        <v>65</v>
      </c>
    </row>
    <row r="844" spans="1:5">
      <c r="A844" s="27">
        <v>753</v>
      </c>
      <c r="D844" t="s">
        <v>328</v>
      </c>
      <c r="E844">
        <v>238</v>
      </c>
    </row>
    <row r="845" spans="1:5">
      <c r="A845" s="27">
        <v>239</v>
      </c>
      <c r="D845" t="s">
        <v>1057</v>
      </c>
      <c r="E845">
        <v>8</v>
      </c>
    </row>
    <row r="846" spans="1:5">
      <c r="A846" s="27">
        <v>328</v>
      </c>
      <c r="D846" t="s">
        <v>1115</v>
      </c>
      <c r="E846">
        <v>124</v>
      </c>
    </row>
    <row r="847" spans="1:5">
      <c r="A847" s="27">
        <v>567</v>
      </c>
      <c r="D847" t="s">
        <v>727</v>
      </c>
      <c r="E847">
        <v>409</v>
      </c>
    </row>
    <row r="848" spans="1:5">
      <c r="A848" s="27">
        <v>-88</v>
      </c>
      <c r="D848" t="s">
        <v>1137</v>
      </c>
      <c r="E848">
        <v>253</v>
      </c>
    </row>
    <row r="849" spans="1:5">
      <c r="A849" s="27">
        <v>174</v>
      </c>
      <c r="D849" t="s">
        <v>1059</v>
      </c>
      <c r="E849">
        <v>9</v>
      </c>
    </row>
    <row r="850" spans="1:5">
      <c r="A850" s="27">
        <v>0.75</v>
      </c>
      <c r="D850" t="s">
        <v>682</v>
      </c>
      <c r="E850">
        <v>289</v>
      </c>
    </row>
    <row r="851" spans="1:5">
      <c r="A851" s="27">
        <v>56</v>
      </c>
      <c r="D851" t="s">
        <v>222</v>
      </c>
      <c r="E851">
        <v>1270</v>
      </c>
    </row>
    <row r="852" spans="1:5">
      <c r="A852" s="27">
        <v>134</v>
      </c>
      <c r="D852" t="s">
        <v>30</v>
      </c>
      <c r="E852">
        <v>326</v>
      </c>
    </row>
    <row r="853" spans="1:5">
      <c r="A853" s="27">
        <v>2</v>
      </c>
      <c r="D853" t="s">
        <v>731</v>
      </c>
      <c r="E853">
        <v>1208</v>
      </c>
    </row>
    <row r="854" spans="1:5">
      <c r="A854" s="27">
        <v>3</v>
      </c>
      <c r="D854" t="s">
        <v>1087</v>
      </c>
      <c r="E854">
        <v>105</v>
      </c>
    </row>
    <row r="855" spans="1:5">
      <c r="A855" s="27">
        <v>32</v>
      </c>
      <c r="D855" t="s">
        <v>235</v>
      </c>
      <c r="E855">
        <v>739</v>
      </c>
    </row>
    <row r="856" spans="1:5">
      <c r="A856" s="27">
        <v>6</v>
      </c>
      <c r="D856" t="s">
        <v>927</v>
      </c>
      <c r="E856">
        <v>71</v>
      </c>
    </row>
    <row r="857" spans="1:5">
      <c r="A857" s="27">
        <v>1846</v>
      </c>
      <c r="D857" t="s">
        <v>1094</v>
      </c>
      <c r="E857">
        <v>23</v>
      </c>
    </row>
    <row r="858" spans="1:5">
      <c r="A858" s="27">
        <v>12.9</v>
      </c>
      <c r="D858" t="s">
        <v>1154</v>
      </c>
      <c r="E858">
        <v>1024</v>
      </c>
    </row>
    <row r="859" spans="1:5">
      <c r="A859" s="29">
        <v>0.76736111111111116</v>
      </c>
      <c r="D859" t="s">
        <v>949</v>
      </c>
      <c r="E859">
        <v>4</v>
      </c>
    </row>
    <row r="860" spans="1:5">
      <c r="A860" s="27">
        <v>22.7</v>
      </c>
      <c r="D860" t="s">
        <v>662</v>
      </c>
      <c r="E860">
        <v>795</v>
      </c>
    </row>
    <row r="861" spans="1:5">
      <c r="A861" s="28">
        <v>53.1</v>
      </c>
      <c r="D861" t="s">
        <v>522</v>
      </c>
      <c r="E861">
        <v>507</v>
      </c>
    </row>
    <row r="862" spans="1:5">
      <c r="A862" s="25">
        <v>42</v>
      </c>
      <c r="D862" t="s">
        <v>100</v>
      </c>
      <c r="E862">
        <v>2561</v>
      </c>
    </row>
    <row r="863" spans="1:5" ht="30">
      <c r="A863" s="26" t="s">
        <v>100</v>
      </c>
      <c r="D863" t="s">
        <v>726</v>
      </c>
      <c r="E863">
        <v>44</v>
      </c>
    </row>
    <row r="864" spans="1:5">
      <c r="A864" s="27" t="s">
        <v>42</v>
      </c>
      <c r="D864" t="s">
        <v>952</v>
      </c>
      <c r="E864">
        <v>3</v>
      </c>
    </row>
    <row r="865" spans="1:5">
      <c r="A865" s="27">
        <v>953</v>
      </c>
      <c r="D865" t="s">
        <v>207</v>
      </c>
      <c r="E865">
        <v>3109</v>
      </c>
    </row>
    <row r="866" spans="1:5">
      <c r="A866" s="27">
        <v>212</v>
      </c>
      <c r="D866" t="s">
        <v>1107</v>
      </c>
      <c r="E866">
        <v>132</v>
      </c>
    </row>
    <row r="867" spans="1:5">
      <c r="A867" s="27">
        <v>345</v>
      </c>
      <c r="D867" t="s">
        <v>259</v>
      </c>
      <c r="E867">
        <v>109</v>
      </c>
    </row>
    <row r="868" spans="1:5">
      <c r="A868" s="27">
        <v>557</v>
      </c>
      <c r="D868" t="s">
        <v>867</v>
      </c>
      <c r="E868">
        <v>256</v>
      </c>
    </row>
    <row r="869" spans="1:5">
      <c r="A869" s="27">
        <v>84</v>
      </c>
      <c r="D869" t="s">
        <v>1143</v>
      </c>
      <c r="E869">
        <v>225</v>
      </c>
    </row>
    <row r="870" spans="1:5">
      <c r="A870" s="27">
        <v>662</v>
      </c>
      <c r="D870" t="s">
        <v>914</v>
      </c>
      <c r="E870">
        <v>10</v>
      </c>
    </row>
    <row r="871" spans="1:5">
      <c r="A871" s="27">
        <v>0.57999999999999996</v>
      </c>
      <c r="D871" t="s">
        <v>28</v>
      </c>
      <c r="E871">
        <v>244</v>
      </c>
    </row>
    <row r="872" spans="1:5">
      <c r="A872" s="27">
        <v>101</v>
      </c>
      <c r="D872" t="s">
        <v>1135</v>
      </c>
      <c r="E872">
        <v>145</v>
      </c>
    </row>
    <row r="873" spans="1:5">
      <c r="A873" s="27">
        <v>225</v>
      </c>
      <c r="D873" t="s">
        <v>133</v>
      </c>
      <c r="E873">
        <v>2389</v>
      </c>
    </row>
    <row r="874" spans="1:5">
      <c r="A874" s="27">
        <v>5</v>
      </c>
      <c r="D874" t="s">
        <v>499</v>
      </c>
      <c r="E874">
        <v>437</v>
      </c>
    </row>
    <row r="875" spans="1:5">
      <c r="A875" s="27">
        <v>11</v>
      </c>
      <c r="D875" t="s">
        <v>181</v>
      </c>
      <c r="E875">
        <v>1585</v>
      </c>
    </row>
    <row r="876" spans="1:5">
      <c r="A876" s="27">
        <v>34</v>
      </c>
      <c r="D876" t="s">
        <v>336</v>
      </c>
      <c r="E876">
        <v>9</v>
      </c>
    </row>
    <row r="877" spans="1:5">
      <c r="A877" s="27">
        <v>7</v>
      </c>
      <c r="D877" t="s">
        <v>887</v>
      </c>
      <c r="E877">
        <v>163</v>
      </c>
    </row>
    <row r="878" spans="1:5">
      <c r="A878" s="27">
        <v>2561</v>
      </c>
      <c r="D878" t="s">
        <v>836</v>
      </c>
      <c r="E878">
        <v>33</v>
      </c>
    </row>
    <row r="879" spans="1:5">
      <c r="A879" s="27">
        <v>8.3000000000000007</v>
      </c>
      <c r="D879" t="s">
        <v>817</v>
      </c>
      <c r="E879">
        <v>93</v>
      </c>
    </row>
    <row r="880" spans="1:5">
      <c r="A880" s="30">
        <v>1.0041666666666667</v>
      </c>
      <c r="D880" t="s">
        <v>506</v>
      </c>
      <c r="E880">
        <v>828</v>
      </c>
    </row>
    <row r="881" spans="1:5">
      <c r="A881" s="27">
        <v>28.1</v>
      </c>
      <c r="D881" t="s">
        <v>940</v>
      </c>
      <c r="E881">
        <v>31</v>
      </c>
    </row>
    <row r="882" spans="1:5">
      <c r="A882" s="28">
        <v>0</v>
      </c>
      <c r="D882" t="s">
        <v>1075</v>
      </c>
      <c r="E882">
        <v>166</v>
      </c>
    </row>
    <row r="883" spans="1:5">
      <c r="A883" s="25">
        <v>43</v>
      </c>
      <c r="D883" t="s">
        <v>289</v>
      </c>
      <c r="E883">
        <v>1968</v>
      </c>
    </row>
    <row r="884" spans="1:5" ht="30">
      <c r="A884" s="26" t="s">
        <v>457</v>
      </c>
      <c r="D884" t="s">
        <v>206</v>
      </c>
      <c r="E884">
        <v>71</v>
      </c>
    </row>
    <row r="885" spans="1:5">
      <c r="A885" s="27" t="s">
        <v>42</v>
      </c>
      <c r="D885" t="s">
        <v>249</v>
      </c>
      <c r="E885">
        <v>804</v>
      </c>
    </row>
    <row r="886" spans="1:5">
      <c r="A886" s="27">
        <v>1101</v>
      </c>
      <c r="D886" t="s">
        <v>139</v>
      </c>
      <c r="E886">
        <v>356</v>
      </c>
    </row>
    <row r="887" spans="1:5">
      <c r="A887" s="27">
        <v>85</v>
      </c>
      <c r="D887" t="s">
        <v>750</v>
      </c>
      <c r="E887">
        <v>494</v>
      </c>
    </row>
    <row r="888" spans="1:5">
      <c r="A888" s="27">
        <v>471</v>
      </c>
      <c r="D888" t="s">
        <v>1045</v>
      </c>
      <c r="E888">
        <v>5</v>
      </c>
    </row>
    <row r="889" spans="1:5">
      <c r="A889" s="27">
        <v>556</v>
      </c>
      <c r="D889" t="s">
        <v>545</v>
      </c>
      <c r="E889">
        <v>113</v>
      </c>
    </row>
    <row r="890" spans="1:5">
      <c r="A890" s="27">
        <v>98</v>
      </c>
      <c r="D890" t="s">
        <v>848</v>
      </c>
      <c r="E890">
        <v>338</v>
      </c>
    </row>
    <row r="891" spans="1:5">
      <c r="A891" s="27">
        <v>651</v>
      </c>
      <c r="D891" t="s">
        <v>551</v>
      </c>
      <c r="E891">
        <v>626</v>
      </c>
    </row>
    <row r="892" spans="1:5">
      <c r="A892" s="27">
        <v>0.5</v>
      </c>
      <c r="D892" t="s">
        <v>1083</v>
      </c>
      <c r="E892">
        <v>78</v>
      </c>
    </row>
    <row r="893" spans="1:5">
      <c r="A893" s="27">
        <v>30</v>
      </c>
      <c r="D893" t="s">
        <v>1132</v>
      </c>
      <c r="E893">
        <v>729</v>
      </c>
    </row>
    <row r="894" spans="1:5">
      <c r="A894" s="27">
        <v>221</v>
      </c>
      <c r="D894" t="s">
        <v>946</v>
      </c>
      <c r="E894">
        <v>0</v>
      </c>
    </row>
    <row r="895" spans="1:5">
      <c r="A895" s="27">
        <v>4</v>
      </c>
      <c r="D895" t="s">
        <v>899</v>
      </c>
      <c r="E895">
        <v>766</v>
      </c>
    </row>
    <row r="896" spans="1:5">
      <c r="A896" s="27">
        <v>14</v>
      </c>
      <c r="D896" t="s">
        <v>937</v>
      </c>
      <c r="E896">
        <v>202</v>
      </c>
    </row>
    <row r="897" spans="1:5">
      <c r="A897" s="27">
        <v>17</v>
      </c>
      <c r="D897" t="s">
        <v>186</v>
      </c>
      <c r="E897">
        <v>657</v>
      </c>
    </row>
    <row r="898" spans="1:5">
      <c r="A898" s="27">
        <v>2</v>
      </c>
      <c r="D898" t="s">
        <v>546</v>
      </c>
      <c r="E898">
        <v>952</v>
      </c>
    </row>
    <row r="899" spans="1:5">
      <c r="A899" s="27">
        <v>1894</v>
      </c>
      <c r="D899" t="s">
        <v>916</v>
      </c>
      <c r="E899">
        <v>298</v>
      </c>
    </row>
    <row r="900" spans="1:5">
      <c r="A900" s="27">
        <v>4.5</v>
      </c>
      <c r="D900" t="s">
        <v>681</v>
      </c>
      <c r="E900">
        <v>268</v>
      </c>
    </row>
    <row r="901" spans="1:5">
      <c r="A901" s="30">
        <v>1.05</v>
      </c>
      <c r="D901" t="s">
        <v>97</v>
      </c>
      <c r="E901">
        <v>1179</v>
      </c>
    </row>
    <row r="902" spans="1:5">
      <c r="A902" s="27">
        <v>28</v>
      </c>
      <c r="D902" t="s">
        <v>982</v>
      </c>
      <c r="E902">
        <v>0</v>
      </c>
    </row>
    <row r="903" spans="1:5">
      <c r="A903" s="28">
        <v>40</v>
      </c>
      <c r="D903" t="s">
        <v>661</v>
      </c>
      <c r="E903">
        <v>288</v>
      </c>
    </row>
    <row r="904" spans="1:5">
      <c r="A904" s="25">
        <v>44</v>
      </c>
      <c r="D904" t="s">
        <v>679</v>
      </c>
      <c r="E904">
        <v>1239</v>
      </c>
    </row>
    <row r="905" spans="1:5" ht="30">
      <c r="A905" s="26" t="s">
        <v>18</v>
      </c>
      <c r="D905" t="s">
        <v>171</v>
      </c>
      <c r="E905">
        <v>51</v>
      </c>
    </row>
    <row r="906" spans="1:5">
      <c r="A906" s="27" t="s">
        <v>43</v>
      </c>
      <c r="D906" t="s">
        <v>51</v>
      </c>
      <c r="E906">
        <v>180</v>
      </c>
    </row>
    <row r="907" spans="1:5">
      <c r="A907" s="27">
        <v>938</v>
      </c>
      <c r="D907" t="s">
        <v>530</v>
      </c>
      <c r="E907">
        <v>1080</v>
      </c>
    </row>
    <row r="908" spans="1:5">
      <c r="A908" s="27">
        <v>245</v>
      </c>
      <c r="D908" t="s">
        <v>225</v>
      </c>
      <c r="E908">
        <v>555</v>
      </c>
    </row>
    <row r="909" spans="1:5">
      <c r="A909" s="27">
        <v>308</v>
      </c>
      <c r="D909" t="s">
        <v>229</v>
      </c>
      <c r="E909">
        <v>240</v>
      </c>
    </row>
    <row r="910" spans="1:5">
      <c r="A910" s="27">
        <v>553</v>
      </c>
      <c r="D910" t="s">
        <v>298</v>
      </c>
      <c r="E910">
        <v>1713</v>
      </c>
    </row>
    <row r="911" spans="1:5">
      <c r="A911" s="27">
        <v>68</v>
      </c>
      <c r="D911" t="s">
        <v>719</v>
      </c>
      <c r="E911">
        <v>20</v>
      </c>
    </row>
    <row r="912" spans="1:5">
      <c r="A912" s="27">
        <v>1138</v>
      </c>
      <c r="D912" t="s">
        <v>989</v>
      </c>
      <c r="E912">
        <v>5</v>
      </c>
    </row>
    <row r="913" spans="1:5">
      <c r="A913" s="27">
        <v>0.59</v>
      </c>
      <c r="D913" t="s">
        <v>905</v>
      </c>
      <c r="E913">
        <v>1374</v>
      </c>
    </row>
    <row r="914" spans="1:5">
      <c r="A914" s="27">
        <v>65</v>
      </c>
      <c r="D914" t="s">
        <v>842</v>
      </c>
      <c r="E914">
        <v>1140</v>
      </c>
    </row>
    <row r="915" spans="1:5">
      <c r="A915" s="27">
        <v>132</v>
      </c>
      <c r="D915" t="s">
        <v>928</v>
      </c>
      <c r="E915">
        <v>62</v>
      </c>
    </row>
    <row r="916" spans="1:5">
      <c r="A916" s="27">
        <v>4</v>
      </c>
      <c r="D916" t="s">
        <v>1108</v>
      </c>
      <c r="E916">
        <v>414</v>
      </c>
    </row>
    <row r="917" spans="1:5">
      <c r="A917" s="27">
        <v>10</v>
      </c>
      <c r="D917" t="s">
        <v>722</v>
      </c>
      <c r="E917">
        <v>1316</v>
      </c>
    </row>
    <row r="918" spans="1:5">
      <c r="A918" s="27">
        <v>31</v>
      </c>
      <c r="D918" t="s">
        <v>1136</v>
      </c>
      <c r="E918">
        <v>362</v>
      </c>
    </row>
    <row r="919" spans="1:5">
      <c r="A919" s="27">
        <v>2</v>
      </c>
      <c r="D919" t="s">
        <v>573</v>
      </c>
      <c r="E919">
        <v>62</v>
      </c>
    </row>
    <row r="920" spans="1:5">
      <c r="A920" s="27">
        <v>2133</v>
      </c>
      <c r="D920" t="s">
        <v>422</v>
      </c>
      <c r="E920">
        <v>54</v>
      </c>
    </row>
    <row r="921" spans="1:5">
      <c r="A921" s="27">
        <v>11.5</v>
      </c>
      <c r="D921" t="s">
        <v>980</v>
      </c>
      <c r="E921">
        <v>0</v>
      </c>
    </row>
    <row r="922" spans="1:5">
      <c r="A922" s="29">
        <v>0.7284722222222223</v>
      </c>
      <c r="D922" t="s">
        <v>151</v>
      </c>
      <c r="E922">
        <v>278</v>
      </c>
    </row>
    <row r="923" spans="1:5">
      <c r="A923" s="27">
        <v>24.3</v>
      </c>
      <c r="D923" t="s">
        <v>691</v>
      </c>
      <c r="E923">
        <v>1165</v>
      </c>
    </row>
    <row r="924" spans="1:5">
      <c r="A924" s="28">
        <v>50</v>
      </c>
      <c r="D924" t="s">
        <v>147</v>
      </c>
      <c r="E924">
        <v>1223</v>
      </c>
    </row>
    <row r="925" spans="1:5">
      <c r="A925" s="25">
        <v>45</v>
      </c>
      <c r="D925" t="s">
        <v>798</v>
      </c>
      <c r="E925">
        <v>10</v>
      </c>
    </row>
    <row r="926" spans="1:5" ht="30">
      <c r="A926" s="26" t="s">
        <v>145</v>
      </c>
      <c r="D926" t="s">
        <v>789</v>
      </c>
      <c r="E926">
        <v>60</v>
      </c>
    </row>
    <row r="927" spans="1:5">
      <c r="A927" s="27" t="s">
        <v>43</v>
      </c>
      <c r="D927" t="s">
        <v>756</v>
      </c>
      <c r="E927">
        <v>1091</v>
      </c>
    </row>
    <row r="928" spans="1:5">
      <c r="A928" s="27">
        <v>825</v>
      </c>
      <c r="D928" t="s">
        <v>179</v>
      </c>
      <c r="E928">
        <v>5</v>
      </c>
    </row>
    <row r="929" spans="1:5">
      <c r="A929" s="27">
        <v>250</v>
      </c>
      <c r="D929" t="s">
        <v>907</v>
      </c>
      <c r="E929">
        <v>227</v>
      </c>
    </row>
    <row r="930" spans="1:5">
      <c r="A930" s="27">
        <v>301</v>
      </c>
      <c r="D930" t="s">
        <v>505</v>
      </c>
      <c r="E930">
        <v>1095</v>
      </c>
    </row>
    <row r="931" spans="1:5">
      <c r="A931" s="27">
        <v>551</v>
      </c>
      <c r="D931" t="s">
        <v>883</v>
      </c>
      <c r="E931">
        <v>308</v>
      </c>
    </row>
    <row r="932" spans="1:5">
      <c r="A932" s="27">
        <v>-1</v>
      </c>
      <c r="D932" t="s">
        <v>410</v>
      </c>
      <c r="E932">
        <v>2458</v>
      </c>
    </row>
    <row r="933" spans="1:5">
      <c r="A933" s="27">
        <v>432</v>
      </c>
      <c r="D933" t="s">
        <v>590</v>
      </c>
      <c r="E933">
        <v>1273</v>
      </c>
    </row>
    <row r="934" spans="1:5">
      <c r="A934" s="27">
        <v>0.67</v>
      </c>
      <c r="D934" t="s">
        <v>1055</v>
      </c>
      <c r="E934">
        <v>17</v>
      </c>
    </row>
    <row r="935" spans="1:5">
      <c r="A935" s="27">
        <v>62</v>
      </c>
      <c r="D935" t="s">
        <v>1048</v>
      </c>
      <c r="E935">
        <v>5</v>
      </c>
    </row>
    <row r="936" spans="1:5">
      <c r="A936" s="27">
        <v>139</v>
      </c>
      <c r="D936" t="s">
        <v>50</v>
      </c>
      <c r="E936">
        <v>1143</v>
      </c>
    </row>
    <row r="937" spans="1:5">
      <c r="A937" s="27">
        <v>3</v>
      </c>
      <c r="D937" t="s">
        <v>331</v>
      </c>
      <c r="E937">
        <v>283</v>
      </c>
    </row>
    <row r="938" spans="1:5">
      <c r="A938" s="27">
        <v>3</v>
      </c>
      <c r="D938" t="s">
        <v>1017</v>
      </c>
      <c r="E938">
        <v>4</v>
      </c>
    </row>
    <row r="939" spans="1:5">
      <c r="A939" s="27">
        <v>26</v>
      </c>
      <c r="D939" t="s">
        <v>938</v>
      </c>
      <c r="E939">
        <v>57</v>
      </c>
    </row>
    <row r="940" spans="1:5">
      <c r="A940" s="27">
        <v>3</v>
      </c>
      <c r="D940" t="s">
        <v>335</v>
      </c>
      <c r="E940">
        <v>383</v>
      </c>
    </row>
    <row r="941" spans="1:5">
      <c r="A941" s="27">
        <v>2042</v>
      </c>
      <c r="D941" t="s">
        <v>157</v>
      </c>
      <c r="E941">
        <v>1376</v>
      </c>
    </row>
    <row r="942" spans="1:5">
      <c r="A942" s="27">
        <v>12.2</v>
      </c>
      <c r="D942" t="s">
        <v>125</v>
      </c>
      <c r="E942">
        <v>1425</v>
      </c>
    </row>
    <row r="943" spans="1:5">
      <c r="A943" s="29">
        <v>0.70694444444444438</v>
      </c>
      <c r="D943" t="s">
        <v>93</v>
      </c>
      <c r="E943">
        <v>142</v>
      </c>
    </row>
    <row r="944" spans="1:5">
      <c r="A944" s="27">
        <v>21.6</v>
      </c>
      <c r="D944" t="s">
        <v>1011</v>
      </c>
      <c r="E944">
        <v>90</v>
      </c>
    </row>
    <row r="945" spans="1:5">
      <c r="A945" s="28">
        <v>39.1</v>
      </c>
      <c r="D945" t="s">
        <v>718</v>
      </c>
      <c r="E945">
        <v>713</v>
      </c>
    </row>
    <row r="946" spans="1:5">
      <c r="A946" s="25">
        <v>46</v>
      </c>
      <c r="D946" t="s">
        <v>338</v>
      </c>
      <c r="E946">
        <v>886</v>
      </c>
    </row>
    <row r="947" spans="1:5" ht="30">
      <c r="A947" s="26" t="s">
        <v>117</v>
      </c>
      <c r="D947" t="s">
        <v>993</v>
      </c>
      <c r="E947">
        <v>10</v>
      </c>
    </row>
    <row r="948" spans="1:5">
      <c r="A948" s="27" t="s">
        <v>42</v>
      </c>
      <c r="D948" t="s">
        <v>310</v>
      </c>
      <c r="E948">
        <v>351</v>
      </c>
    </row>
    <row r="949" spans="1:5">
      <c r="A949" s="27">
        <v>934</v>
      </c>
      <c r="D949" t="s">
        <v>712</v>
      </c>
      <c r="E949">
        <v>1026</v>
      </c>
    </row>
    <row r="950" spans="1:5">
      <c r="A950" s="27">
        <v>96</v>
      </c>
      <c r="D950" t="s">
        <v>777</v>
      </c>
      <c r="E950">
        <v>68</v>
      </c>
    </row>
    <row r="951" spans="1:5">
      <c r="A951" s="27">
        <v>454</v>
      </c>
      <c r="D951" t="s">
        <v>489</v>
      </c>
      <c r="E951">
        <v>363</v>
      </c>
    </row>
    <row r="952" spans="1:5">
      <c r="A952" s="27">
        <v>550</v>
      </c>
      <c r="D952" t="s">
        <v>957</v>
      </c>
      <c r="E952">
        <v>3</v>
      </c>
    </row>
    <row r="953" spans="1:5">
      <c r="A953" s="27">
        <v>-43</v>
      </c>
      <c r="D953" t="s">
        <v>86</v>
      </c>
      <c r="E953">
        <v>721</v>
      </c>
    </row>
    <row r="954" spans="1:5">
      <c r="A954" s="27">
        <v>550</v>
      </c>
      <c r="D954" t="s">
        <v>845</v>
      </c>
      <c r="E954">
        <v>1660</v>
      </c>
    </row>
    <row r="955" spans="1:5">
      <c r="A955" s="27">
        <v>0.59</v>
      </c>
      <c r="D955" t="s">
        <v>257</v>
      </c>
      <c r="E955">
        <v>30</v>
      </c>
    </row>
    <row r="956" spans="1:5">
      <c r="A956" s="27">
        <v>36</v>
      </c>
      <c r="D956" t="s">
        <v>333</v>
      </c>
      <c r="E956">
        <v>39</v>
      </c>
    </row>
    <row r="957" spans="1:5">
      <c r="A957" s="27">
        <v>255</v>
      </c>
      <c r="D957" t="s">
        <v>816</v>
      </c>
      <c r="E957">
        <v>592</v>
      </c>
    </row>
    <row r="958" spans="1:5">
      <c r="A958" s="27">
        <v>0</v>
      </c>
      <c r="D958" t="s">
        <v>239</v>
      </c>
      <c r="E958">
        <v>163</v>
      </c>
    </row>
    <row r="959" spans="1:5">
      <c r="A959" s="27">
        <v>4</v>
      </c>
      <c r="D959" t="s">
        <v>293</v>
      </c>
      <c r="E959">
        <v>1925</v>
      </c>
    </row>
    <row r="960" spans="1:5">
      <c r="A960" s="27">
        <v>15</v>
      </c>
      <c r="D960" t="s">
        <v>286</v>
      </c>
      <c r="E960">
        <v>230</v>
      </c>
    </row>
    <row r="961" spans="1:5">
      <c r="A961" s="27">
        <v>1</v>
      </c>
      <c r="D961" t="s">
        <v>1029</v>
      </c>
      <c r="E961">
        <v>2</v>
      </c>
    </row>
    <row r="962" spans="1:5">
      <c r="A962" s="27">
        <v>2113</v>
      </c>
      <c r="D962" t="s">
        <v>511</v>
      </c>
      <c r="E962">
        <v>231</v>
      </c>
    </row>
    <row r="963" spans="1:5">
      <c r="A963" s="27">
        <v>4.5</v>
      </c>
      <c r="D963" t="s">
        <v>516</v>
      </c>
      <c r="E963">
        <v>654</v>
      </c>
    </row>
    <row r="964" spans="1:5">
      <c r="A964" s="29">
        <v>0.90138888888888891</v>
      </c>
      <c r="D964" t="s">
        <v>60</v>
      </c>
      <c r="E964">
        <v>648</v>
      </c>
    </row>
    <row r="965" spans="1:5">
      <c r="A965" s="27">
        <v>26.4</v>
      </c>
      <c r="D965" t="s">
        <v>1112</v>
      </c>
      <c r="E965">
        <v>213</v>
      </c>
    </row>
    <row r="966" spans="1:5">
      <c r="A966" s="28">
        <v>0</v>
      </c>
      <c r="D966" t="s">
        <v>964</v>
      </c>
      <c r="E966">
        <v>0</v>
      </c>
    </row>
    <row r="967" spans="1:5">
      <c r="A967" s="25">
        <v>47</v>
      </c>
      <c r="D967" t="s">
        <v>794</v>
      </c>
      <c r="E967">
        <v>341</v>
      </c>
    </row>
    <row r="968" spans="1:5" ht="30">
      <c r="A968" s="26" t="s">
        <v>181</v>
      </c>
      <c r="D968" t="s">
        <v>353</v>
      </c>
      <c r="E968">
        <v>603</v>
      </c>
    </row>
    <row r="969" spans="1:5">
      <c r="A969" s="27" t="s">
        <v>43</v>
      </c>
      <c r="D969" t="s">
        <v>803</v>
      </c>
      <c r="E969">
        <v>165</v>
      </c>
    </row>
    <row r="970" spans="1:5">
      <c r="A970" s="27">
        <v>764</v>
      </c>
      <c r="D970" t="s">
        <v>536</v>
      </c>
      <c r="E970">
        <v>276</v>
      </c>
    </row>
    <row r="971" spans="1:5">
      <c r="A971" s="27">
        <v>223</v>
      </c>
      <c r="D971" t="s">
        <v>884</v>
      </c>
      <c r="E971">
        <v>149</v>
      </c>
    </row>
    <row r="972" spans="1:5">
      <c r="A972" s="27">
        <v>317</v>
      </c>
      <c r="D972" t="s">
        <v>1173</v>
      </c>
      <c r="E972">
        <v>1217</v>
      </c>
    </row>
    <row r="973" spans="1:5">
      <c r="A973" s="27">
        <v>540</v>
      </c>
      <c r="D973" t="s">
        <v>804</v>
      </c>
      <c r="E973">
        <v>508</v>
      </c>
    </row>
    <row r="974" spans="1:5">
      <c r="A974" s="27">
        <v>127</v>
      </c>
      <c r="D974" t="s">
        <v>452</v>
      </c>
      <c r="E974">
        <v>3228</v>
      </c>
    </row>
    <row r="975" spans="1:5">
      <c r="A975" s="27">
        <v>392</v>
      </c>
      <c r="D975" t="s">
        <v>316</v>
      </c>
      <c r="E975">
        <v>145</v>
      </c>
    </row>
    <row r="976" spans="1:5">
      <c r="A976" s="27">
        <v>0.71</v>
      </c>
      <c r="D976" t="s">
        <v>654</v>
      </c>
      <c r="E976">
        <v>5</v>
      </c>
    </row>
    <row r="977" spans="1:5">
      <c r="A977" s="27">
        <v>61</v>
      </c>
      <c r="D977" t="s">
        <v>1110</v>
      </c>
      <c r="E977">
        <v>138</v>
      </c>
    </row>
    <row r="978" spans="1:5">
      <c r="A978" s="27">
        <v>159</v>
      </c>
      <c r="D978" t="s">
        <v>1119</v>
      </c>
      <c r="E978">
        <v>628</v>
      </c>
    </row>
    <row r="979" spans="1:5">
      <c r="A979" s="27">
        <v>9</v>
      </c>
      <c r="D979" t="s">
        <v>950</v>
      </c>
      <c r="E979">
        <v>0</v>
      </c>
    </row>
    <row r="980" spans="1:5">
      <c r="A980" s="27">
        <v>17</v>
      </c>
      <c r="D980" t="s">
        <v>469</v>
      </c>
      <c r="E980">
        <v>645</v>
      </c>
    </row>
    <row r="981" spans="1:5">
      <c r="A981" s="27">
        <v>37</v>
      </c>
      <c r="D981" t="s">
        <v>1051</v>
      </c>
      <c r="E981">
        <v>5</v>
      </c>
    </row>
    <row r="982" spans="1:5">
      <c r="A982" s="27">
        <v>3</v>
      </c>
      <c r="D982" t="s">
        <v>442</v>
      </c>
      <c r="E982">
        <v>1013</v>
      </c>
    </row>
    <row r="983" spans="1:5">
      <c r="A983" s="27">
        <v>1585</v>
      </c>
      <c r="D983" t="s">
        <v>23</v>
      </c>
      <c r="E983">
        <v>2574</v>
      </c>
    </row>
    <row r="984" spans="1:5">
      <c r="A984" s="27">
        <v>14.1</v>
      </c>
      <c r="D984" t="s">
        <v>73</v>
      </c>
      <c r="E984">
        <v>673</v>
      </c>
    </row>
    <row r="985" spans="1:5">
      <c r="A985" s="29">
        <v>0.77500000000000002</v>
      </c>
    </row>
    <row r="986" spans="1:5">
      <c r="A986" s="27">
        <v>24.2</v>
      </c>
    </row>
    <row r="987" spans="1:5">
      <c r="A987" s="28">
        <v>45.7</v>
      </c>
    </row>
    <row r="988" spans="1:5">
      <c r="A988" s="25">
        <v>48</v>
      </c>
    </row>
    <row r="989" spans="1:5" ht="30">
      <c r="A989" s="26" t="s">
        <v>850</v>
      </c>
    </row>
    <row r="990" spans="1:5">
      <c r="A990" s="27" t="s">
        <v>44</v>
      </c>
    </row>
    <row r="991" spans="1:5">
      <c r="A991" s="27">
        <v>946</v>
      </c>
    </row>
    <row r="992" spans="1:5">
      <c r="A992" s="27">
        <v>248</v>
      </c>
    </row>
    <row r="993" spans="1:1">
      <c r="A993" s="27">
        <v>289</v>
      </c>
    </row>
    <row r="994" spans="1:1">
      <c r="A994" s="27">
        <v>537</v>
      </c>
    </row>
    <row r="995" spans="1:1">
      <c r="A995" s="27">
        <v>38</v>
      </c>
    </row>
    <row r="996" spans="1:1">
      <c r="A996" s="27">
        <v>564</v>
      </c>
    </row>
    <row r="997" spans="1:1">
      <c r="A997" s="27">
        <v>0.56999999999999995</v>
      </c>
    </row>
    <row r="998" spans="1:1">
      <c r="A998" s="27">
        <v>48</v>
      </c>
    </row>
    <row r="999" spans="1:1">
      <c r="A999" s="27">
        <v>101</v>
      </c>
    </row>
    <row r="1000" spans="1:1">
      <c r="A1000" s="27">
        <v>6</v>
      </c>
    </row>
    <row r="1001" spans="1:1">
      <c r="A1001" s="27">
        <v>13</v>
      </c>
    </row>
    <row r="1002" spans="1:1">
      <c r="A1002" s="27">
        <v>36</v>
      </c>
    </row>
    <row r="1003" spans="1:1">
      <c r="A1003" s="27">
        <v>5</v>
      </c>
    </row>
    <row r="1004" spans="1:1">
      <c r="A1004" s="27">
        <v>2089</v>
      </c>
    </row>
    <row r="1005" spans="1:1">
      <c r="A1005" s="27">
        <v>11.9</v>
      </c>
    </row>
    <row r="1006" spans="1:1">
      <c r="A1006" s="29">
        <v>0.69374999999999998</v>
      </c>
    </row>
    <row r="1007" spans="1:1">
      <c r="A1007" s="27">
        <v>22</v>
      </c>
    </row>
    <row r="1008" spans="1:1">
      <c r="A1008" s="28">
        <v>41.5</v>
      </c>
    </row>
    <row r="1009" spans="1:1">
      <c r="A1009" s="25">
        <v>49</v>
      </c>
    </row>
    <row r="1010" spans="1:1" ht="30">
      <c r="A1010" s="26" t="s">
        <v>541</v>
      </c>
    </row>
    <row r="1011" spans="1:1">
      <c r="A1011" s="27" t="s">
        <v>653</v>
      </c>
    </row>
    <row r="1012" spans="1:1">
      <c r="A1012" s="27">
        <v>692</v>
      </c>
    </row>
    <row r="1013" spans="1:1">
      <c r="A1013" s="27">
        <v>248</v>
      </c>
    </row>
    <row r="1014" spans="1:1">
      <c r="A1014" s="27">
        <v>287</v>
      </c>
    </row>
    <row r="1015" spans="1:1">
      <c r="A1015" s="27">
        <v>535</v>
      </c>
    </row>
    <row r="1016" spans="1:1">
      <c r="A1016" s="27">
        <v>53</v>
      </c>
    </row>
    <row r="1017" spans="1:1">
      <c r="A1017" s="27">
        <v>189</v>
      </c>
    </row>
    <row r="1018" spans="1:1">
      <c r="A1018" s="27">
        <v>0.77</v>
      </c>
    </row>
    <row r="1019" spans="1:1">
      <c r="A1019" s="27">
        <v>71</v>
      </c>
    </row>
    <row r="1020" spans="1:1">
      <c r="A1020" s="27">
        <v>167</v>
      </c>
    </row>
    <row r="1021" spans="1:1">
      <c r="A1021" s="27">
        <v>10</v>
      </c>
    </row>
    <row r="1022" spans="1:1">
      <c r="A1022" s="27">
        <v>17</v>
      </c>
    </row>
    <row r="1023" spans="1:1">
      <c r="A1023" s="27">
        <v>45</v>
      </c>
    </row>
    <row r="1024" spans="1:1">
      <c r="A1024" s="27">
        <v>4</v>
      </c>
    </row>
    <row r="1025" spans="1:1">
      <c r="A1025" s="27">
        <v>1981</v>
      </c>
    </row>
    <row r="1026" spans="1:1">
      <c r="A1026" s="27">
        <v>12.5</v>
      </c>
    </row>
    <row r="1027" spans="1:1">
      <c r="A1027" s="29">
        <v>0.75208333333333333</v>
      </c>
    </row>
    <row r="1028" spans="1:1">
      <c r="A1028" s="27">
        <v>24.5</v>
      </c>
    </row>
    <row r="1029" spans="1:1">
      <c r="A1029" s="28">
        <v>48.4</v>
      </c>
    </row>
    <row r="1030" spans="1:1">
      <c r="A1030" s="25">
        <v>50</v>
      </c>
    </row>
    <row r="1031" spans="1:1" ht="30">
      <c r="A1031" s="26" t="s">
        <v>473</v>
      </c>
    </row>
    <row r="1032" spans="1:1">
      <c r="A1032" s="27" t="s">
        <v>44</v>
      </c>
    </row>
    <row r="1033" spans="1:1">
      <c r="A1033" s="27">
        <v>796</v>
      </c>
    </row>
    <row r="1034" spans="1:1">
      <c r="A1034" s="27">
        <v>284</v>
      </c>
    </row>
    <row r="1035" spans="1:1">
      <c r="A1035" s="27">
        <v>249</v>
      </c>
    </row>
    <row r="1036" spans="1:1">
      <c r="A1036" s="27">
        <v>533</v>
      </c>
    </row>
    <row r="1037" spans="1:1">
      <c r="A1037" s="27">
        <v>14</v>
      </c>
    </row>
    <row r="1038" spans="1:1">
      <c r="A1038" s="27">
        <v>566</v>
      </c>
    </row>
    <row r="1039" spans="1:1">
      <c r="A1039" s="27">
        <v>0.67</v>
      </c>
    </row>
    <row r="1040" spans="1:1">
      <c r="A1040" s="27">
        <v>83</v>
      </c>
    </row>
    <row r="1041" spans="1:1">
      <c r="A1041" s="27">
        <v>161</v>
      </c>
    </row>
    <row r="1042" spans="1:1">
      <c r="A1042" s="27">
        <v>1</v>
      </c>
    </row>
    <row r="1043" spans="1:1">
      <c r="A1043" s="27">
        <v>2</v>
      </c>
    </row>
    <row r="1044" spans="1:1">
      <c r="A1044" s="27">
        <v>46</v>
      </c>
    </row>
    <row r="1045" spans="1:1">
      <c r="A1045" s="27">
        <v>8</v>
      </c>
    </row>
    <row r="1046" spans="1:1">
      <c r="A1046" s="27">
        <v>2391</v>
      </c>
    </row>
    <row r="1047" spans="1:1">
      <c r="A1047" s="27">
        <v>11.9</v>
      </c>
    </row>
    <row r="1048" spans="1:1">
      <c r="A1048" s="29">
        <v>0.73402777777777783</v>
      </c>
    </row>
    <row r="1049" spans="1:1">
      <c r="A1049" s="27">
        <v>21.3</v>
      </c>
    </row>
    <row r="1050" spans="1:1">
      <c r="A1050" s="28">
        <v>32.9</v>
      </c>
    </row>
    <row r="1051" spans="1:1">
      <c r="A1051" s="25">
        <v>51</v>
      </c>
    </row>
    <row r="1052" spans="1:1" ht="30">
      <c r="A1052" s="26" t="s">
        <v>289</v>
      </c>
    </row>
    <row r="1053" spans="1:1">
      <c r="A1053" s="27" t="s">
        <v>44</v>
      </c>
    </row>
    <row r="1054" spans="1:1">
      <c r="A1054" s="27">
        <v>589</v>
      </c>
    </row>
    <row r="1055" spans="1:1">
      <c r="A1055" s="27">
        <v>206</v>
      </c>
    </row>
    <row r="1056" spans="1:1">
      <c r="A1056" s="27">
        <v>327</v>
      </c>
    </row>
    <row r="1057" spans="1:1">
      <c r="A1057" s="27">
        <v>533</v>
      </c>
    </row>
    <row r="1058" spans="1:1">
      <c r="A1058" s="27">
        <v>-39</v>
      </c>
    </row>
    <row r="1059" spans="1:1">
      <c r="A1059" s="27">
        <v>334</v>
      </c>
    </row>
    <row r="1060" spans="1:1">
      <c r="A1060" s="27">
        <v>0.9</v>
      </c>
    </row>
    <row r="1061" spans="1:1">
      <c r="A1061" s="27">
        <v>61</v>
      </c>
    </row>
    <row r="1062" spans="1:1">
      <c r="A1062" s="27">
        <v>155</v>
      </c>
    </row>
    <row r="1063" spans="1:1">
      <c r="A1063" s="27">
        <v>1</v>
      </c>
    </row>
    <row r="1064" spans="1:1">
      <c r="A1064" s="27">
        <v>2</v>
      </c>
    </row>
    <row r="1065" spans="1:1">
      <c r="A1065" s="27">
        <v>36</v>
      </c>
    </row>
    <row r="1066" spans="1:1">
      <c r="A1066" s="27">
        <v>10</v>
      </c>
    </row>
    <row r="1067" spans="1:1">
      <c r="A1067" s="27">
        <v>1968</v>
      </c>
    </row>
    <row r="1068" spans="1:1">
      <c r="A1068" s="27">
        <v>10.5</v>
      </c>
    </row>
    <row r="1069" spans="1:1">
      <c r="A1069" s="29">
        <v>0.79513888888888884</v>
      </c>
    </row>
    <row r="1070" spans="1:1">
      <c r="A1070" s="27">
        <v>23.2</v>
      </c>
    </row>
    <row r="1071" spans="1:1">
      <c r="A1071" s="28">
        <v>45</v>
      </c>
    </row>
    <row r="1072" spans="1:1">
      <c r="A1072" s="25">
        <v>52</v>
      </c>
    </row>
    <row r="1073" spans="1:1" ht="30">
      <c r="A1073" s="26" t="s">
        <v>314</v>
      </c>
    </row>
    <row r="1074" spans="1:1">
      <c r="A1074" s="27" t="s">
        <v>653</v>
      </c>
    </row>
    <row r="1075" spans="1:1">
      <c r="A1075" s="27">
        <v>763</v>
      </c>
    </row>
    <row r="1076" spans="1:1">
      <c r="A1076" s="27">
        <v>189</v>
      </c>
    </row>
    <row r="1077" spans="1:1">
      <c r="A1077" s="27">
        <v>336</v>
      </c>
    </row>
    <row r="1078" spans="1:1">
      <c r="A1078" s="27">
        <v>525</v>
      </c>
    </row>
    <row r="1079" spans="1:1">
      <c r="A1079" s="27">
        <v>-33</v>
      </c>
    </row>
    <row r="1080" spans="1:1">
      <c r="A1080" s="27">
        <v>100</v>
      </c>
    </row>
    <row r="1081" spans="1:1">
      <c r="A1081" s="27">
        <v>0.69</v>
      </c>
    </row>
    <row r="1082" spans="1:1">
      <c r="A1082" s="27">
        <v>59</v>
      </c>
    </row>
    <row r="1083" spans="1:1">
      <c r="A1083" s="27">
        <v>161</v>
      </c>
    </row>
    <row r="1084" spans="1:1">
      <c r="A1084" s="27">
        <v>7</v>
      </c>
    </row>
    <row r="1085" spans="1:1">
      <c r="A1085" s="27">
        <v>16</v>
      </c>
    </row>
    <row r="1086" spans="1:1">
      <c r="A1086" s="27">
        <v>27</v>
      </c>
    </row>
    <row r="1087" spans="1:1">
      <c r="A1087" s="27">
        <v>10</v>
      </c>
    </row>
    <row r="1088" spans="1:1">
      <c r="A1088" s="27">
        <v>1746</v>
      </c>
    </row>
    <row r="1089" spans="1:1">
      <c r="A1089" s="27">
        <v>10.8</v>
      </c>
    </row>
    <row r="1090" spans="1:1">
      <c r="A1090" s="29">
        <v>0.81736111111111109</v>
      </c>
    </row>
    <row r="1091" spans="1:1">
      <c r="A1091" s="27">
        <v>24.7</v>
      </c>
    </row>
    <row r="1092" spans="1:1">
      <c r="A1092" s="28">
        <v>55.4</v>
      </c>
    </row>
    <row r="1093" spans="1:1">
      <c r="A1093" s="25">
        <v>53</v>
      </c>
    </row>
    <row r="1094" spans="1:1" ht="45">
      <c r="A1094" s="26" t="s">
        <v>943</v>
      </c>
    </row>
    <row r="1095" spans="1:1">
      <c r="A1095" s="27" t="s">
        <v>42</v>
      </c>
    </row>
    <row r="1096" spans="1:1">
      <c r="A1096" s="27">
        <v>869</v>
      </c>
    </row>
    <row r="1097" spans="1:1">
      <c r="A1097" s="27">
        <v>177</v>
      </c>
    </row>
    <row r="1098" spans="1:1">
      <c r="A1098" s="27">
        <v>348</v>
      </c>
    </row>
    <row r="1099" spans="1:1">
      <c r="A1099" s="27">
        <v>525</v>
      </c>
    </row>
    <row r="1100" spans="1:1">
      <c r="A1100" s="27">
        <v>-8</v>
      </c>
    </row>
    <row r="1101" spans="1:1">
      <c r="A1101" s="27">
        <v>1094</v>
      </c>
    </row>
    <row r="1102" spans="1:1">
      <c r="A1102" s="27">
        <v>0.6</v>
      </c>
    </row>
    <row r="1103" spans="1:1">
      <c r="A1103" s="27">
        <v>54</v>
      </c>
    </row>
    <row r="1104" spans="1:1">
      <c r="A1104" s="27">
        <v>202</v>
      </c>
    </row>
    <row r="1105" spans="1:1">
      <c r="A1105" s="27">
        <v>1</v>
      </c>
    </row>
    <row r="1106" spans="1:1">
      <c r="A1106" s="27">
        <v>7</v>
      </c>
    </row>
    <row r="1107" spans="1:1">
      <c r="A1107" s="27">
        <v>36</v>
      </c>
    </row>
    <row r="1108" spans="1:1">
      <c r="A1108" s="27">
        <v>8</v>
      </c>
    </row>
    <row r="1109" spans="1:1">
      <c r="A1109" s="27">
        <v>2612</v>
      </c>
    </row>
    <row r="1110" spans="1:1">
      <c r="A1110" s="27">
        <v>6.8</v>
      </c>
    </row>
    <row r="1111" spans="1:1">
      <c r="A1111" s="29">
        <v>0.91388888888888886</v>
      </c>
    </row>
    <row r="1112" spans="1:1">
      <c r="A1112" s="27">
        <v>24.3</v>
      </c>
    </row>
    <row r="1113" spans="1:1">
      <c r="A1113" s="28">
        <v>15.8</v>
      </c>
    </row>
    <row r="1114" spans="1:1">
      <c r="A1114" s="25">
        <v>54</v>
      </c>
    </row>
    <row r="1115" spans="1:1" ht="30">
      <c r="A1115" s="26" t="s">
        <v>23</v>
      </c>
    </row>
    <row r="1116" spans="1:1">
      <c r="A1116" s="27" t="s">
        <v>42</v>
      </c>
    </row>
    <row r="1117" spans="1:1">
      <c r="A1117" s="27">
        <v>1054</v>
      </c>
    </row>
    <row r="1118" spans="1:1">
      <c r="A1118" s="27">
        <v>164</v>
      </c>
    </row>
    <row r="1119" spans="1:1">
      <c r="A1119" s="27">
        <v>358</v>
      </c>
    </row>
    <row r="1120" spans="1:1">
      <c r="A1120" s="27">
        <v>522</v>
      </c>
    </row>
    <row r="1121" spans="1:1">
      <c r="A1121" s="27">
        <v>248</v>
      </c>
    </row>
    <row r="1122" spans="1:1">
      <c r="A1122" s="27">
        <v>1152</v>
      </c>
    </row>
    <row r="1123" spans="1:1">
      <c r="A1123" s="27">
        <v>0.5</v>
      </c>
    </row>
    <row r="1124" spans="1:1">
      <c r="A1124" s="27">
        <v>79</v>
      </c>
    </row>
    <row r="1125" spans="1:1">
      <c r="A1125" s="27">
        <v>190</v>
      </c>
    </row>
    <row r="1126" spans="1:1">
      <c r="A1126" s="27">
        <v>5</v>
      </c>
    </row>
    <row r="1127" spans="1:1">
      <c r="A1127" s="27">
        <v>22</v>
      </c>
    </row>
    <row r="1128" spans="1:1">
      <c r="A1128" s="27">
        <v>27</v>
      </c>
    </row>
    <row r="1129" spans="1:1">
      <c r="A1129" s="27">
        <v>2</v>
      </c>
    </row>
    <row r="1130" spans="1:1">
      <c r="A1130" s="27">
        <v>2574</v>
      </c>
    </row>
    <row r="1131" spans="1:1">
      <c r="A1131" s="27">
        <v>6.4</v>
      </c>
    </row>
    <row r="1132" spans="1:1">
      <c r="A1132" s="30">
        <v>1.0361111111111112</v>
      </c>
    </row>
    <row r="1133" spans="1:1">
      <c r="A1133" s="27">
        <v>28</v>
      </c>
    </row>
    <row r="1134" spans="1:1">
      <c r="A1134" s="28">
        <v>36.1</v>
      </c>
    </row>
    <row r="1135" spans="1:1">
      <c r="A1135" s="25">
        <v>55</v>
      </c>
    </row>
    <row r="1136" spans="1:1" ht="30">
      <c r="A1136" s="26" t="s">
        <v>729</v>
      </c>
    </row>
    <row r="1137" spans="1:1">
      <c r="A1137" s="27" t="s">
        <v>653</v>
      </c>
    </row>
    <row r="1138" spans="1:1">
      <c r="A1138" s="27">
        <v>843</v>
      </c>
    </row>
    <row r="1139" spans="1:1">
      <c r="A1139" s="27">
        <v>217</v>
      </c>
    </row>
    <row r="1140" spans="1:1">
      <c r="A1140" s="27">
        <v>304</v>
      </c>
    </row>
    <row r="1141" spans="1:1">
      <c r="A1141" s="27">
        <v>521</v>
      </c>
    </row>
    <row r="1142" spans="1:1">
      <c r="A1142" s="27">
        <v>-15</v>
      </c>
    </row>
    <row r="1143" spans="1:1">
      <c r="A1143" s="27">
        <v>293</v>
      </c>
    </row>
    <row r="1144" spans="1:1">
      <c r="A1144" s="27">
        <v>0.62</v>
      </c>
    </row>
    <row r="1145" spans="1:1">
      <c r="A1145" s="27">
        <v>58</v>
      </c>
    </row>
    <row r="1146" spans="1:1">
      <c r="A1146" s="27">
        <v>132</v>
      </c>
    </row>
    <row r="1147" spans="1:1">
      <c r="A1147" s="27">
        <v>7</v>
      </c>
    </row>
    <row r="1148" spans="1:1">
      <c r="A1148" s="27">
        <v>14</v>
      </c>
    </row>
    <row r="1149" spans="1:1">
      <c r="A1149" s="27">
        <v>32</v>
      </c>
    </row>
    <row r="1150" spans="1:1">
      <c r="A1150" s="27">
        <v>7</v>
      </c>
    </row>
    <row r="1151" spans="1:1">
      <c r="A1151" s="27">
        <v>1649</v>
      </c>
    </row>
    <row r="1152" spans="1:1">
      <c r="A1152" s="27">
        <v>13.2</v>
      </c>
    </row>
    <row r="1153" spans="1:1">
      <c r="A1153" s="29">
        <v>0.74930555555555556</v>
      </c>
    </row>
    <row r="1154" spans="1:1">
      <c r="A1154" s="27">
        <v>23</v>
      </c>
    </row>
    <row r="1155" spans="1:1">
      <c r="A1155" s="28">
        <v>50.2</v>
      </c>
    </row>
    <row r="1156" spans="1:1">
      <c r="A1156" s="25">
        <v>56</v>
      </c>
    </row>
    <row r="1157" spans="1:1" ht="30">
      <c r="A1157" s="26" t="s">
        <v>321</v>
      </c>
    </row>
    <row r="1158" spans="1:1">
      <c r="A1158" s="27" t="s">
        <v>44</v>
      </c>
    </row>
    <row r="1159" spans="1:1">
      <c r="A1159" s="27">
        <v>809</v>
      </c>
    </row>
    <row r="1160" spans="1:1">
      <c r="A1160" s="27">
        <v>209</v>
      </c>
    </row>
    <row r="1161" spans="1:1">
      <c r="A1161" s="27">
        <v>309</v>
      </c>
    </row>
    <row r="1162" spans="1:1">
      <c r="A1162" s="27">
        <v>518</v>
      </c>
    </row>
    <row r="1163" spans="1:1">
      <c r="A1163" s="27">
        <v>4</v>
      </c>
    </row>
    <row r="1164" spans="1:1">
      <c r="A1164" s="27">
        <v>622</v>
      </c>
    </row>
    <row r="1165" spans="1:1">
      <c r="A1165" s="27">
        <v>0.64</v>
      </c>
    </row>
    <row r="1166" spans="1:1">
      <c r="A1166" s="27">
        <v>49</v>
      </c>
    </row>
    <row r="1167" spans="1:1">
      <c r="A1167" s="27">
        <v>143</v>
      </c>
    </row>
    <row r="1168" spans="1:1">
      <c r="A1168" s="27">
        <v>4</v>
      </c>
    </row>
    <row r="1169" spans="1:1">
      <c r="A1169" s="27">
        <v>7</v>
      </c>
    </row>
    <row r="1170" spans="1:1">
      <c r="A1170" s="27">
        <v>30</v>
      </c>
    </row>
    <row r="1171" spans="1:1">
      <c r="A1171" s="27">
        <v>7</v>
      </c>
    </row>
    <row r="1172" spans="1:1">
      <c r="A1172" s="27">
        <v>1644</v>
      </c>
    </row>
    <row r="1173" spans="1:1">
      <c r="A1173" s="27">
        <v>12.7</v>
      </c>
    </row>
    <row r="1174" spans="1:1">
      <c r="A1174" s="29">
        <v>0.6972222222222223</v>
      </c>
    </row>
    <row r="1175" spans="1:1">
      <c r="A1175" s="27">
        <v>22.4</v>
      </c>
    </row>
    <row r="1176" spans="1:1">
      <c r="A1176" s="28">
        <v>39.4</v>
      </c>
    </row>
    <row r="1177" spans="1:1">
      <c r="A1177" s="25">
        <v>57</v>
      </c>
    </row>
    <row r="1178" spans="1:1" ht="30">
      <c r="A1178" s="26" t="s">
        <v>247</v>
      </c>
    </row>
    <row r="1179" spans="1:1">
      <c r="A1179" s="27" t="s">
        <v>653</v>
      </c>
    </row>
    <row r="1180" spans="1:1">
      <c r="A1180" s="27">
        <v>921</v>
      </c>
    </row>
    <row r="1181" spans="1:1">
      <c r="A1181" s="27">
        <v>220</v>
      </c>
    </row>
    <row r="1182" spans="1:1">
      <c r="A1182" s="27">
        <v>297</v>
      </c>
    </row>
    <row r="1183" spans="1:1">
      <c r="A1183" s="27">
        <v>517</v>
      </c>
    </row>
    <row r="1184" spans="1:1">
      <c r="A1184" s="27">
        <v>37</v>
      </c>
    </row>
    <row r="1185" spans="1:1">
      <c r="A1185" s="27">
        <v>449</v>
      </c>
    </row>
    <row r="1186" spans="1:1">
      <c r="A1186" s="27">
        <v>0.56000000000000005</v>
      </c>
    </row>
    <row r="1187" spans="1:1">
      <c r="A1187" s="27">
        <v>37</v>
      </c>
    </row>
    <row r="1188" spans="1:1">
      <c r="A1188" s="27">
        <v>95</v>
      </c>
    </row>
    <row r="1189" spans="1:1">
      <c r="A1189" s="27">
        <v>17</v>
      </c>
    </row>
    <row r="1190" spans="1:1">
      <c r="A1190" s="27">
        <v>34</v>
      </c>
    </row>
    <row r="1191" spans="1:1">
      <c r="A1191" s="27">
        <v>30</v>
      </c>
    </row>
    <row r="1192" spans="1:1">
      <c r="A1192" s="27">
        <v>5</v>
      </c>
    </row>
    <row r="1193" spans="1:1">
      <c r="A1193" s="27">
        <v>1931</v>
      </c>
    </row>
    <row r="1194" spans="1:1">
      <c r="A1194" s="27">
        <v>11.4</v>
      </c>
    </row>
    <row r="1195" spans="1:1">
      <c r="A1195" s="29">
        <v>0.78194444444444444</v>
      </c>
    </row>
    <row r="1196" spans="1:1">
      <c r="A1196" s="27">
        <v>24.7</v>
      </c>
    </row>
    <row r="1197" spans="1:1">
      <c r="A1197" s="28">
        <v>51.9</v>
      </c>
    </row>
    <row r="1198" spans="1:1">
      <c r="A1198" s="25">
        <v>58</v>
      </c>
    </row>
    <row r="1199" spans="1:1" ht="30">
      <c r="A1199" s="26" t="s">
        <v>298</v>
      </c>
    </row>
    <row r="1200" spans="1:1">
      <c r="A1200" s="27" t="s">
        <v>653</v>
      </c>
    </row>
    <row r="1201" spans="1:1">
      <c r="A1201" s="27">
        <v>949</v>
      </c>
    </row>
    <row r="1202" spans="1:1">
      <c r="A1202" s="27">
        <v>189</v>
      </c>
    </row>
    <row r="1203" spans="1:1">
      <c r="A1203" s="27">
        <v>327</v>
      </c>
    </row>
    <row r="1204" spans="1:1">
      <c r="A1204" s="27">
        <v>516</v>
      </c>
    </row>
    <row r="1205" spans="1:1">
      <c r="A1205" s="27">
        <v>-8</v>
      </c>
    </row>
    <row r="1206" spans="1:1">
      <c r="A1206" s="27">
        <v>322</v>
      </c>
    </row>
    <row r="1207" spans="1:1">
      <c r="A1207" s="27">
        <v>0.54</v>
      </c>
    </row>
    <row r="1208" spans="1:1">
      <c r="A1208" s="27">
        <v>52</v>
      </c>
    </row>
    <row r="1209" spans="1:1">
      <c r="A1209" s="27">
        <v>146</v>
      </c>
    </row>
    <row r="1210" spans="1:1">
      <c r="A1210" s="27">
        <v>11</v>
      </c>
    </row>
    <row r="1211" spans="1:1">
      <c r="A1211" s="27">
        <v>19</v>
      </c>
    </row>
    <row r="1212" spans="1:1">
      <c r="A1212" s="27">
        <v>21</v>
      </c>
    </row>
    <row r="1213" spans="1:1">
      <c r="A1213" s="27">
        <v>4</v>
      </c>
    </row>
    <row r="1214" spans="1:1">
      <c r="A1214" s="27">
        <v>1713</v>
      </c>
    </row>
    <row r="1215" spans="1:1">
      <c r="A1215" s="27">
        <v>11</v>
      </c>
    </row>
    <row r="1216" spans="1:1">
      <c r="A1216" s="29">
        <v>0.78402777777777777</v>
      </c>
    </row>
    <row r="1217" spans="1:1">
      <c r="A1217" s="27">
        <v>23.9</v>
      </c>
    </row>
    <row r="1218" spans="1:1">
      <c r="A1218" s="28">
        <v>53.6</v>
      </c>
    </row>
    <row r="1219" spans="1:1">
      <c r="A1219" s="25">
        <v>59</v>
      </c>
    </row>
    <row r="1220" spans="1:1" ht="45">
      <c r="A1220" s="26" t="s">
        <v>518</v>
      </c>
    </row>
    <row r="1221" spans="1:1">
      <c r="A1221" s="27" t="s">
        <v>44</v>
      </c>
    </row>
    <row r="1222" spans="1:1">
      <c r="A1222" s="27">
        <v>722</v>
      </c>
    </row>
    <row r="1223" spans="1:1">
      <c r="A1223" s="27">
        <v>258</v>
      </c>
    </row>
    <row r="1224" spans="1:1">
      <c r="A1224" s="27">
        <v>256</v>
      </c>
    </row>
    <row r="1225" spans="1:1">
      <c r="A1225" s="27">
        <v>514</v>
      </c>
    </row>
    <row r="1226" spans="1:1">
      <c r="A1226" s="27">
        <v>23</v>
      </c>
    </row>
    <row r="1227" spans="1:1">
      <c r="A1227" s="27">
        <v>394</v>
      </c>
    </row>
    <row r="1228" spans="1:1">
      <c r="A1228" s="27">
        <v>0.71</v>
      </c>
    </row>
    <row r="1229" spans="1:1">
      <c r="A1229" s="27">
        <v>62</v>
      </c>
    </row>
    <row r="1230" spans="1:1">
      <c r="A1230" s="27">
        <v>130</v>
      </c>
    </row>
    <row r="1231" spans="1:1">
      <c r="A1231" s="27">
        <v>7</v>
      </c>
    </row>
    <row r="1232" spans="1:1">
      <c r="A1232" s="27">
        <v>10</v>
      </c>
    </row>
    <row r="1233" spans="1:1">
      <c r="A1233" s="27">
        <v>50</v>
      </c>
    </row>
    <row r="1234" spans="1:1">
      <c r="A1234" s="27">
        <v>11</v>
      </c>
    </row>
    <row r="1235" spans="1:1">
      <c r="A1235" s="27">
        <v>2357</v>
      </c>
    </row>
    <row r="1236" spans="1:1">
      <c r="A1236" s="27">
        <v>10.9</v>
      </c>
    </row>
    <row r="1237" spans="1:1">
      <c r="A1237" s="29">
        <v>0.73263888888888884</v>
      </c>
    </row>
    <row r="1238" spans="1:1">
      <c r="A1238" s="27">
        <v>22.5</v>
      </c>
    </row>
    <row r="1239" spans="1:1">
      <c r="A1239" s="28">
        <v>42.1</v>
      </c>
    </row>
    <row r="1240" spans="1:1">
      <c r="A1240" s="25">
        <v>60</v>
      </c>
    </row>
    <row r="1241" spans="1:1" ht="30">
      <c r="A1241" s="26" t="s">
        <v>212</v>
      </c>
    </row>
    <row r="1242" spans="1:1">
      <c r="A1242" s="27" t="s">
        <v>42</v>
      </c>
    </row>
    <row r="1243" spans="1:1">
      <c r="A1243" s="27">
        <v>767</v>
      </c>
    </row>
    <row r="1244" spans="1:1">
      <c r="A1244" s="27">
        <v>119</v>
      </c>
    </row>
    <row r="1245" spans="1:1">
      <c r="A1245" s="27">
        <v>390</v>
      </c>
    </row>
    <row r="1246" spans="1:1">
      <c r="A1246" s="27">
        <v>509</v>
      </c>
    </row>
    <row r="1247" spans="1:1">
      <c r="A1247" s="27">
        <v>67</v>
      </c>
    </row>
    <row r="1248" spans="1:1">
      <c r="A1248" s="27">
        <v>548</v>
      </c>
    </row>
    <row r="1249" spans="1:1">
      <c r="A1249" s="27">
        <v>0.66</v>
      </c>
    </row>
    <row r="1250" spans="1:1">
      <c r="A1250" s="27">
        <v>38</v>
      </c>
    </row>
    <row r="1251" spans="1:1">
      <c r="A1251" s="27">
        <v>198</v>
      </c>
    </row>
    <row r="1252" spans="1:1">
      <c r="A1252" s="27">
        <v>4</v>
      </c>
    </row>
    <row r="1253" spans="1:1">
      <c r="A1253" s="27">
        <v>12</v>
      </c>
    </row>
    <row r="1254" spans="1:1">
      <c r="A1254" s="27">
        <v>23</v>
      </c>
    </row>
    <row r="1255" spans="1:1">
      <c r="A1255" s="27">
        <v>5</v>
      </c>
    </row>
    <row r="1256" spans="1:1">
      <c r="A1256" s="27">
        <v>2010</v>
      </c>
    </row>
    <row r="1257" spans="1:1">
      <c r="A1257" s="27">
        <v>5.9</v>
      </c>
    </row>
    <row r="1258" spans="1:1">
      <c r="A1258" s="29">
        <v>0.99444444444444446</v>
      </c>
    </row>
    <row r="1259" spans="1:1">
      <c r="A1259" s="27">
        <v>26.6</v>
      </c>
    </row>
    <row r="1260" spans="1:1">
      <c r="A1260" s="28">
        <v>25</v>
      </c>
    </row>
    <row r="1261" spans="1:1">
      <c r="A1261" s="25">
        <v>61</v>
      </c>
    </row>
    <row r="1262" spans="1:1" ht="30">
      <c r="A1262" s="26" t="s">
        <v>157</v>
      </c>
    </row>
    <row r="1263" spans="1:1">
      <c r="A1263" s="27" t="s">
        <v>653</v>
      </c>
    </row>
    <row r="1264" spans="1:1">
      <c r="A1264" s="27">
        <v>978</v>
      </c>
    </row>
    <row r="1265" spans="1:1">
      <c r="A1265" s="27">
        <v>188</v>
      </c>
    </row>
    <row r="1266" spans="1:1">
      <c r="A1266" s="27">
        <v>318</v>
      </c>
    </row>
    <row r="1267" spans="1:1">
      <c r="A1267" s="27">
        <v>506</v>
      </c>
    </row>
    <row r="1268" spans="1:1">
      <c r="A1268" s="27">
        <v>15</v>
      </c>
    </row>
    <row r="1269" spans="1:1">
      <c r="A1269" s="27">
        <v>322</v>
      </c>
    </row>
    <row r="1270" spans="1:1">
      <c r="A1270" s="27">
        <v>0.52</v>
      </c>
    </row>
    <row r="1271" spans="1:1">
      <c r="A1271" s="27">
        <v>27</v>
      </c>
    </row>
    <row r="1272" spans="1:1">
      <c r="A1272" s="27">
        <v>99</v>
      </c>
    </row>
    <row r="1273" spans="1:1">
      <c r="A1273" s="27">
        <v>5</v>
      </c>
    </row>
    <row r="1274" spans="1:1">
      <c r="A1274" s="27">
        <v>8</v>
      </c>
    </row>
    <row r="1275" spans="1:1">
      <c r="A1275" s="27">
        <v>25</v>
      </c>
    </row>
    <row r="1276" spans="1:1">
      <c r="A1276" s="27">
        <v>1</v>
      </c>
    </row>
    <row r="1277" spans="1:1">
      <c r="A1277" s="27">
        <v>1376</v>
      </c>
    </row>
    <row r="1278" spans="1:1">
      <c r="A1278" s="27">
        <v>13.7</v>
      </c>
    </row>
    <row r="1279" spans="1:1">
      <c r="A1279" s="29">
        <v>0.70486111111111116</v>
      </c>
    </row>
    <row r="1280" spans="1:1">
      <c r="A1280" s="27">
        <v>22</v>
      </c>
    </row>
    <row r="1281" spans="1:1">
      <c r="A1281" s="28">
        <v>51.3</v>
      </c>
    </row>
    <row r="1282" spans="1:1">
      <c r="A1282" s="25">
        <v>62</v>
      </c>
    </row>
    <row r="1283" spans="1:1" ht="30">
      <c r="A1283" s="26" t="s">
        <v>534</v>
      </c>
    </row>
    <row r="1284" spans="1:1">
      <c r="A1284" s="27" t="s">
        <v>44</v>
      </c>
    </row>
    <row r="1285" spans="1:1">
      <c r="A1285" s="27">
        <v>917</v>
      </c>
    </row>
    <row r="1286" spans="1:1">
      <c r="A1286" s="27">
        <v>198</v>
      </c>
    </row>
    <row r="1287" spans="1:1">
      <c r="A1287" s="27">
        <v>307</v>
      </c>
    </row>
    <row r="1288" spans="1:1">
      <c r="A1288" s="27">
        <v>505</v>
      </c>
    </row>
    <row r="1289" spans="1:1">
      <c r="A1289" s="27">
        <v>89</v>
      </c>
    </row>
    <row r="1290" spans="1:1">
      <c r="A1290" s="27">
        <v>1106</v>
      </c>
    </row>
    <row r="1291" spans="1:1">
      <c r="A1291" s="27">
        <v>0.55000000000000004</v>
      </c>
    </row>
    <row r="1292" spans="1:1">
      <c r="A1292" s="27">
        <v>39</v>
      </c>
    </row>
    <row r="1293" spans="1:1">
      <c r="A1293" s="27">
        <v>104</v>
      </c>
    </row>
    <row r="1294" spans="1:1">
      <c r="A1294" s="27">
        <v>0</v>
      </c>
    </row>
    <row r="1295" spans="1:1">
      <c r="A1295" s="27">
        <v>0</v>
      </c>
    </row>
    <row r="1296" spans="1:1">
      <c r="A1296" s="27">
        <v>35</v>
      </c>
    </row>
    <row r="1297" spans="1:1">
      <c r="A1297" s="27">
        <v>1</v>
      </c>
    </row>
    <row r="1298" spans="1:1">
      <c r="A1298" s="27">
        <v>1511</v>
      </c>
    </row>
    <row r="1299" spans="1:1">
      <c r="A1299" s="27">
        <v>13.1</v>
      </c>
    </row>
    <row r="1300" spans="1:1">
      <c r="A1300" s="29">
        <v>0.65486111111111112</v>
      </c>
    </row>
    <row r="1301" spans="1:1">
      <c r="A1301" s="27">
        <v>19.2</v>
      </c>
    </row>
    <row r="1302" spans="1:1">
      <c r="A1302" s="28">
        <v>46.6</v>
      </c>
    </row>
    <row r="1303" spans="1:1">
      <c r="A1303" s="25">
        <v>63</v>
      </c>
    </row>
    <row r="1304" spans="1:1" ht="30">
      <c r="A1304" s="26" t="s">
        <v>158</v>
      </c>
    </row>
    <row r="1305" spans="1:1">
      <c r="A1305" s="27" t="s">
        <v>42</v>
      </c>
    </row>
    <row r="1306" spans="1:1">
      <c r="A1306" s="27">
        <v>852</v>
      </c>
    </row>
    <row r="1307" spans="1:1">
      <c r="A1307" s="27">
        <v>148</v>
      </c>
    </row>
    <row r="1308" spans="1:1">
      <c r="A1308" s="27">
        <v>347</v>
      </c>
    </row>
    <row r="1309" spans="1:1">
      <c r="A1309" s="27">
        <v>495</v>
      </c>
    </row>
    <row r="1310" spans="1:1">
      <c r="A1310" s="27">
        <v>4</v>
      </c>
    </row>
    <row r="1311" spans="1:1">
      <c r="A1311" s="27">
        <v>576</v>
      </c>
    </row>
    <row r="1312" spans="1:1">
      <c r="A1312" s="27">
        <v>0.57999999999999996</v>
      </c>
    </row>
    <row r="1313" spans="1:1">
      <c r="A1313" s="27">
        <v>61</v>
      </c>
    </row>
    <row r="1314" spans="1:1">
      <c r="A1314" s="27">
        <v>211</v>
      </c>
    </row>
    <row r="1315" spans="1:1">
      <c r="A1315" s="27">
        <v>1</v>
      </c>
    </row>
    <row r="1316" spans="1:1">
      <c r="A1316" s="27">
        <v>3</v>
      </c>
    </row>
    <row r="1317" spans="1:1">
      <c r="A1317" s="27">
        <v>22</v>
      </c>
    </row>
    <row r="1318" spans="1:1">
      <c r="A1318" s="27">
        <v>9</v>
      </c>
    </row>
    <row r="1319" spans="1:1">
      <c r="A1319" s="27">
        <v>1881</v>
      </c>
    </row>
    <row r="1320" spans="1:1">
      <c r="A1320" s="27">
        <v>7.9</v>
      </c>
    </row>
    <row r="1321" spans="1:1">
      <c r="A1321" s="29">
        <v>0.91805555555555562</v>
      </c>
    </row>
    <row r="1322" spans="1:1">
      <c r="A1322" s="27">
        <v>24.9</v>
      </c>
    </row>
    <row r="1323" spans="1:1">
      <c r="A1323" s="28">
        <v>0</v>
      </c>
    </row>
    <row r="1324" spans="1:1">
      <c r="A1324" s="25">
        <v>64</v>
      </c>
    </row>
    <row r="1325" spans="1:1" ht="45">
      <c r="A1325" s="26" t="s">
        <v>904</v>
      </c>
    </row>
    <row r="1326" spans="1:1">
      <c r="A1326" s="27" t="s">
        <v>43</v>
      </c>
    </row>
    <row r="1327" spans="1:1">
      <c r="A1327" s="27">
        <v>471</v>
      </c>
    </row>
    <row r="1328" spans="1:1">
      <c r="A1328" s="27">
        <v>198</v>
      </c>
    </row>
    <row r="1329" spans="1:1">
      <c r="A1329" s="27">
        <v>294</v>
      </c>
    </row>
    <row r="1330" spans="1:1">
      <c r="A1330" s="27">
        <v>492</v>
      </c>
    </row>
    <row r="1331" spans="1:1">
      <c r="A1331" s="27">
        <v>107</v>
      </c>
    </row>
    <row r="1332" spans="1:1">
      <c r="A1332" s="27">
        <v>237</v>
      </c>
    </row>
    <row r="1333" spans="1:1">
      <c r="A1333" s="27">
        <v>1.04</v>
      </c>
    </row>
    <row r="1334" spans="1:1">
      <c r="A1334" s="27">
        <v>56</v>
      </c>
    </row>
    <row r="1335" spans="1:1">
      <c r="A1335" s="27">
        <v>171</v>
      </c>
    </row>
    <row r="1336" spans="1:1">
      <c r="A1336" s="27">
        <v>0</v>
      </c>
    </row>
    <row r="1337" spans="1:1">
      <c r="A1337" s="27">
        <v>0</v>
      </c>
    </row>
    <row r="1338" spans="1:1">
      <c r="A1338" s="27">
        <v>32</v>
      </c>
    </row>
    <row r="1339" spans="1:1">
      <c r="A1339" s="27">
        <v>3</v>
      </c>
    </row>
    <row r="1340" spans="1:1">
      <c r="A1340" s="27">
        <v>1339</v>
      </c>
    </row>
    <row r="1341" spans="1:1">
      <c r="A1341" s="27">
        <v>14.8</v>
      </c>
    </row>
    <row r="1342" spans="1:1">
      <c r="A1342" s="29">
        <v>0.74513888888888891</v>
      </c>
    </row>
    <row r="1343" spans="1:1">
      <c r="A1343" s="27">
        <v>21.2</v>
      </c>
    </row>
    <row r="1344" spans="1:1">
      <c r="A1344" s="28">
        <v>33.299999999999997</v>
      </c>
    </row>
    <row r="1345" spans="1:1">
      <c r="A1345" s="25">
        <v>65</v>
      </c>
    </row>
    <row r="1346" spans="1:1" ht="30">
      <c r="A1346" s="26" t="s">
        <v>80</v>
      </c>
    </row>
    <row r="1347" spans="1:1">
      <c r="A1347" s="27" t="s">
        <v>43</v>
      </c>
    </row>
    <row r="1348" spans="1:1">
      <c r="A1348" s="27">
        <v>767</v>
      </c>
    </row>
    <row r="1349" spans="1:1">
      <c r="A1349" s="27">
        <v>188</v>
      </c>
    </row>
    <row r="1350" spans="1:1">
      <c r="A1350" s="27">
        <v>304</v>
      </c>
    </row>
    <row r="1351" spans="1:1">
      <c r="A1351" s="27">
        <v>492</v>
      </c>
    </row>
    <row r="1352" spans="1:1">
      <c r="A1352" s="27">
        <v>-110</v>
      </c>
    </row>
    <row r="1353" spans="1:1">
      <c r="A1353" s="27">
        <v>433</v>
      </c>
    </row>
    <row r="1354" spans="1:1">
      <c r="A1354" s="27">
        <v>0.64</v>
      </c>
    </row>
    <row r="1355" spans="1:1">
      <c r="A1355" s="27">
        <v>55</v>
      </c>
    </row>
    <row r="1356" spans="1:1">
      <c r="A1356" s="27">
        <v>161</v>
      </c>
    </row>
    <row r="1357" spans="1:1">
      <c r="A1357" s="27">
        <v>0</v>
      </c>
    </row>
    <row r="1358" spans="1:1">
      <c r="A1358" s="27">
        <v>3</v>
      </c>
    </row>
    <row r="1359" spans="1:1">
      <c r="A1359" s="27">
        <v>29</v>
      </c>
    </row>
    <row r="1360" spans="1:1">
      <c r="A1360" s="27">
        <v>7</v>
      </c>
    </row>
    <row r="1361" spans="1:1">
      <c r="A1361" s="27">
        <v>1829</v>
      </c>
    </row>
    <row r="1362" spans="1:1">
      <c r="A1362" s="27">
        <v>10.3</v>
      </c>
    </row>
    <row r="1363" spans="1:1">
      <c r="A1363" s="29">
        <v>0.73958333333333337</v>
      </c>
    </row>
    <row r="1364" spans="1:1">
      <c r="A1364" s="27">
        <v>20.8</v>
      </c>
    </row>
    <row r="1365" spans="1:1">
      <c r="A1365" s="28">
        <v>48.7</v>
      </c>
    </row>
    <row r="1366" spans="1:1">
      <c r="A1366" s="25">
        <v>66</v>
      </c>
    </row>
    <row r="1367" spans="1:1" ht="30">
      <c r="A1367" s="26" t="s">
        <v>196</v>
      </c>
    </row>
    <row r="1368" spans="1:1">
      <c r="A1368" s="27" t="s">
        <v>43</v>
      </c>
    </row>
    <row r="1369" spans="1:1">
      <c r="A1369" s="27">
        <v>682</v>
      </c>
    </row>
    <row r="1370" spans="1:1">
      <c r="A1370" s="27">
        <v>211</v>
      </c>
    </row>
    <row r="1371" spans="1:1">
      <c r="A1371" s="27">
        <v>275</v>
      </c>
    </row>
    <row r="1372" spans="1:1">
      <c r="A1372" s="27">
        <v>486</v>
      </c>
    </row>
    <row r="1373" spans="1:1">
      <c r="A1373" s="27">
        <v>-51</v>
      </c>
    </row>
    <row r="1374" spans="1:1">
      <c r="A1374" s="27">
        <v>162</v>
      </c>
    </row>
    <row r="1375" spans="1:1">
      <c r="A1375" s="27">
        <v>0.71</v>
      </c>
    </row>
    <row r="1376" spans="1:1">
      <c r="A1376" s="27">
        <v>52</v>
      </c>
    </row>
    <row r="1377" spans="1:1">
      <c r="A1377" s="27">
        <v>131</v>
      </c>
    </row>
    <row r="1378" spans="1:1">
      <c r="A1378" s="27">
        <v>3</v>
      </c>
    </row>
    <row r="1379" spans="1:1">
      <c r="A1379" s="27">
        <v>3</v>
      </c>
    </row>
    <row r="1380" spans="1:1">
      <c r="A1380" s="27">
        <v>34</v>
      </c>
    </row>
    <row r="1381" spans="1:1">
      <c r="A1381" s="27">
        <v>3</v>
      </c>
    </row>
    <row r="1382" spans="1:1">
      <c r="A1382" s="27">
        <v>1611</v>
      </c>
    </row>
    <row r="1383" spans="1:1">
      <c r="A1383" s="27">
        <v>13.1</v>
      </c>
    </row>
    <row r="1384" spans="1:1">
      <c r="A1384" s="29">
        <v>0.73749999999999993</v>
      </c>
    </row>
    <row r="1385" spans="1:1">
      <c r="A1385" s="27">
        <v>22.2</v>
      </c>
    </row>
    <row r="1386" spans="1:1">
      <c r="A1386" s="28">
        <v>41.5</v>
      </c>
    </row>
    <row r="1387" spans="1:1">
      <c r="A1387" s="25">
        <v>67</v>
      </c>
    </row>
    <row r="1388" spans="1:1" ht="45">
      <c r="A1388" s="26" t="s">
        <v>293</v>
      </c>
    </row>
    <row r="1389" spans="1:1">
      <c r="A1389" s="27" t="s">
        <v>43</v>
      </c>
    </row>
    <row r="1390" spans="1:1">
      <c r="A1390" s="27">
        <v>868</v>
      </c>
    </row>
    <row r="1391" spans="1:1">
      <c r="A1391" s="27">
        <v>247</v>
      </c>
    </row>
    <row r="1392" spans="1:1">
      <c r="A1392" s="27">
        <v>238</v>
      </c>
    </row>
    <row r="1393" spans="1:1">
      <c r="A1393" s="27">
        <v>485</v>
      </c>
    </row>
    <row r="1394" spans="1:1">
      <c r="A1394" s="27">
        <v>-72</v>
      </c>
    </row>
    <row r="1395" spans="1:1">
      <c r="A1395" s="27">
        <v>1080</v>
      </c>
    </row>
    <row r="1396" spans="1:1">
      <c r="A1396" s="27">
        <v>0.56000000000000005</v>
      </c>
    </row>
    <row r="1397" spans="1:1">
      <c r="A1397" s="27">
        <v>97</v>
      </c>
    </row>
    <row r="1398" spans="1:1">
      <c r="A1398" s="27">
        <v>161</v>
      </c>
    </row>
    <row r="1399" spans="1:1">
      <c r="A1399" s="27">
        <v>3</v>
      </c>
    </row>
    <row r="1400" spans="1:1">
      <c r="A1400" s="27">
        <v>4</v>
      </c>
    </row>
    <row r="1401" spans="1:1">
      <c r="A1401" s="27">
        <v>41</v>
      </c>
    </row>
    <row r="1402" spans="1:1">
      <c r="A1402" s="27">
        <v>2</v>
      </c>
    </row>
    <row r="1403" spans="1:1">
      <c r="A1403" s="27">
        <v>1925</v>
      </c>
    </row>
    <row r="1404" spans="1:1">
      <c r="A1404" s="27">
        <v>12.8</v>
      </c>
    </row>
    <row r="1405" spans="1:1">
      <c r="A1405" s="29">
        <v>0.67013888888888884</v>
      </c>
    </row>
    <row r="1406" spans="1:1">
      <c r="A1406" s="27">
        <v>20.7</v>
      </c>
    </row>
    <row r="1407" spans="1:1">
      <c r="A1407" s="28">
        <v>43.6</v>
      </c>
    </row>
    <row r="1408" spans="1:1">
      <c r="A1408" s="25">
        <v>68</v>
      </c>
    </row>
    <row r="1409" spans="1:1" ht="30">
      <c r="A1409" s="26" t="s">
        <v>581</v>
      </c>
    </row>
    <row r="1410" spans="1:1">
      <c r="A1410" s="27" t="s">
        <v>42</v>
      </c>
    </row>
    <row r="1411" spans="1:1">
      <c r="A1411" s="27">
        <v>881</v>
      </c>
    </row>
    <row r="1412" spans="1:1">
      <c r="A1412" s="27">
        <v>115</v>
      </c>
    </row>
    <row r="1413" spans="1:1">
      <c r="A1413" s="27">
        <v>369</v>
      </c>
    </row>
    <row r="1414" spans="1:1">
      <c r="A1414" s="27">
        <v>484</v>
      </c>
    </row>
    <row r="1415" spans="1:1">
      <c r="A1415" s="27">
        <v>50</v>
      </c>
    </row>
    <row r="1416" spans="1:1">
      <c r="A1416" s="27">
        <v>609</v>
      </c>
    </row>
    <row r="1417" spans="1:1">
      <c r="A1417" s="27">
        <v>0.55000000000000004</v>
      </c>
    </row>
    <row r="1418" spans="1:1">
      <c r="A1418" s="27">
        <v>57</v>
      </c>
    </row>
    <row r="1419" spans="1:1">
      <c r="A1419" s="27">
        <v>211</v>
      </c>
    </row>
    <row r="1420" spans="1:1">
      <c r="A1420" s="27">
        <v>2</v>
      </c>
    </row>
    <row r="1421" spans="1:1">
      <c r="A1421" s="27">
        <v>8</v>
      </c>
    </row>
    <row r="1422" spans="1:1">
      <c r="A1422" s="27">
        <v>27</v>
      </c>
    </row>
    <row r="1423" spans="1:1">
      <c r="A1423" s="27">
        <v>7</v>
      </c>
    </row>
    <row r="1424" spans="1:1">
      <c r="A1424" s="27">
        <v>1886</v>
      </c>
    </row>
    <row r="1425" spans="1:1">
      <c r="A1425" s="27">
        <v>6.1</v>
      </c>
    </row>
    <row r="1426" spans="1:1">
      <c r="A1426" s="30">
        <v>1.0944444444444443</v>
      </c>
    </row>
    <row r="1427" spans="1:1">
      <c r="A1427" s="27">
        <v>30</v>
      </c>
    </row>
    <row r="1428" spans="1:1">
      <c r="A1428" s="28">
        <v>33.299999999999997</v>
      </c>
    </row>
    <row r="1429" spans="1:1">
      <c r="A1429" s="25">
        <v>69</v>
      </c>
    </row>
    <row r="1430" spans="1:1" ht="30">
      <c r="A1430" s="26" t="s">
        <v>191</v>
      </c>
    </row>
    <row r="1431" spans="1:1">
      <c r="A1431" s="27" t="s">
        <v>653</v>
      </c>
    </row>
    <row r="1432" spans="1:1">
      <c r="A1432" s="27">
        <v>812</v>
      </c>
    </row>
    <row r="1433" spans="1:1">
      <c r="A1433" s="27">
        <v>183</v>
      </c>
    </row>
    <row r="1434" spans="1:1">
      <c r="A1434" s="27">
        <v>285</v>
      </c>
    </row>
    <row r="1435" spans="1:1">
      <c r="A1435" s="27">
        <v>468</v>
      </c>
    </row>
    <row r="1436" spans="1:1">
      <c r="A1436" s="27">
        <v>-21</v>
      </c>
    </row>
    <row r="1437" spans="1:1">
      <c r="A1437" s="27">
        <v>399</v>
      </c>
    </row>
    <row r="1438" spans="1:1">
      <c r="A1438" s="27">
        <v>0.57999999999999996</v>
      </c>
    </row>
    <row r="1439" spans="1:1">
      <c r="A1439" s="27">
        <v>53</v>
      </c>
    </row>
    <row r="1440" spans="1:1">
      <c r="A1440" s="27">
        <v>139</v>
      </c>
    </row>
    <row r="1441" spans="1:1">
      <c r="A1441" s="27">
        <v>0</v>
      </c>
    </row>
    <row r="1442" spans="1:1">
      <c r="A1442" s="27">
        <v>0</v>
      </c>
    </row>
    <row r="1443" spans="1:1">
      <c r="A1443" s="27">
        <v>27</v>
      </c>
    </row>
    <row r="1444" spans="1:1">
      <c r="A1444" s="27">
        <v>4</v>
      </c>
    </row>
    <row r="1445" spans="1:1">
      <c r="A1445" s="27">
        <v>1651</v>
      </c>
    </row>
    <row r="1446" spans="1:1">
      <c r="A1446" s="27">
        <v>11.1</v>
      </c>
    </row>
    <row r="1447" spans="1:1">
      <c r="A1447" s="29">
        <v>0.68055555555555547</v>
      </c>
    </row>
    <row r="1448" spans="1:1">
      <c r="A1448" s="27">
        <v>21.4</v>
      </c>
    </row>
    <row r="1449" spans="1:1">
      <c r="A1449" s="28">
        <v>48.2</v>
      </c>
    </row>
    <row r="1450" spans="1:1">
      <c r="A1450" s="25">
        <v>70</v>
      </c>
    </row>
    <row r="1451" spans="1:1" ht="30">
      <c r="A1451" s="26" t="s">
        <v>1172</v>
      </c>
    </row>
    <row r="1452" spans="1:1">
      <c r="A1452" s="27" t="s">
        <v>42</v>
      </c>
    </row>
    <row r="1453" spans="1:1">
      <c r="A1453" s="27">
        <v>862</v>
      </c>
    </row>
    <row r="1454" spans="1:1">
      <c r="A1454" s="27">
        <v>133</v>
      </c>
    </row>
    <row r="1455" spans="1:1">
      <c r="A1455" s="27">
        <v>333</v>
      </c>
    </row>
    <row r="1456" spans="1:1">
      <c r="A1456" s="27">
        <v>466</v>
      </c>
    </row>
    <row r="1457" spans="1:1">
      <c r="A1457" s="27">
        <v>91</v>
      </c>
    </row>
    <row r="1458" spans="1:1">
      <c r="A1458" s="27">
        <v>731</v>
      </c>
    </row>
    <row r="1459" spans="1:1">
      <c r="A1459" s="27">
        <v>0.54</v>
      </c>
    </row>
    <row r="1460" spans="1:1">
      <c r="A1460" s="27">
        <v>47</v>
      </c>
    </row>
    <row r="1461" spans="1:1">
      <c r="A1461" s="27">
        <v>166</v>
      </c>
    </row>
    <row r="1462" spans="1:1">
      <c r="A1462" s="27">
        <v>10</v>
      </c>
    </row>
    <row r="1463" spans="1:1">
      <c r="A1463" s="27">
        <v>20</v>
      </c>
    </row>
    <row r="1464" spans="1:1">
      <c r="A1464" s="27">
        <v>21</v>
      </c>
    </row>
    <row r="1465" spans="1:1">
      <c r="A1465" s="27">
        <v>7</v>
      </c>
    </row>
    <row r="1466" spans="1:1">
      <c r="A1466" s="27">
        <v>1805</v>
      </c>
    </row>
    <row r="1467" spans="1:1">
      <c r="A1467" s="27">
        <v>7.4</v>
      </c>
    </row>
    <row r="1468" spans="1:1">
      <c r="A1468" s="29">
        <v>0.94236111111111109</v>
      </c>
    </row>
    <row r="1469" spans="1:1">
      <c r="A1469" s="27">
        <v>28.3</v>
      </c>
    </row>
    <row r="1470" spans="1:1">
      <c r="A1470" s="28">
        <v>0</v>
      </c>
    </row>
    <row r="1471" spans="1:1">
      <c r="A1471" s="25">
        <v>71</v>
      </c>
    </row>
    <row r="1472" spans="1:1" ht="45">
      <c r="A1472" s="26" t="s">
        <v>440</v>
      </c>
    </row>
    <row r="1473" spans="1:1">
      <c r="A1473" s="27" t="s">
        <v>42</v>
      </c>
    </row>
    <row r="1474" spans="1:1">
      <c r="A1474" s="27">
        <v>1107</v>
      </c>
    </row>
    <row r="1475" spans="1:1">
      <c r="A1475" s="27">
        <v>103</v>
      </c>
    </row>
    <row r="1476" spans="1:1">
      <c r="A1476" s="27">
        <v>361</v>
      </c>
    </row>
    <row r="1477" spans="1:1">
      <c r="A1477" s="27">
        <v>464</v>
      </c>
    </row>
    <row r="1478" spans="1:1">
      <c r="A1478" s="27">
        <v>114</v>
      </c>
    </row>
    <row r="1479" spans="1:1">
      <c r="A1479" s="27">
        <v>657</v>
      </c>
    </row>
    <row r="1480" spans="1:1">
      <c r="A1480" s="27">
        <v>0.42</v>
      </c>
    </row>
    <row r="1481" spans="1:1">
      <c r="A1481" s="27">
        <v>38</v>
      </c>
    </row>
    <row r="1482" spans="1:1">
      <c r="A1482" s="27">
        <v>159</v>
      </c>
    </row>
    <row r="1483" spans="1:1">
      <c r="A1483" s="27">
        <v>2</v>
      </c>
    </row>
    <row r="1484" spans="1:1">
      <c r="A1484" s="27">
        <v>12</v>
      </c>
    </row>
    <row r="1485" spans="1:1">
      <c r="A1485" s="27">
        <v>19</v>
      </c>
    </row>
    <row r="1486" spans="1:1">
      <c r="A1486" s="27">
        <v>7</v>
      </c>
    </row>
    <row r="1487" spans="1:1">
      <c r="A1487" s="27">
        <v>1990</v>
      </c>
    </row>
    <row r="1488" spans="1:1">
      <c r="A1488" s="27">
        <v>5.2</v>
      </c>
    </row>
    <row r="1489" spans="1:1">
      <c r="A1489" s="29">
        <v>0.9145833333333333</v>
      </c>
    </row>
    <row r="1490" spans="1:1">
      <c r="A1490" s="27">
        <v>28.3</v>
      </c>
    </row>
    <row r="1491" spans="1:1">
      <c r="A1491" s="28">
        <v>16.7</v>
      </c>
    </row>
    <row r="1492" spans="1:1">
      <c r="A1492" s="25">
        <v>72</v>
      </c>
    </row>
    <row r="1493" spans="1:1" ht="30">
      <c r="A1493" s="26" t="s">
        <v>495</v>
      </c>
    </row>
    <row r="1494" spans="1:1">
      <c r="A1494" s="27" t="s">
        <v>653</v>
      </c>
    </row>
    <row r="1495" spans="1:1">
      <c r="A1495" s="27">
        <v>698</v>
      </c>
    </row>
    <row r="1496" spans="1:1">
      <c r="A1496" s="27">
        <v>162</v>
      </c>
    </row>
    <row r="1497" spans="1:1">
      <c r="A1497" s="27">
        <v>299</v>
      </c>
    </row>
    <row r="1498" spans="1:1">
      <c r="A1498" s="27">
        <v>461</v>
      </c>
    </row>
    <row r="1499" spans="1:1">
      <c r="A1499" s="27">
        <v>96</v>
      </c>
    </row>
    <row r="1500" spans="1:1">
      <c r="A1500" s="27">
        <v>178</v>
      </c>
    </row>
    <row r="1501" spans="1:1">
      <c r="A1501" s="27">
        <v>0.66</v>
      </c>
    </row>
    <row r="1502" spans="1:1">
      <c r="A1502" s="27">
        <v>33</v>
      </c>
    </row>
    <row r="1503" spans="1:1">
      <c r="A1503" s="27">
        <v>121</v>
      </c>
    </row>
    <row r="1504" spans="1:1">
      <c r="A1504" s="27">
        <v>12</v>
      </c>
    </row>
    <row r="1505" spans="1:1">
      <c r="A1505" s="27">
        <v>21</v>
      </c>
    </row>
    <row r="1506" spans="1:1">
      <c r="A1506" s="27">
        <v>32</v>
      </c>
    </row>
    <row r="1507" spans="1:1">
      <c r="A1507" s="27">
        <v>4</v>
      </c>
    </row>
    <row r="1508" spans="1:1">
      <c r="A1508" s="27">
        <v>1661</v>
      </c>
    </row>
    <row r="1509" spans="1:1">
      <c r="A1509" s="27">
        <v>9.8000000000000007</v>
      </c>
    </row>
    <row r="1510" spans="1:1">
      <c r="A1510" s="29">
        <v>0.77083333333333337</v>
      </c>
    </row>
    <row r="1511" spans="1:1">
      <c r="A1511" s="27">
        <v>24.2</v>
      </c>
    </row>
    <row r="1512" spans="1:1">
      <c r="A1512" s="28">
        <v>45.6</v>
      </c>
    </row>
    <row r="1513" spans="1:1">
      <c r="A1513" s="25">
        <v>73</v>
      </c>
    </row>
    <row r="1514" spans="1:1" ht="30">
      <c r="A1514" s="26" t="s">
        <v>393</v>
      </c>
    </row>
    <row r="1515" spans="1:1">
      <c r="A1515" s="27" t="s">
        <v>44</v>
      </c>
    </row>
    <row r="1516" spans="1:1">
      <c r="A1516" s="27">
        <v>689</v>
      </c>
    </row>
    <row r="1517" spans="1:1">
      <c r="A1517" s="27">
        <v>255</v>
      </c>
    </row>
    <row r="1518" spans="1:1">
      <c r="A1518" s="27">
        <v>204</v>
      </c>
    </row>
    <row r="1519" spans="1:1">
      <c r="A1519" s="27">
        <v>459</v>
      </c>
    </row>
    <row r="1520" spans="1:1">
      <c r="A1520" s="27">
        <v>-95</v>
      </c>
    </row>
    <row r="1521" spans="1:1">
      <c r="A1521" s="27">
        <v>314</v>
      </c>
    </row>
    <row r="1522" spans="1:1">
      <c r="A1522" s="27">
        <v>0.67</v>
      </c>
    </row>
    <row r="1523" spans="1:1">
      <c r="A1523" s="27">
        <v>53</v>
      </c>
    </row>
    <row r="1524" spans="1:1">
      <c r="A1524" s="27">
        <v>117</v>
      </c>
    </row>
    <row r="1525" spans="1:1">
      <c r="A1525" s="27">
        <v>0</v>
      </c>
    </row>
    <row r="1526" spans="1:1">
      <c r="A1526" s="27">
        <v>0</v>
      </c>
    </row>
    <row r="1527" spans="1:1">
      <c r="A1527" s="27">
        <v>36</v>
      </c>
    </row>
    <row r="1528" spans="1:1">
      <c r="A1528" s="27">
        <v>5</v>
      </c>
    </row>
    <row r="1529" spans="1:1">
      <c r="A1529" s="27">
        <v>2279</v>
      </c>
    </row>
    <row r="1530" spans="1:1">
      <c r="A1530" s="27">
        <v>11.2</v>
      </c>
    </row>
    <row r="1531" spans="1:1">
      <c r="A1531" s="29">
        <v>0.72013888888888899</v>
      </c>
    </row>
    <row r="1532" spans="1:1">
      <c r="A1532" s="27">
        <v>21.8</v>
      </c>
    </row>
    <row r="1533" spans="1:1">
      <c r="A1533" s="28">
        <v>44.9</v>
      </c>
    </row>
    <row r="1534" spans="1:1">
      <c r="A1534" s="25">
        <v>74</v>
      </c>
    </row>
    <row r="1535" spans="1:1" ht="45">
      <c r="A1535" s="26" t="s">
        <v>841</v>
      </c>
    </row>
    <row r="1536" spans="1:1">
      <c r="A1536" s="27" t="s">
        <v>43</v>
      </c>
    </row>
    <row r="1537" spans="1:1">
      <c r="A1537" s="27">
        <v>738</v>
      </c>
    </row>
    <row r="1538" spans="1:1">
      <c r="A1538" s="27">
        <v>227</v>
      </c>
    </row>
    <row r="1539" spans="1:1">
      <c r="A1539" s="27">
        <v>232</v>
      </c>
    </row>
    <row r="1540" spans="1:1">
      <c r="A1540" s="27">
        <v>459</v>
      </c>
    </row>
    <row r="1541" spans="1:1">
      <c r="A1541" s="27">
        <v>80</v>
      </c>
    </row>
    <row r="1542" spans="1:1">
      <c r="A1542" s="27">
        <v>376</v>
      </c>
    </row>
    <row r="1543" spans="1:1">
      <c r="A1543" s="27">
        <v>0.62</v>
      </c>
    </row>
    <row r="1544" spans="1:1">
      <c r="A1544" s="27">
        <v>82</v>
      </c>
    </row>
    <row r="1545" spans="1:1">
      <c r="A1545" s="27">
        <v>144</v>
      </c>
    </row>
    <row r="1546" spans="1:1">
      <c r="A1546" s="27">
        <v>0</v>
      </c>
    </row>
    <row r="1547" spans="1:1">
      <c r="A1547" s="27">
        <v>0</v>
      </c>
    </row>
    <row r="1548" spans="1:1">
      <c r="A1548" s="27">
        <v>40</v>
      </c>
    </row>
    <row r="1549" spans="1:1">
      <c r="A1549" s="27">
        <v>1</v>
      </c>
    </row>
    <row r="1550" spans="1:1">
      <c r="A1550" s="27">
        <v>2353</v>
      </c>
    </row>
    <row r="1551" spans="1:1">
      <c r="A1551" s="27">
        <v>9.6</v>
      </c>
    </row>
    <row r="1552" spans="1:1">
      <c r="A1552" s="29">
        <v>0.67083333333333339</v>
      </c>
    </row>
    <row r="1553" spans="1:1">
      <c r="A1553" s="27">
        <v>21.1</v>
      </c>
    </row>
    <row r="1554" spans="1:1">
      <c r="A1554" s="28">
        <v>42.7</v>
      </c>
    </row>
    <row r="1555" spans="1:1">
      <c r="A1555" s="25">
        <v>75</v>
      </c>
    </row>
    <row r="1556" spans="1:1" ht="30">
      <c r="A1556" s="26" t="s">
        <v>162</v>
      </c>
    </row>
    <row r="1557" spans="1:1">
      <c r="A1557" s="27" t="s">
        <v>653</v>
      </c>
    </row>
    <row r="1558" spans="1:1">
      <c r="A1558" s="27">
        <v>862</v>
      </c>
    </row>
    <row r="1559" spans="1:1">
      <c r="A1559" s="27">
        <v>162</v>
      </c>
    </row>
    <row r="1560" spans="1:1">
      <c r="A1560" s="27">
        <v>297</v>
      </c>
    </row>
    <row r="1561" spans="1:1">
      <c r="A1561" s="27">
        <v>459</v>
      </c>
    </row>
    <row r="1562" spans="1:1">
      <c r="A1562" s="27">
        <v>-28</v>
      </c>
    </row>
    <row r="1563" spans="1:1">
      <c r="A1563" s="27">
        <v>162</v>
      </c>
    </row>
    <row r="1564" spans="1:1">
      <c r="A1564" s="27">
        <v>0.53</v>
      </c>
    </row>
    <row r="1565" spans="1:1">
      <c r="A1565" s="27">
        <v>34</v>
      </c>
    </row>
    <row r="1566" spans="1:1">
      <c r="A1566" s="27">
        <v>145</v>
      </c>
    </row>
    <row r="1567" spans="1:1">
      <c r="A1567" s="27">
        <v>19</v>
      </c>
    </row>
    <row r="1568" spans="1:1">
      <c r="A1568" s="27">
        <v>28</v>
      </c>
    </row>
    <row r="1569" spans="1:1">
      <c r="A1569" s="27">
        <v>20</v>
      </c>
    </row>
    <row r="1570" spans="1:1">
      <c r="A1570" s="27">
        <v>1</v>
      </c>
    </row>
    <row r="1571" spans="1:1">
      <c r="A1571" s="27">
        <v>1610</v>
      </c>
    </row>
    <row r="1572" spans="1:1">
      <c r="A1572" s="27">
        <v>10.1</v>
      </c>
    </row>
    <row r="1573" spans="1:1">
      <c r="A1573" s="29">
        <v>0.69652777777777775</v>
      </c>
    </row>
    <row r="1574" spans="1:1">
      <c r="A1574" s="27">
        <v>22.9</v>
      </c>
    </row>
    <row r="1575" spans="1:1">
      <c r="A1575" s="28">
        <v>48.5</v>
      </c>
    </row>
    <row r="1576" spans="1:1">
      <c r="A1576" s="25">
        <v>76</v>
      </c>
    </row>
    <row r="1577" spans="1:1" ht="60">
      <c r="A1577" s="26" t="s">
        <v>232</v>
      </c>
    </row>
    <row r="1578" spans="1:1">
      <c r="A1578" s="27" t="s">
        <v>44</v>
      </c>
    </row>
    <row r="1579" spans="1:1">
      <c r="A1579" s="27">
        <v>703</v>
      </c>
    </row>
    <row r="1580" spans="1:1">
      <c r="A1580" s="27">
        <v>234</v>
      </c>
    </row>
    <row r="1581" spans="1:1">
      <c r="A1581" s="27">
        <v>219</v>
      </c>
    </row>
    <row r="1582" spans="1:1">
      <c r="A1582" s="27">
        <v>453</v>
      </c>
    </row>
    <row r="1583" spans="1:1">
      <c r="A1583" s="27">
        <v>-39</v>
      </c>
    </row>
    <row r="1584" spans="1:1">
      <c r="A1584" s="27">
        <v>303</v>
      </c>
    </row>
    <row r="1585" spans="1:1">
      <c r="A1585" s="27">
        <v>0.64</v>
      </c>
    </row>
    <row r="1586" spans="1:1">
      <c r="A1586" s="27">
        <v>63</v>
      </c>
    </row>
    <row r="1587" spans="1:1">
      <c r="A1587" s="27">
        <v>118</v>
      </c>
    </row>
    <row r="1588" spans="1:1">
      <c r="A1588" s="27">
        <v>3</v>
      </c>
    </row>
    <row r="1589" spans="1:1">
      <c r="A1589" s="27">
        <v>5</v>
      </c>
    </row>
    <row r="1590" spans="1:1">
      <c r="A1590" s="27">
        <v>35</v>
      </c>
    </row>
    <row r="1591" spans="1:1">
      <c r="A1591" s="27">
        <v>1</v>
      </c>
    </row>
    <row r="1592" spans="1:1">
      <c r="A1592" s="27">
        <v>1990</v>
      </c>
    </row>
    <row r="1593" spans="1:1">
      <c r="A1593" s="27">
        <v>11.8</v>
      </c>
    </row>
    <row r="1594" spans="1:1">
      <c r="A1594" s="29">
        <v>0.69166666666666676</v>
      </c>
    </row>
    <row r="1595" spans="1:1">
      <c r="A1595" s="27">
        <v>21.5</v>
      </c>
    </row>
    <row r="1596" spans="1:1">
      <c r="A1596" s="28">
        <v>42.3</v>
      </c>
    </row>
    <row r="1597" spans="1:1">
      <c r="A1597" s="25">
        <v>77</v>
      </c>
    </row>
    <row r="1598" spans="1:1" ht="30">
      <c r="A1598" s="26" t="s">
        <v>466</v>
      </c>
    </row>
    <row r="1599" spans="1:1">
      <c r="A1599" s="27" t="s">
        <v>653</v>
      </c>
    </row>
    <row r="1600" spans="1:1">
      <c r="A1600" s="27">
        <v>816</v>
      </c>
    </row>
    <row r="1601" spans="1:1">
      <c r="A1601" s="27">
        <v>159</v>
      </c>
    </row>
    <row r="1602" spans="1:1">
      <c r="A1602" s="27">
        <v>294</v>
      </c>
    </row>
    <row r="1603" spans="1:1">
      <c r="A1603" s="27">
        <v>453</v>
      </c>
    </row>
    <row r="1604" spans="1:1">
      <c r="A1604" s="27">
        <v>-116</v>
      </c>
    </row>
    <row r="1605" spans="1:1">
      <c r="A1605" s="27">
        <v>370</v>
      </c>
    </row>
    <row r="1606" spans="1:1">
      <c r="A1606" s="27">
        <v>0.56000000000000005</v>
      </c>
    </row>
    <row r="1607" spans="1:1">
      <c r="A1607" s="27">
        <v>50</v>
      </c>
    </row>
    <row r="1608" spans="1:1">
      <c r="A1608" s="27">
        <v>133</v>
      </c>
    </row>
    <row r="1609" spans="1:1">
      <c r="A1609" s="27">
        <v>1</v>
      </c>
    </row>
    <row r="1610" spans="1:1">
      <c r="A1610" s="27">
        <v>4</v>
      </c>
    </row>
    <row r="1611" spans="1:1">
      <c r="A1611" s="27">
        <v>14</v>
      </c>
    </row>
    <row r="1612" spans="1:1">
      <c r="A1612" s="27">
        <v>3</v>
      </c>
    </row>
    <row r="1613" spans="1:1">
      <c r="A1613" s="27">
        <v>1709</v>
      </c>
    </row>
    <row r="1614" spans="1:1">
      <c r="A1614" s="27">
        <v>9.3000000000000007</v>
      </c>
    </row>
    <row r="1615" spans="1:1">
      <c r="A1615" s="29">
        <v>0.6791666666666667</v>
      </c>
    </row>
    <row r="1616" spans="1:1">
      <c r="A1616" s="27">
        <v>20.5</v>
      </c>
    </row>
    <row r="1617" spans="1:1">
      <c r="A1617" s="28">
        <v>45.5</v>
      </c>
    </row>
    <row r="1618" spans="1:1">
      <c r="A1618" s="25">
        <v>78</v>
      </c>
    </row>
    <row r="1619" spans="1:1" ht="30">
      <c r="A1619" s="26" t="s">
        <v>189</v>
      </c>
    </row>
    <row r="1620" spans="1:1">
      <c r="A1620" s="27" t="s">
        <v>43</v>
      </c>
    </row>
    <row r="1621" spans="1:1">
      <c r="A1621" s="27">
        <v>823</v>
      </c>
    </row>
    <row r="1622" spans="1:1">
      <c r="A1622" s="27">
        <v>147</v>
      </c>
    </row>
    <row r="1623" spans="1:1">
      <c r="A1623" s="27">
        <v>304</v>
      </c>
    </row>
    <row r="1624" spans="1:1">
      <c r="A1624" s="27">
        <v>451</v>
      </c>
    </row>
    <row r="1625" spans="1:1">
      <c r="A1625" s="27">
        <v>-46</v>
      </c>
    </row>
    <row r="1626" spans="1:1">
      <c r="A1626" s="27">
        <v>223</v>
      </c>
    </row>
    <row r="1627" spans="1:1">
      <c r="A1627" s="27">
        <v>0.55000000000000004</v>
      </c>
    </row>
    <row r="1628" spans="1:1">
      <c r="A1628" s="27">
        <v>31</v>
      </c>
    </row>
    <row r="1629" spans="1:1">
      <c r="A1629" s="27">
        <v>115</v>
      </c>
    </row>
    <row r="1630" spans="1:1">
      <c r="A1630" s="27">
        <v>5</v>
      </c>
    </row>
    <row r="1631" spans="1:1">
      <c r="A1631" s="27">
        <v>8</v>
      </c>
    </row>
    <row r="1632" spans="1:1">
      <c r="A1632" s="27">
        <v>19</v>
      </c>
    </row>
    <row r="1633" spans="1:1">
      <c r="A1633" s="27">
        <v>6</v>
      </c>
    </row>
    <row r="1634" spans="1:1">
      <c r="A1634" s="27">
        <v>1288</v>
      </c>
    </row>
    <row r="1635" spans="1:1">
      <c r="A1635" s="27">
        <v>11.4</v>
      </c>
    </row>
    <row r="1636" spans="1:1">
      <c r="A1636" s="29">
        <v>0.69027777777777777</v>
      </c>
    </row>
    <row r="1637" spans="1:1">
      <c r="A1637" s="27">
        <v>20.6</v>
      </c>
    </row>
    <row r="1638" spans="1:1">
      <c r="A1638" s="28">
        <v>43.7</v>
      </c>
    </row>
    <row r="1639" spans="1:1">
      <c r="A1639" s="25">
        <v>79</v>
      </c>
    </row>
    <row r="1640" spans="1:1" ht="30">
      <c r="A1640" s="26" t="s">
        <v>256</v>
      </c>
    </row>
    <row r="1641" spans="1:1">
      <c r="A1641" s="27" t="s">
        <v>44</v>
      </c>
    </row>
    <row r="1642" spans="1:1">
      <c r="A1642" s="27">
        <v>865</v>
      </c>
    </row>
    <row r="1643" spans="1:1">
      <c r="A1643" s="27">
        <v>190</v>
      </c>
    </row>
    <row r="1644" spans="1:1">
      <c r="A1644" s="27">
        <v>257</v>
      </c>
    </row>
    <row r="1645" spans="1:1">
      <c r="A1645" s="27">
        <v>447</v>
      </c>
    </row>
    <row r="1646" spans="1:1">
      <c r="A1646" s="27">
        <v>-5</v>
      </c>
    </row>
    <row r="1647" spans="1:1">
      <c r="A1647" s="27">
        <v>694</v>
      </c>
    </row>
    <row r="1648" spans="1:1">
      <c r="A1648" s="27">
        <v>0.52</v>
      </c>
    </row>
    <row r="1649" spans="1:1">
      <c r="A1649" s="27">
        <v>47</v>
      </c>
    </row>
    <row r="1650" spans="1:1">
      <c r="A1650" s="27">
        <v>114</v>
      </c>
    </row>
    <row r="1651" spans="1:1">
      <c r="A1651" s="27">
        <v>0</v>
      </c>
    </row>
    <row r="1652" spans="1:1">
      <c r="A1652" s="27">
        <v>1</v>
      </c>
    </row>
    <row r="1653" spans="1:1">
      <c r="A1653" s="27">
        <v>30</v>
      </c>
    </row>
    <row r="1654" spans="1:1">
      <c r="A1654" s="27">
        <v>3</v>
      </c>
    </row>
    <row r="1655" spans="1:1">
      <c r="A1655" s="27">
        <v>1596</v>
      </c>
    </row>
    <row r="1656" spans="1:1">
      <c r="A1656" s="27">
        <v>11.9</v>
      </c>
    </row>
    <row r="1657" spans="1:1">
      <c r="A1657" s="29">
        <v>0.67083333333333339</v>
      </c>
    </row>
    <row r="1658" spans="1:1">
      <c r="A1658" s="27">
        <v>20.3</v>
      </c>
    </row>
    <row r="1659" spans="1:1">
      <c r="A1659" s="28">
        <v>47</v>
      </c>
    </row>
    <row r="1660" spans="1:1">
      <c r="A1660" s="25">
        <v>80</v>
      </c>
    </row>
    <row r="1661" spans="1:1" ht="45">
      <c r="A1661" s="26" t="s">
        <v>797</v>
      </c>
    </row>
    <row r="1662" spans="1:1">
      <c r="A1662" s="27" t="s">
        <v>653</v>
      </c>
    </row>
    <row r="1663" spans="1:1">
      <c r="A1663" s="27">
        <v>483</v>
      </c>
    </row>
    <row r="1664" spans="1:1">
      <c r="A1664" s="27">
        <v>173</v>
      </c>
    </row>
    <row r="1665" spans="1:1">
      <c r="A1665" s="27">
        <v>273</v>
      </c>
    </row>
    <row r="1666" spans="1:1">
      <c r="A1666" s="27">
        <v>446</v>
      </c>
    </row>
    <row r="1667" spans="1:1">
      <c r="A1667" s="27">
        <v>34</v>
      </c>
    </row>
    <row r="1668" spans="1:1">
      <c r="A1668" s="27">
        <v>187</v>
      </c>
    </row>
    <row r="1669" spans="1:1">
      <c r="A1669" s="27">
        <v>0.92</v>
      </c>
    </row>
    <row r="1670" spans="1:1">
      <c r="A1670" s="27">
        <v>51</v>
      </c>
    </row>
    <row r="1671" spans="1:1">
      <c r="A1671" s="27">
        <v>138</v>
      </c>
    </row>
    <row r="1672" spans="1:1">
      <c r="A1672" s="27">
        <v>2</v>
      </c>
    </row>
    <row r="1673" spans="1:1">
      <c r="A1673" s="27">
        <v>4</v>
      </c>
    </row>
    <row r="1674" spans="1:1">
      <c r="A1674" s="27">
        <v>37</v>
      </c>
    </row>
    <row r="1675" spans="1:1">
      <c r="A1675" s="27">
        <v>8</v>
      </c>
    </row>
    <row r="1676" spans="1:1">
      <c r="A1676" s="27">
        <v>1707</v>
      </c>
    </row>
    <row r="1677" spans="1:1">
      <c r="A1677" s="27">
        <v>10.1</v>
      </c>
    </row>
    <row r="1678" spans="1:1">
      <c r="A1678" s="29">
        <v>0.80763888888888891</v>
      </c>
    </row>
    <row r="1679" spans="1:1">
      <c r="A1679" s="27">
        <v>23.4</v>
      </c>
    </row>
    <row r="1680" spans="1:1">
      <c r="A1680" s="28">
        <v>46</v>
      </c>
    </row>
    <row r="1681" spans="1:1">
      <c r="A1681" s="25">
        <v>81</v>
      </c>
    </row>
    <row r="1682" spans="1:1" ht="30">
      <c r="A1682" s="26" t="s">
        <v>172</v>
      </c>
    </row>
    <row r="1683" spans="1:1">
      <c r="A1683" s="27" t="s">
        <v>42</v>
      </c>
    </row>
    <row r="1684" spans="1:1">
      <c r="A1684" s="27">
        <v>718</v>
      </c>
    </row>
    <row r="1685" spans="1:1">
      <c r="A1685" s="27">
        <v>101</v>
      </c>
    </row>
    <row r="1686" spans="1:1">
      <c r="A1686" s="27">
        <v>344</v>
      </c>
    </row>
    <row r="1687" spans="1:1">
      <c r="A1687" s="27">
        <v>445</v>
      </c>
    </row>
    <row r="1688" spans="1:1">
      <c r="A1688" s="27">
        <v>101</v>
      </c>
    </row>
    <row r="1689" spans="1:1">
      <c r="A1689" s="27">
        <v>240</v>
      </c>
    </row>
    <row r="1690" spans="1:1">
      <c r="A1690" s="27">
        <v>0.62</v>
      </c>
    </row>
    <row r="1691" spans="1:1">
      <c r="A1691" s="27">
        <v>27</v>
      </c>
    </row>
    <row r="1692" spans="1:1">
      <c r="A1692" s="27">
        <v>163</v>
      </c>
    </row>
    <row r="1693" spans="1:1">
      <c r="A1693" s="27">
        <v>1</v>
      </c>
    </row>
    <row r="1694" spans="1:1">
      <c r="A1694" s="27">
        <v>5</v>
      </c>
    </row>
    <row r="1695" spans="1:1">
      <c r="A1695" s="27">
        <v>22</v>
      </c>
    </row>
    <row r="1696" spans="1:1">
      <c r="A1696" s="27">
        <v>2</v>
      </c>
    </row>
    <row r="1697" spans="1:1">
      <c r="A1697" s="27">
        <v>1625</v>
      </c>
    </row>
    <row r="1698" spans="1:1">
      <c r="A1698" s="27">
        <v>6.2</v>
      </c>
    </row>
    <row r="1699" spans="1:1">
      <c r="A1699" s="29">
        <v>0.97152777777777777</v>
      </c>
    </row>
    <row r="1700" spans="1:1">
      <c r="A1700" s="27">
        <v>26.5</v>
      </c>
    </row>
    <row r="1701" spans="1:1">
      <c r="A1701" s="28">
        <v>20</v>
      </c>
    </row>
    <row r="1702" spans="1:1">
      <c r="A1702" s="25">
        <v>82</v>
      </c>
    </row>
    <row r="1703" spans="1:1" ht="30">
      <c r="A1703" s="26" t="s">
        <v>125</v>
      </c>
    </row>
    <row r="1704" spans="1:1">
      <c r="A1704" s="27" t="s">
        <v>42</v>
      </c>
    </row>
    <row r="1705" spans="1:1">
      <c r="A1705" s="27">
        <v>719</v>
      </c>
    </row>
    <row r="1706" spans="1:1">
      <c r="A1706" s="27">
        <v>99</v>
      </c>
    </row>
    <row r="1707" spans="1:1">
      <c r="A1707" s="27">
        <v>342</v>
      </c>
    </row>
    <row r="1708" spans="1:1">
      <c r="A1708" s="27">
        <v>441</v>
      </c>
    </row>
    <row r="1709" spans="1:1">
      <c r="A1709" s="27">
        <v>88</v>
      </c>
    </row>
    <row r="1710" spans="1:1">
      <c r="A1710" s="27">
        <v>546</v>
      </c>
    </row>
    <row r="1711" spans="1:1">
      <c r="A1711" s="27">
        <v>0.61</v>
      </c>
    </row>
    <row r="1712" spans="1:1">
      <c r="A1712" s="27">
        <v>17</v>
      </c>
    </row>
    <row r="1713" spans="1:1">
      <c r="A1713" s="27">
        <v>142</v>
      </c>
    </row>
    <row r="1714" spans="1:1">
      <c r="A1714" s="27">
        <v>0</v>
      </c>
    </row>
    <row r="1715" spans="1:1">
      <c r="A1715" s="27">
        <v>11</v>
      </c>
    </row>
    <row r="1716" spans="1:1">
      <c r="A1716" s="27">
        <v>15</v>
      </c>
    </row>
    <row r="1717" spans="1:1">
      <c r="A1717" s="27">
        <v>5</v>
      </c>
    </row>
    <row r="1718" spans="1:1">
      <c r="A1718" s="27">
        <v>1425</v>
      </c>
    </row>
    <row r="1719" spans="1:1">
      <c r="A1719" s="27">
        <v>6.9</v>
      </c>
    </row>
    <row r="1720" spans="1:1">
      <c r="A1720" s="29">
        <v>0.95416666666666661</v>
      </c>
    </row>
    <row r="1721" spans="1:1">
      <c r="A1721" s="27">
        <v>27.2</v>
      </c>
    </row>
    <row r="1722" spans="1:1">
      <c r="A1722" s="28">
        <v>33.299999999999997</v>
      </c>
    </row>
    <row r="1723" spans="1:1">
      <c r="A1723" s="25">
        <v>83</v>
      </c>
    </row>
    <row r="1724" spans="1:1" ht="30">
      <c r="A1724" s="26" t="s">
        <v>697</v>
      </c>
    </row>
    <row r="1725" spans="1:1">
      <c r="A1725" s="27" t="s">
        <v>653</v>
      </c>
    </row>
    <row r="1726" spans="1:1">
      <c r="A1726" s="27">
        <v>823</v>
      </c>
    </row>
    <row r="1727" spans="1:1">
      <c r="A1727" s="27">
        <v>153</v>
      </c>
    </row>
    <row r="1728" spans="1:1">
      <c r="A1728" s="27">
        <v>285</v>
      </c>
    </row>
    <row r="1729" spans="1:1">
      <c r="A1729" s="27">
        <v>438</v>
      </c>
    </row>
    <row r="1730" spans="1:1">
      <c r="A1730" s="27">
        <v>24</v>
      </c>
    </row>
    <row r="1731" spans="1:1">
      <c r="A1731" s="27">
        <v>905</v>
      </c>
    </row>
    <row r="1732" spans="1:1">
      <c r="A1732" s="27">
        <v>0.53</v>
      </c>
    </row>
    <row r="1733" spans="1:1">
      <c r="A1733" s="27">
        <v>25</v>
      </c>
    </row>
    <row r="1734" spans="1:1">
      <c r="A1734" s="27">
        <v>77</v>
      </c>
    </row>
    <row r="1735" spans="1:1">
      <c r="A1735" s="27">
        <v>11</v>
      </c>
    </row>
    <row r="1736" spans="1:1">
      <c r="A1736" s="27">
        <v>21</v>
      </c>
    </row>
    <row r="1737" spans="1:1">
      <c r="A1737" s="27">
        <v>26</v>
      </c>
    </row>
    <row r="1738" spans="1:1">
      <c r="A1738" s="27">
        <v>1</v>
      </c>
    </row>
    <row r="1739" spans="1:1">
      <c r="A1739" s="27">
        <v>1625</v>
      </c>
    </row>
    <row r="1740" spans="1:1">
      <c r="A1740" s="27">
        <v>9.4</v>
      </c>
    </row>
    <row r="1741" spans="1:1">
      <c r="A1741" s="29">
        <v>0.71458333333333324</v>
      </c>
    </row>
    <row r="1742" spans="1:1">
      <c r="A1742" s="27">
        <v>22.3</v>
      </c>
    </row>
    <row r="1743" spans="1:1">
      <c r="A1743" s="28">
        <v>52.9</v>
      </c>
    </row>
    <row r="1744" spans="1:1">
      <c r="A1744" s="25">
        <v>84</v>
      </c>
    </row>
    <row r="1745" spans="1:1" ht="30">
      <c r="A1745" s="26" t="s">
        <v>547</v>
      </c>
    </row>
    <row r="1746" spans="1:1">
      <c r="A1746" s="27" t="s">
        <v>44</v>
      </c>
    </row>
    <row r="1747" spans="1:1">
      <c r="A1747" s="27">
        <v>675</v>
      </c>
    </row>
    <row r="1748" spans="1:1">
      <c r="A1748" s="27">
        <v>229</v>
      </c>
    </row>
    <row r="1749" spans="1:1">
      <c r="A1749" s="27">
        <v>204</v>
      </c>
    </row>
    <row r="1750" spans="1:1">
      <c r="A1750" s="27">
        <v>433</v>
      </c>
    </row>
    <row r="1751" spans="1:1">
      <c r="A1751" s="27">
        <v>-59</v>
      </c>
    </row>
    <row r="1752" spans="1:1">
      <c r="A1752" s="27">
        <v>863</v>
      </c>
    </row>
    <row r="1753" spans="1:1">
      <c r="A1753" s="27">
        <v>0.64</v>
      </c>
    </row>
    <row r="1754" spans="1:1">
      <c r="A1754" s="27">
        <v>37</v>
      </c>
    </row>
    <row r="1755" spans="1:1">
      <c r="A1755" s="27">
        <v>75</v>
      </c>
    </row>
    <row r="1756" spans="1:1">
      <c r="A1756" s="27">
        <v>12</v>
      </c>
    </row>
    <row r="1757" spans="1:1">
      <c r="A1757" s="27">
        <v>15</v>
      </c>
    </row>
    <row r="1758" spans="1:1">
      <c r="A1758" s="27">
        <v>32</v>
      </c>
    </row>
    <row r="1759" spans="1:1">
      <c r="A1759" s="27">
        <v>3</v>
      </c>
    </row>
    <row r="1760" spans="1:1">
      <c r="A1760" s="27">
        <v>2413</v>
      </c>
    </row>
    <row r="1761" spans="1:1">
      <c r="A1761" s="27">
        <v>9.5</v>
      </c>
    </row>
    <row r="1762" spans="1:1">
      <c r="A1762" s="29">
        <v>0.78055555555555556</v>
      </c>
    </row>
    <row r="1763" spans="1:1">
      <c r="A1763" s="27">
        <v>22.6</v>
      </c>
    </row>
    <row r="1764" spans="1:1">
      <c r="A1764" s="28">
        <v>45.1</v>
      </c>
    </row>
    <row r="1765" spans="1:1">
      <c r="A1765" s="25">
        <v>85</v>
      </c>
    </row>
    <row r="1766" spans="1:1" ht="45">
      <c r="A1766" s="26" t="s">
        <v>845</v>
      </c>
    </row>
    <row r="1767" spans="1:1">
      <c r="A1767" s="27" t="s">
        <v>43</v>
      </c>
    </row>
    <row r="1768" spans="1:1">
      <c r="A1768" s="27">
        <v>507</v>
      </c>
    </row>
    <row r="1769" spans="1:1">
      <c r="A1769" s="27">
        <v>214</v>
      </c>
    </row>
    <row r="1770" spans="1:1">
      <c r="A1770" s="27">
        <v>214</v>
      </c>
    </row>
    <row r="1771" spans="1:1">
      <c r="A1771" s="27">
        <v>428</v>
      </c>
    </row>
    <row r="1772" spans="1:1">
      <c r="A1772" s="27">
        <v>75</v>
      </c>
    </row>
    <row r="1773" spans="1:1">
      <c r="A1773" s="27">
        <v>145</v>
      </c>
    </row>
    <row r="1774" spans="1:1">
      <c r="A1774" s="27">
        <v>0.84</v>
      </c>
    </row>
    <row r="1775" spans="1:1">
      <c r="A1775" s="27">
        <v>56</v>
      </c>
    </row>
    <row r="1776" spans="1:1">
      <c r="A1776" s="27">
        <v>117</v>
      </c>
    </row>
    <row r="1777" spans="1:1">
      <c r="A1777" s="27">
        <v>0</v>
      </c>
    </row>
    <row r="1778" spans="1:1">
      <c r="A1778" s="27">
        <v>0</v>
      </c>
    </row>
    <row r="1779" spans="1:1">
      <c r="A1779" s="27">
        <v>35</v>
      </c>
    </row>
    <row r="1780" spans="1:1">
      <c r="A1780" s="27">
        <v>10</v>
      </c>
    </row>
    <row r="1781" spans="1:1">
      <c r="A1781" s="27">
        <v>1660</v>
      </c>
    </row>
    <row r="1782" spans="1:1">
      <c r="A1782" s="27">
        <v>12.9</v>
      </c>
    </row>
    <row r="1783" spans="1:1">
      <c r="A1783" s="29">
        <v>0.73402777777777783</v>
      </c>
    </row>
    <row r="1784" spans="1:1">
      <c r="A1784" s="27">
        <v>23.9</v>
      </c>
    </row>
    <row r="1785" spans="1:1">
      <c r="A1785" s="28">
        <v>41.9</v>
      </c>
    </row>
    <row r="1786" spans="1:1">
      <c r="A1786" s="25">
        <v>86</v>
      </c>
    </row>
    <row r="1787" spans="1:1" ht="45">
      <c r="A1787" s="26" t="s">
        <v>730</v>
      </c>
    </row>
    <row r="1788" spans="1:1">
      <c r="A1788" s="27" t="s">
        <v>44</v>
      </c>
    </row>
    <row r="1789" spans="1:1">
      <c r="A1789" s="27">
        <v>590</v>
      </c>
    </row>
    <row r="1790" spans="1:1">
      <c r="A1790" s="27">
        <v>180</v>
      </c>
    </row>
    <row r="1791" spans="1:1">
      <c r="A1791" s="27">
        <v>243</v>
      </c>
    </row>
    <row r="1792" spans="1:1">
      <c r="A1792" s="27">
        <v>423</v>
      </c>
    </row>
    <row r="1793" spans="1:1">
      <c r="A1793" s="27">
        <v>34</v>
      </c>
    </row>
    <row r="1794" spans="1:1">
      <c r="A1794" s="27">
        <v>456</v>
      </c>
    </row>
    <row r="1795" spans="1:1">
      <c r="A1795" s="27">
        <v>0.72</v>
      </c>
    </row>
    <row r="1796" spans="1:1">
      <c r="A1796" s="27">
        <v>46</v>
      </c>
    </row>
    <row r="1797" spans="1:1">
      <c r="A1797" s="27">
        <v>107</v>
      </c>
    </row>
    <row r="1798" spans="1:1">
      <c r="A1798" s="27">
        <v>5</v>
      </c>
    </row>
    <row r="1799" spans="1:1">
      <c r="A1799" s="27">
        <v>10</v>
      </c>
    </row>
    <row r="1800" spans="1:1">
      <c r="A1800" s="27">
        <v>28</v>
      </c>
    </row>
    <row r="1801" spans="1:1">
      <c r="A1801" s="27">
        <v>4</v>
      </c>
    </row>
    <row r="1802" spans="1:1">
      <c r="A1802" s="27">
        <v>1605</v>
      </c>
    </row>
    <row r="1803" spans="1:1">
      <c r="A1803" s="27">
        <v>11.2</v>
      </c>
    </row>
    <row r="1804" spans="1:1">
      <c r="A1804" s="29">
        <v>0.8027777777777777</v>
      </c>
    </row>
    <row r="1805" spans="1:1">
      <c r="A1805" s="27">
        <v>23.6</v>
      </c>
    </row>
    <row r="1806" spans="1:1">
      <c r="A1806" s="28">
        <v>50.2</v>
      </c>
    </row>
    <row r="1807" spans="1:1">
      <c r="A1807" s="25">
        <v>87</v>
      </c>
    </row>
    <row r="1808" spans="1:1" ht="30">
      <c r="A1808" s="26" t="s">
        <v>472</v>
      </c>
    </row>
    <row r="1809" spans="1:1">
      <c r="A1809" s="27" t="s">
        <v>653</v>
      </c>
    </row>
    <row r="1810" spans="1:1">
      <c r="A1810" s="27">
        <v>317</v>
      </c>
    </row>
    <row r="1811" spans="1:1">
      <c r="A1811" s="27">
        <v>147</v>
      </c>
    </row>
    <row r="1812" spans="1:1">
      <c r="A1812" s="27">
        <v>276</v>
      </c>
    </row>
    <row r="1813" spans="1:1">
      <c r="A1813" s="27">
        <v>423</v>
      </c>
    </row>
    <row r="1814" spans="1:1">
      <c r="A1814" s="27">
        <v>52</v>
      </c>
    </row>
    <row r="1815" spans="1:1">
      <c r="A1815" s="27">
        <v>106</v>
      </c>
    </row>
    <row r="1816" spans="1:1">
      <c r="A1816" s="27">
        <v>1.33</v>
      </c>
    </row>
    <row r="1817" spans="1:1">
      <c r="A1817" s="27">
        <v>28</v>
      </c>
    </row>
    <row r="1818" spans="1:1">
      <c r="A1818" s="27">
        <v>116</v>
      </c>
    </row>
    <row r="1819" spans="1:1">
      <c r="A1819" s="27">
        <v>3</v>
      </c>
    </row>
    <row r="1820" spans="1:1">
      <c r="A1820" s="27">
        <v>8</v>
      </c>
    </row>
    <row r="1821" spans="1:1">
      <c r="A1821" s="27">
        <v>29</v>
      </c>
    </row>
    <row r="1822" spans="1:1">
      <c r="A1822" s="27">
        <v>7</v>
      </c>
    </row>
    <row r="1823" spans="1:1">
      <c r="A1823" s="27">
        <v>970</v>
      </c>
    </row>
    <row r="1824" spans="1:1">
      <c r="A1824" s="27">
        <v>15.2</v>
      </c>
    </row>
    <row r="1825" spans="1:1">
      <c r="A1825" s="29">
        <v>0.89374999999999993</v>
      </c>
    </row>
    <row r="1826" spans="1:1">
      <c r="A1826" s="27">
        <v>24</v>
      </c>
    </row>
    <row r="1827" spans="1:1">
      <c r="A1827" s="28">
        <v>43.7</v>
      </c>
    </row>
    <row r="1828" spans="1:1">
      <c r="A1828" s="25">
        <v>88</v>
      </c>
    </row>
    <row r="1829" spans="1:1" ht="45">
      <c r="A1829" s="26" t="s">
        <v>347</v>
      </c>
    </row>
    <row r="1830" spans="1:1">
      <c r="A1830" s="27" t="s">
        <v>653</v>
      </c>
    </row>
    <row r="1831" spans="1:1">
      <c r="A1831" s="27">
        <v>619</v>
      </c>
    </row>
    <row r="1832" spans="1:1">
      <c r="A1832" s="27">
        <v>134</v>
      </c>
    </row>
    <row r="1833" spans="1:1">
      <c r="A1833" s="27">
        <v>289</v>
      </c>
    </row>
    <row r="1834" spans="1:1">
      <c r="A1834" s="27">
        <v>423</v>
      </c>
    </row>
    <row r="1835" spans="1:1">
      <c r="A1835" s="27">
        <v>10</v>
      </c>
    </row>
    <row r="1836" spans="1:1">
      <c r="A1836" s="27">
        <v>391</v>
      </c>
    </row>
    <row r="1837" spans="1:1">
      <c r="A1837" s="27">
        <v>0.68</v>
      </c>
    </row>
    <row r="1838" spans="1:1">
      <c r="A1838" s="27">
        <v>27</v>
      </c>
    </row>
    <row r="1839" spans="1:1">
      <c r="A1839" s="27">
        <v>134</v>
      </c>
    </row>
    <row r="1840" spans="1:1">
      <c r="A1840" s="27">
        <v>4</v>
      </c>
    </row>
    <row r="1841" spans="1:1">
      <c r="A1841" s="27">
        <v>7</v>
      </c>
    </row>
    <row r="1842" spans="1:1">
      <c r="A1842" s="27">
        <v>24</v>
      </c>
    </row>
    <row r="1843" spans="1:1">
      <c r="A1843" s="27">
        <v>3</v>
      </c>
    </row>
    <row r="1844" spans="1:1">
      <c r="A1844" s="27">
        <v>1267</v>
      </c>
    </row>
    <row r="1845" spans="1:1">
      <c r="A1845" s="27">
        <v>10.6</v>
      </c>
    </row>
    <row r="1846" spans="1:1">
      <c r="A1846" s="29">
        <v>0.74097222222222225</v>
      </c>
    </row>
    <row r="1847" spans="1:1">
      <c r="A1847" s="27">
        <v>22.9</v>
      </c>
    </row>
    <row r="1848" spans="1:1">
      <c r="A1848" s="28">
        <v>53.1</v>
      </c>
    </row>
    <row r="1849" spans="1:1">
      <c r="A1849" s="25">
        <v>89</v>
      </c>
    </row>
    <row r="1850" spans="1:1" ht="45">
      <c r="A1850" s="26" t="s">
        <v>315</v>
      </c>
    </row>
    <row r="1851" spans="1:1">
      <c r="A1851" s="27" t="s">
        <v>42</v>
      </c>
    </row>
    <row r="1852" spans="1:1">
      <c r="A1852" s="27">
        <v>718</v>
      </c>
    </row>
    <row r="1853" spans="1:1">
      <c r="A1853" s="27">
        <v>99</v>
      </c>
    </row>
    <row r="1854" spans="1:1">
      <c r="A1854" s="27">
        <v>319</v>
      </c>
    </row>
    <row r="1855" spans="1:1">
      <c r="A1855" s="27">
        <v>418</v>
      </c>
    </row>
    <row r="1856" spans="1:1">
      <c r="A1856" s="27">
        <v>68</v>
      </c>
    </row>
    <row r="1857" spans="1:1">
      <c r="A1857" s="27">
        <v>227</v>
      </c>
    </row>
    <row r="1858" spans="1:1">
      <c r="A1858" s="27">
        <v>0.57999999999999996</v>
      </c>
    </row>
    <row r="1859" spans="1:1">
      <c r="A1859" s="27">
        <v>31</v>
      </c>
    </row>
    <row r="1860" spans="1:1">
      <c r="A1860" s="27">
        <v>139</v>
      </c>
    </row>
    <row r="1861" spans="1:1">
      <c r="A1861" s="27">
        <v>0</v>
      </c>
    </row>
    <row r="1862" spans="1:1">
      <c r="A1862" s="27">
        <v>8</v>
      </c>
    </row>
    <row r="1863" spans="1:1">
      <c r="A1863" s="27">
        <v>24</v>
      </c>
    </row>
    <row r="1864" spans="1:1">
      <c r="A1864" s="27">
        <v>3</v>
      </c>
    </row>
    <row r="1865" spans="1:1">
      <c r="A1865" s="27">
        <v>1663</v>
      </c>
    </row>
    <row r="1866" spans="1:1">
      <c r="A1866" s="27">
        <v>5.9</v>
      </c>
    </row>
    <row r="1867" spans="1:1">
      <c r="A1867" s="30">
        <v>1.0270833333333333</v>
      </c>
    </row>
    <row r="1868" spans="1:1">
      <c r="A1868" s="27">
        <v>30.3</v>
      </c>
    </row>
    <row r="1869" spans="1:1">
      <c r="A1869" s="28">
        <v>0</v>
      </c>
    </row>
    <row r="1870" spans="1:1">
      <c r="A1870" s="25">
        <v>90</v>
      </c>
    </row>
    <row r="1871" spans="1:1" ht="30">
      <c r="A1871" s="26" t="s">
        <v>691</v>
      </c>
    </row>
    <row r="1872" spans="1:1">
      <c r="A1872" s="27" t="s">
        <v>653</v>
      </c>
    </row>
    <row r="1873" spans="1:1">
      <c r="A1873" s="27">
        <v>696</v>
      </c>
    </row>
    <row r="1874" spans="1:1">
      <c r="A1874" s="27">
        <v>152</v>
      </c>
    </row>
    <row r="1875" spans="1:1">
      <c r="A1875" s="27">
        <v>262</v>
      </c>
    </row>
    <row r="1876" spans="1:1">
      <c r="A1876" s="27">
        <v>414</v>
      </c>
    </row>
    <row r="1877" spans="1:1">
      <c r="A1877" s="27">
        <v>-81</v>
      </c>
    </row>
    <row r="1878" spans="1:1">
      <c r="A1878" s="27">
        <v>208</v>
      </c>
    </row>
    <row r="1879" spans="1:1">
      <c r="A1879" s="27">
        <v>0.59</v>
      </c>
    </row>
    <row r="1880" spans="1:1">
      <c r="A1880" s="27">
        <v>48</v>
      </c>
    </row>
    <row r="1881" spans="1:1">
      <c r="A1881" s="27">
        <v>112</v>
      </c>
    </row>
    <row r="1882" spans="1:1">
      <c r="A1882" s="27">
        <v>6</v>
      </c>
    </row>
    <row r="1883" spans="1:1">
      <c r="A1883" s="27">
        <v>7</v>
      </c>
    </row>
    <row r="1884" spans="1:1">
      <c r="A1884" s="27">
        <v>20</v>
      </c>
    </row>
    <row r="1885" spans="1:1">
      <c r="A1885" s="27">
        <v>1</v>
      </c>
    </row>
    <row r="1886" spans="1:1">
      <c r="A1886" s="27">
        <v>1165</v>
      </c>
    </row>
    <row r="1887" spans="1:1">
      <c r="A1887" s="27">
        <v>13</v>
      </c>
    </row>
    <row r="1888" spans="1:1">
      <c r="A1888" s="29">
        <v>0.75277777777777777</v>
      </c>
    </row>
    <row r="1889" spans="1:1">
      <c r="A1889" s="27">
        <v>23.5</v>
      </c>
    </row>
    <row r="1890" spans="1:1">
      <c r="A1890" s="28">
        <v>53.6</v>
      </c>
    </row>
    <row r="1891" spans="1:1">
      <c r="A1891" s="25">
        <v>91</v>
      </c>
    </row>
    <row r="1892" spans="1:1" ht="30">
      <c r="A1892" s="26" t="s">
        <v>294</v>
      </c>
    </row>
    <row r="1893" spans="1:1">
      <c r="A1893" s="27" t="s">
        <v>42</v>
      </c>
    </row>
    <row r="1894" spans="1:1">
      <c r="A1894" s="27">
        <v>672</v>
      </c>
    </row>
    <row r="1895" spans="1:1">
      <c r="A1895" s="27">
        <v>100</v>
      </c>
    </row>
    <row r="1896" spans="1:1">
      <c r="A1896" s="27">
        <v>313</v>
      </c>
    </row>
    <row r="1897" spans="1:1">
      <c r="A1897" s="27">
        <v>413</v>
      </c>
    </row>
    <row r="1898" spans="1:1">
      <c r="A1898" s="27">
        <v>38</v>
      </c>
    </row>
    <row r="1899" spans="1:1">
      <c r="A1899" s="27">
        <v>746</v>
      </c>
    </row>
    <row r="1900" spans="1:1">
      <c r="A1900" s="27">
        <v>0.61</v>
      </c>
    </row>
    <row r="1901" spans="1:1">
      <c r="A1901" s="27">
        <v>45</v>
      </c>
    </row>
    <row r="1902" spans="1:1">
      <c r="A1902" s="27">
        <v>178</v>
      </c>
    </row>
    <row r="1903" spans="1:1">
      <c r="A1903" s="27">
        <v>1</v>
      </c>
    </row>
    <row r="1904" spans="1:1">
      <c r="A1904" s="27">
        <v>4</v>
      </c>
    </row>
    <row r="1905" spans="1:1">
      <c r="A1905" s="27">
        <v>15</v>
      </c>
    </row>
    <row r="1906" spans="1:1">
      <c r="A1906" s="27">
        <v>4</v>
      </c>
    </row>
    <row r="1907" spans="1:1">
      <c r="A1907" s="27">
        <v>1661</v>
      </c>
    </row>
    <row r="1908" spans="1:1">
      <c r="A1908" s="27">
        <v>6</v>
      </c>
    </row>
    <row r="1909" spans="1:1">
      <c r="A1909" s="30">
        <v>1.0104166666666667</v>
      </c>
    </row>
    <row r="1910" spans="1:1">
      <c r="A1910" s="27">
        <v>28.2</v>
      </c>
    </row>
    <row r="1911" spans="1:1">
      <c r="A1911" s="28">
        <v>33.299999999999997</v>
      </c>
    </row>
    <row r="1912" spans="1:1">
      <c r="A1912" s="25">
        <v>92</v>
      </c>
    </row>
    <row r="1913" spans="1:1" ht="45">
      <c r="A1913" s="26" t="s">
        <v>903</v>
      </c>
    </row>
    <row r="1914" spans="1:1">
      <c r="A1914" s="27" t="s">
        <v>44</v>
      </c>
    </row>
    <row r="1915" spans="1:1">
      <c r="A1915" s="27">
        <v>423</v>
      </c>
    </row>
    <row r="1916" spans="1:1">
      <c r="A1916" s="27">
        <v>138</v>
      </c>
    </row>
    <row r="1917" spans="1:1">
      <c r="A1917" s="27">
        <v>270</v>
      </c>
    </row>
    <row r="1918" spans="1:1">
      <c r="A1918" s="27">
        <v>408</v>
      </c>
    </row>
    <row r="1919" spans="1:1">
      <c r="A1919" s="27">
        <v>18</v>
      </c>
    </row>
    <row r="1920" spans="1:1">
      <c r="A1920" s="27">
        <v>96</v>
      </c>
    </row>
    <row r="1921" spans="1:1">
      <c r="A1921" s="27">
        <v>0.96</v>
      </c>
    </row>
    <row r="1922" spans="1:1">
      <c r="A1922" s="27">
        <v>29</v>
      </c>
    </row>
    <row r="1923" spans="1:1">
      <c r="A1923" s="27">
        <v>117</v>
      </c>
    </row>
    <row r="1924" spans="1:1">
      <c r="A1924" s="27">
        <v>0</v>
      </c>
    </row>
    <row r="1925" spans="1:1">
      <c r="A1925" s="27">
        <v>0</v>
      </c>
    </row>
    <row r="1926" spans="1:1">
      <c r="A1926" s="27">
        <v>25</v>
      </c>
    </row>
    <row r="1927" spans="1:1">
      <c r="A1927" s="27">
        <v>7</v>
      </c>
    </row>
    <row r="1928" spans="1:1">
      <c r="A1928" s="27">
        <v>1118</v>
      </c>
    </row>
    <row r="1929" spans="1:1">
      <c r="A1929" s="27">
        <v>12.3</v>
      </c>
    </row>
    <row r="1930" spans="1:1">
      <c r="A1930" s="29">
        <v>0.79861111111111116</v>
      </c>
    </row>
    <row r="1931" spans="1:1">
      <c r="A1931" s="27">
        <v>23.4</v>
      </c>
    </row>
    <row r="1932" spans="1:1">
      <c r="A1932" s="28">
        <v>33.299999999999997</v>
      </c>
    </row>
    <row r="1933" spans="1:1">
      <c r="A1933" s="25">
        <v>93</v>
      </c>
    </row>
    <row r="1934" spans="1:1" ht="30">
      <c r="A1934" s="26" t="s">
        <v>815</v>
      </c>
    </row>
    <row r="1935" spans="1:1">
      <c r="A1935" s="27" t="s">
        <v>43</v>
      </c>
    </row>
    <row r="1936" spans="1:1">
      <c r="A1936" s="27">
        <v>572</v>
      </c>
    </row>
    <row r="1937" spans="1:1">
      <c r="A1937" s="27">
        <v>189</v>
      </c>
    </row>
    <row r="1938" spans="1:1">
      <c r="A1938" s="27">
        <v>210</v>
      </c>
    </row>
    <row r="1939" spans="1:1">
      <c r="A1939" s="27">
        <v>399</v>
      </c>
    </row>
    <row r="1940" spans="1:1">
      <c r="A1940" s="27">
        <v>59</v>
      </c>
    </row>
    <row r="1941" spans="1:1">
      <c r="A1941" s="27">
        <v>510</v>
      </c>
    </row>
    <row r="1942" spans="1:1">
      <c r="A1942" s="27">
        <v>0.7</v>
      </c>
    </row>
    <row r="1943" spans="1:1">
      <c r="A1943" s="27">
        <v>45</v>
      </c>
    </row>
    <row r="1944" spans="1:1">
      <c r="A1944" s="27">
        <v>87</v>
      </c>
    </row>
    <row r="1945" spans="1:1">
      <c r="A1945" s="27">
        <v>4</v>
      </c>
    </row>
    <row r="1946" spans="1:1">
      <c r="A1946" s="27">
        <v>4</v>
      </c>
    </row>
    <row r="1947" spans="1:1">
      <c r="A1947" s="27">
        <v>24</v>
      </c>
    </row>
    <row r="1948" spans="1:1">
      <c r="A1948" s="27">
        <v>3</v>
      </c>
    </row>
    <row r="1949" spans="1:1">
      <c r="A1949" s="27">
        <v>1321</v>
      </c>
    </row>
    <row r="1950" spans="1:1">
      <c r="A1950" s="27">
        <v>14.3</v>
      </c>
    </row>
    <row r="1951" spans="1:1">
      <c r="A1951" s="29">
        <v>0.73472222222222217</v>
      </c>
    </row>
    <row r="1952" spans="1:1">
      <c r="A1952" s="27">
        <v>22.6</v>
      </c>
    </row>
    <row r="1953" spans="1:1">
      <c r="A1953" s="28">
        <v>44.7</v>
      </c>
    </row>
    <row r="1954" spans="1:1">
      <c r="A1954" s="25">
        <v>94</v>
      </c>
    </row>
    <row r="1955" spans="1:1" ht="45">
      <c r="A1955" s="26" t="s">
        <v>474</v>
      </c>
    </row>
    <row r="1956" spans="1:1">
      <c r="A1956" s="27" t="s">
        <v>653</v>
      </c>
    </row>
    <row r="1957" spans="1:1">
      <c r="A1957" s="27">
        <v>564</v>
      </c>
    </row>
    <row r="1958" spans="1:1">
      <c r="A1958" s="27">
        <v>152</v>
      </c>
    </row>
    <row r="1959" spans="1:1">
      <c r="A1959" s="27">
        <v>246</v>
      </c>
    </row>
    <row r="1960" spans="1:1">
      <c r="A1960" s="27">
        <v>398</v>
      </c>
    </row>
    <row r="1961" spans="1:1">
      <c r="A1961" s="27">
        <v>-49</v>
      </c>
    </row>
    <row r="1962" spans="1:1">
      <c r="A1962" s="27">
        <v>180</v>
      </c>
    </row>
    <row r="1963" spans="1:1">
      <c r="A1963" s="27">
        <v>0.71</v>
      </c>
    </row>
    <row r="1964" spans="1:1">
      <c r="A1964" s="27">
        <v>37</v>
      </c>
    </row>
    <row r="1965" spans="1:1">
      <c r="A1965" s="27">
        <v>134</v>
      </c>
    </row>
    <row r="1966" spans="1:1">
      <c r="A1966" s="27">
        <v>3</v>
      </c>
    </row>
    <row r="1967" spans="1:1">
      <c r="A1967" s="27">
        <v>7</v>
      </c>
    </row>
    <row r="1968" spans="1:1">
      <c r="A1968" s="27">
        <v>20</v>
      </c>
    </row>
    <row r="1969" spans="1:1">
      <c r="A1969" s="27">
        <v>4</v>
      </c>
    </row>
    <row r="1970" spans="1:1">
      <c r="A1970" s="27">
        <v>1306</v>
      </c>
    </row>
    <row r="1971" spans="1:1">
      <c r="A1971" s="27">
        <v>11.6</v>
      </c>
    </row>
    <row r="1972" spans="1:1">
      <c r="A1972" s="29">
        <v>0.79791666666666661</v>
      </c>
    </row>
    <row r="1973" spans="1:1">
      <c r="A1973" s="27">
        <v>24</v>
      </c>
    </row>
    <row r="1974" spans="1:1">
      <c r="A1974" s="28">
        <v>44.2</v>
      </c>
    </row>
    <row r="1975" spans="1:1">
      <c r="A1975" s="25">
        <v>95</v>
      </c>
    </row>
    <row r="1976" spans="1:1" ht="30">
      <c r="A1976" s="26" t="s">
        <v>317</v>
      </c>
    </row>
    <row r="1977" spans="1:1">
      <c r="A1977" s="27" t="s">
        <v>653</v>
      </c>
    </row>
    <row r="1978" spans="1:1">
      <c r="A1978" s="27">
        <v>617</v>
      </c>
    </row>
    <row r="1979" spans="1:1">
      <c r="A1979" s="27">
        <v>168</v>
      </c>
    </row>
    <row r="1980" spans="1:1">
      <c r="A1980" s="27">
        <v>229</v>
      </c>
    </row>
    <row r="1981" spans="1:1">
      <c r="A1981" s="27">
        <v>397</v>
      </c>
    </row>
    <row r="1982" spans="1:1">
      <c r="A1982" s="27">
        <v>-18</v>
      </c>
    </row>
    <row r="1983" spans="1:1">
      <c r="A1983" s="27">
        <v>336</v>
      </c>
    </row>
    <row r="1984" spans="1:1">
      <c r="A1984" s="27">
        <v>0.64</v>
      </c>
    </row>
    <row r="1985" spans="1:1">
      <c r="A1985" s="27">
        <v>63</v>
      </c>
    </row>
    <row r="1986" spans="1:1">
      <c r="A1986" s="27">
        <v>134</v>
      </c>
    </row>
    <row r="1987" spans="1:1">
      <c r="A1987" s="27">
        <v>0</v>
      </c>
    </row>
    <row r="1988" spans="1:1">
      <c r="A1988" s="27">
        <v>0</v>
      </c>
    </row>
    <row r="1989" spans="1:1">
      <c r="A1989" s="27">
        <v>41</v>
      </c>
    </row>
    <row r="1990" spans="1:1">
      <c r="A1990" s="27">
        <v>7</v>
      </c>
    </row>
    <row r="1991" spans="1:1">
      <c r="A1991" s="27">
        <v>1311</v>
      </c>
    </row>
    <row r="1992" spans="1:1">
      <c r="A1992" s="27">
        <v>12.8</v>
      </c>
    </row>
    <row r="1993" spans="1:1">
      <c r="A1993" s="29">
        <v>0.71319444444444446</v>
      </c>
    </row>
    <row r="1994" spans="1:1">
      <c r="A1994" s="27">
        <v>21.4</v>
      </c>
    </row>
    <row r="1995" spans="1:1">
      <c r="A1995" s="28">
        <v>46.5</v>
      </c>
    </row>
    <row r="1996" spans="1:1">
      <c r="A1996" s="25">
        <v>96</v>
      </c>
    </row>
    <row r="1997" spans="1:1" ht="45">
      <c r="A1997" s="26" t="s">
        <v>425</v>
      </c>
    </row>
    <row r="1998" spans="1:1">
      <c r="A1998" s="27" t="s">
        <v>653</v>
      </c>
    </row>
    <row r="1999" spans="1:1">
      <c r="A1999" s="27">
        <v>476</v>
      </c>
    </row>
    <row r="2000" spans="1:1">
      <c r="A2000" s="27">
        <v>161</v>
      </c>
    </row>
    <row r="2001" spans="1:1">
      <c r="A2001" s="27">
        <v>236</v>
      </c>
    </row>
    <row r="2002" spans="1:1">
      <c r="A2002" s="27">
        <v>397</v>
      </c>
    </row>
    <row r="2003" spans="1:1">
      <c r="A2003" s="27">
        <v>82</v>
      </c>
    </row>
    <row r="2004" spans="1:1">
      <c r="A2004" s="27">
        <v>198</v>
      </c>
    </row>
    <row r="2005" spans="1:1">
      <c r="A2005" s="27">
        <v>0.83</v>
      </c>
    </row>
    <row r="2006" spans="1:1">
      <c r="A2006" s="27">
        <v>41</v>
      </c>
    </row>
    <row r="2007" spans="1:1">
      <c r="A2007" s="27">
        <v>87</v>
      </c>
    </row>
    <row r="2008" spans="1:1">
      <c r="A2008" s="27">
        <v>2</v>
      </c>
    </row>
    <row r="2009" spans="1:1">
      <c r="A2009" s="27">
        <v>8</v>
      </c>
    </row>
    <row r="2010" spans="1:1">
      <c r="A2010" s="27">
        <v>24</v>
      </c>
    </row>
    <row r="2011" spans="1:1">
      <c r="A2011" s="27">
        <v>9</v>
      </c>
    </row>
    <row r="2012" spans="1:1">
      <c r="A2012" s="27">
        <v>1021</v>
      </c>
    </row>
    <row r="2013" spans="1:1">
      <c r="A2013" s="27">
        <v>15.8</v>
      </c>
    </row>
    <row r="2014" spans="1:1">
      <c r="A2014" s="29">
        <v>0.81041666666666667</v>
      </c>
    </row>
    <row r="2015" spans="1:1">
      <c r="A2015" s="27">
        <v>23.3</v>
      </c>
    </row>
    <row r="2016" spans="1:1">
      <c r="A2016" s="28">
        <v>45.4</v>
      </c>
    </row>
    <row r="2017" spans="1:1">
      <c r="A2017" s="25">
        <v>97</v>
      </c>
    </row>
    <row r="2018" spans="1:1" ht="30">
      <c r="A2018" s="26" t="s">
        <v>351</v>
      </c>
    </row>
    <row r="2019" spans="1:1">
      <c r="A2019" s="27" t="s">
        <v>653</v>
      </c>
    </row>
    <row r="2020" spans="1:1">
      <c r="A2020" s="27">
        <v>684</v>
      </c>
    </row>
    <row r="2021" spans="1:1">
      <c r="A2021" s="27">
        <v>161</v>
      </c>
    </row>
    <row r="2022" spans="1:1">
      <c r="A2022" s="27">
        <v>235</v>
      </c>
    </row>
    <row r="2023" spans="1:1">
      <c r="A2023" s="27">
        <v>396</v>
      </c>
    </row>
    <row r="2024" spans="1:1">
      <c r="A2024" s="27">
        <v>16</v>
      </c>
    </row>
    <row r="2025" spans="1:1">
      <c r="A2025" s="27">
        <v>313</v>
      </c>
    </row>
    <row r="2026" spans="1:1">
      <c r="A2026" s="27">
        <v>0.57999999999999996</v>
      </c>
    </row>
    <row r="2027" spans="1:1">
      <c r="A2027" s="27">
        <v>39</v>
      </c>
    </row>
    <row r="2028" spans="1:1">
      <c r="A2028" s="27">
        <v>112</v>
      </c>
    </row>
    <row r="2029" spans="1:1">
      <c r="A2029" s="27">
        <v>3</v>
      </c>
    </row>
    <row r="2030" spans="1:1">
      <c r="A2030" s="27">
        <v>5</v>
      </c>
    </row>
    <row r="2031" spans="1:1">
      <c r="A2031" s="27">
        <v>30</v>
      </c>
    </row>
    <row r="2032" spans="1:1">
      <c r="A2032" s="27">
        <v>6</v>
      </c>
    </row>
    <row r="2033" spans="1:1">
      <c r="A2033" s="27">
        <v>1472</v>
      </c>
    </row>
    <row r="2034" spans="1:1">
      <c r="A2034" s="27">
        <v>10.9</v>
      </c>
    </row>
    <row r="2035" spans="1:1">
      <c r="A2035" s="29">
        <v>0.70833333333333337</v>
      </c>
    </row>
    <row r="2036" spans="1:1">
      <c r="A2036" s="27">
        <v>21.5</v>
      </c>
    </row>
    <row r="2037" spans="1:1">
      <c r="A2037" s="28">
        <v>50</v>
      </c>
    </row>
    <row r="2038" spans="1:1">
      <c r="A2038" s="25">
        <v>98</v>
      </c>
    </row>
    <row r="2039" spans="1:1" ht="45">
      <c r="A2039" s="26" t="s">
        <v>109</v>
      </c>
    </row>
    <row r="2040" spans="1:1">
      <c r="A2040" s="27" t="s">
        <v>44</v>
      </c>
    </row>
    <row r="2041" spans="1:1">
      <c r="A2041" s="27">
        <v>494</v>
      </c>
    </row>
    <row r="2042" spans="1:1">
      <c r="A2042" s="27">
        <v>136</v>
      </c>
    </row>
    <row r="2043" spans="1:1">
      <c r="A2043" s="27">
        <v>256</v>
      </c>
    </row>
    <row r="2044" spans="1:1">
      <c r="A2044" s="27">
        <v>392</v>
      </c>
    </row>
    <row r="2045" spans="1:1">
      <c r="A2045" s="27">
        <v>-8</v>
      </c>
    </row>
    <row r="2046" spans="1:1">
      <c r="A2046" s="27">
        <v>235</v>
      </c>
    </row>
    <row r="2047" spans="1:1">
      <c r="A2047" s="27">
        <v>0.79</v>
      </c>
    </row>
    <row r="2048" spans="1:1">
      <c r="A2048" s="27">
        <v>29</v>
      </c>
    </row>
    <row r="2049" spans="1:1">
      <c r="A2049" s="27">
        <v>111</v>
      </c>
    </row>
    <row r="2050" spans="1:1">
      <c r="A2050" s="27">
        <v>1</v>
      </c>
    </row>
    <row r="2051" spans="1:1">
      <c r="A2051" s="27">
        <v>1</v>
      </c>
    </row>
    <row r="2052" spans="1:1">
      <c r="A2052" s="27">
        <v>17</v>
      </c>
    </row>
    <row r="2053" spans="1:1">
      <c r="A2053" s="27">
        <v>2</v>
      </c>
    </row>
    <row r="2054" spans="1:1">
      <c r="A2054" s="27">
        <v>1143</v>
      </c>
    </row>
    <row r="2055" spans="1:1">
      <c r="A2055" s="27">
        <v>11.9</v>
      </c>
    </row>
    <row r="2056" spans="1:1">
      <c r="A2056" s="29">
        <v>0.74097222222222225</v>
      </c>
    </row>
    <row r="2057" spans="1:1">
      <c r="A2057" s="27">
        <v>22</v>
      </c>
    </row>
    <row r="2058" spans="1:1">
      <c r="A2058" s="28">
        <v>42.9</v>
      </c>
    </row>
    <row r="2059" spans="1:1">
      <c r="A2059" s="25">
        <v>99</v>
      </c>
    </row>
    <row r="2060" spans="1:1" ht="30">
      <c r="A2060" s="26" t="s">
        <v>486</v>
      </c>
    </row>
    <row r="2061" spans="1:1">
      <c r="A2061" s="27" t="s">
        <v>42</v>
      </c>
    </row>
    <row r="2062" spans="1:1">
      <c r="A2062" s="27">
        <v>827</v>
      </c>
    </row>
    <row r="2063" spans="1:1">
      <c r="A2063" s="27">
        <v>78</v>
      </c>
    </row>
    <row r="2064" spans="1:1">
      <c r="A2064" s="27">
        <v>314</v>
      </c>
    </row>
    <row r="2065" spans="1:1">
      <c r="A2065" s="27">
        <v>392</v>
      </c>
    </row>
    <row r="2066" spans="1:1">
      <c r="A2066" s="27">
        <v>29</v>
      </c>
    </row>
    <row r="2067" spans="1:1">
      <c r="A2067" s="27">
        <v>282</v>
      </c>
    </row>
    <row r="2068" spans="1:1">
      <c r="A2068" s="27">
        <v>0.47</v>
      </c>
    </row>
    <row r="2069" spans="1:1">
      <c r="A2069" s="27">
        <v>25</v>
      </c>
    </row>
    <row r="2070" spans="1:1">
      <c r="A2070" s="27">
        <v>128</v>
      </c>
    </row>
    <row r="2071" spans="1:1">
      <c r="A2071" s="27">
        <v>1</v>
      </c>
    </row>
    <row r="2072" spans="1:1">
      <c r="A2072" s="27">
        <v>9</v>
      </c>
    </row>
    <row r="2073" spans="1:1">
      <c r="A2073" s="27">
        <v>9</v>
      </c>
    </row>
    <row r="2074" spans="1:1">
      <c r="A2074" s="27">
        <v>2</v>
      </c>
    </row>
    <row r="2075" spans="1:1">
      <c r="A2075" s="27">
        <v>1313</v>
      </c>
    </row>
    <row r="2076" spans="1:1">
      <c r="A2076" s="27">
        <v>5.9</v>
      </c>
    </row>
    <row r="2077" spans="1:1">
      <c r="A2077" s="29">
        <v>0.94166666666666676</v>
      </c>
    </row>
    <row r="2078" spans="1:1">
      <c r="A2078" s="27">
        <v>27</v>
      </c>
    </row>
    <row r="2079" spans="1:1">
      <c r="A2079" s="28">
        <v>50</v>
      </c>
    </row>
    <row r="2080" spans="1:1">
      <c r="A2080" s="25">
        <v>100</v>
      </c>
    </row>
    <row r="2081" spans="1:1" ht="30">
      <c r="A2081" s="26" t="s">
        <v>399</v>
      </c>
    </row>
    <row r="2082" spans="1:1">
      <c r="A2082" s="27" t="s">
        <v>653</v>
      </c>
    </row>
    <row r="2083" spans="1:1">
      <c r="A2083" s="27">
        <v>972</v>
      </c>
    </row>
    <row r="2084" spans="1:1">
      <c r="A2084" s="27">
        <v>162</v>
      </c>
    </row>
    <row r="2085" spans="1:1">
      <c r="A2085" s="27">
        <v>227</v>
      </c>
    </row>
    <row r="2086" spans="1:1">
      <c r="A2086" s="27">
        <v>389</v>
      </c>
    </row>
    <row r="2087" spans="1:1">
      <c r="A2087" s="27">
        <v>37</v>
      </c>
    </row>
    <row r="2088" spans="1:1">
      <c r="A2088" s="27">
        <v>327</v>
      </c>
    </row>
    <row r="2089" spans="1:1">
      <c r="A2089" s="27">
        <v>0.4</v>
      </c>
    </row>
    <row r="2090" spans="1:1">
      <c r="A2090" s="27">
        <v>9</v>
      </c>
    </row>
    <row r="2091" spans="1:1">
      <c r="A2091" s="27">
        <v>28</v>
      </c>
    </row>
    <row r="2092" spans="1:1">
      <c r="A2092" s="27">
        <v>19</v>
      </c>
    </row>
    <row r="2093" spans="1:1">
      <c r="A2093" s="27">
        <v>27</v>
      </c>
    </row>
    <row r="2094" spans="1:1">
      <c r="A2094" s="27">
        <v>30</v>
      </c>
    </row>
    <row r="2095" spans="1:1">
      <c r="A2095" s="27">
        <v>3</v>
      </c>
    </row>
    <row r="2096" spans="1:1">
      <c r="A2096" s="27">
        <v>1579</v>
      </c>
    </row>
    <row r="2097" spans="1:1">
      <c r="A2097" s="27">
        <v>10.3</v>
      </c>
    </row>
    <row r="2098" spans="1:1">
      <c r="A2098" s="29">
        <v>0.60972222222222217</v>
      </c>
    </row>
    <row r="2099" spans="1:1">
      <c r="A2099" s="27">
        <v>21</v>
      </c>
    </row>
    <row r="2100" spans="1:1">
      <c r="A2100" s="28">
        <v>40.4</v>
      </c>
    </row>
    <row r="2101" spans="1:1">
      <c r="A2101" s="25">
        <v>101</v>
      </c>
    </row>
    <row r="2102" spans="1:1" ht="30">
      <c r="A2102" s="26" t="s">
        <v>823</v>
      </c>
    </row>
    <row r="2103" spans="1:1">
      <c r="A2103" s="27" t="s">
        <v>43</v>
      </c>
    </row>
    <row r="2104" spans="1:1">
      <c r="A2104" s="27">
        <v>757</v>
      </c>
    </row>
    <row r="2105" spans="1:1">
      <c r="A2105" s="27">
        <v>186</v>
      </c>
    </row>
    <row r="2106" spans="1:1">
      <c r="A2106" s="27">
        <v>200</v>
      </c>
    </row>
    <row r="2107" spans="1:1">
      <c r="A2107" s="27">
        <v>386</v>
      </c>
    </row>
    <row r="2108" spans="1:1">
      <c r="A2108" s="27">
        <v>5</v>
      </c>
    </row>
    <row r="2109" spans="1:1">
      <c r="A2109" s="27">
        <v>428</v>
      </c>
    </row>
    <row r="2110" spans="1:1">
      <c r="A2110" s="27">
        <v>0.51</v>
      </c>
    </row>
    <row r="2111" spans="1:1">
      <c r="A2111" s="27">
        <v>61</v>
      </c>
    </row>
    <row r="2112" spans="1:1">
      <c r="A2112" s="27">
        <v>99</v>
      </c>
    </row>
    <row r="2113" spans="1:1">
      <c r="A2113" s="27">
        <v>7</v>
      </c>
    </row>
    <row r="2114" spans="1:1">
      <c r="A2114" s="27">
        <v>15</v>
      </c>
    </row>
    <row r="2115" spans="1:1">
      <c r="A2115" s="27">
        <v>36</v>
      </c>
    </row>
    <row r="2116" spans="1:1">
      <c r="A2116" s="27">
        <v>4</v>
      </c>
    </row>
    <row r="2117" spans="1:1">
      <c r="A2117" s="27">
        <v>1843</v>
      </c>
    </row>
    <row r="2118" spans="1:1">
      <c r="A2118" s="27">
        <v>10.1</v>
      </c>
    </row>
    <row r="2119" spans="1:1">
      <c r="A2119" s="29">
        <v>0.71527777777777779</v>
      </c>
    </row>
    <row r="2120" spans="1:1">
      <c r="A2120" s="27">
        <v>21.7</v>
      </c>
    </row>
    <row r="2121" spans="1:1">
      <c r="A2121" s="28">
        <v>44.4</v>
      </c>
    </row>
    <row r="2122" spans="1:1">
      <c r="A2122" s="25">
        <v>102</v>
      </c>
    </row>
    <row r="2123" spans="1:1" ht="45">
      <c r="A2123" s="26" t="s">
        <v>309</v>
      </c>
    </row>
    <row r="2124" spans="1:1">
      <c r="A2124" s="27" t="s">
        <v>42</v>
      </c>
    </row>
    <row r="2125" spans="1:1">
      <c r="A2125" s="27">
        <v>1071</v>
      </c>
    </row>
    <row r="2126" spans="1:1">
      <c r="A2126" s="27">
        <v>82</v>
      </c>
    </row>
    <row r="2127" spans="1:1">
      <c r="A2127" s="27">
        <v>303</v>
      </c>
    </row>
    <row r="2128" spans="1:1">
      <c r="A2128" s="27">
        <v>385</v>
      </c>
    </row>
    <row r="2129" spans="1:1">
      <c r="A2129" s="27">
        <v>27</v>
      </c>
    </row>
    <row r="2130" spans="1:1">
      <c r="A2130" s="27">
        <v>581</v>
      </c>
    </row>
    <row r="2131" spans="1:1">
      <c r="A2131" s="27">
        <v>0.36</v>
      </c>
    </row>
    <row r="2132" spans="1:1">
      <c r="A2132" s="27">
        <v>23</v>
      </c>
    </row>
    <row r="2133" spans="1:1">
      <c r="A2133" s="27">
        <v>116</v>
      </c>
    </row>
    <row r="2134" spans="1:1">
      <c r="A2134" s="27">
        <v>0</v>
      </c>
    </row>
    <row r="2135" spans="1:1">
      <c r="A2135" s="27">
        <v>6</v>
      </c>
    </row>
    <row r="2136" spans="1:1">
      <c r="A2136" s="27">
        <v>8</v>
      </c>
    </row>
    <row r="2137" spans="1:1">
      <c r="A2137" s="27">
        <v>0</v>
      </c>
    </row>
    <row r="2138" spans="1:1">
      <c r="A2138" s="27">
        <v>1776</v>
      </c>
    </row>
    <row r="2139" spans="1:1">
      <c r="A2139" s="27">
        <v>4.5999999999999996</v>
      </c>
    </row>
    <row r="2140" spans="1:1">
      <c r="A2140" s="30">
        <v>1.0229166666666667</v>
      </c>
    </row>
    <row r="2141" spans="1:1">
      <c r="A2141" s="27">
        <v>30.1</v>
      </c>
    </row>
    <row r="2142" spans="1:1">
      <c r="A2142" s="28">
        <v>60</v>
      </c>
    </row>
    <row r="2143" spans="1:1">
      <c r="A2143" s="25">
        <v>103</v>
      </c>
    </row>
    <row r="2144" spans="1:1" ht="45">
      <c r="A2144" s="26" t="s">
        <v>731</v>
      </c>
    </row>
    <row r="2145" spans="1:1">
      <c r="A2145" s="27" t="s">
        <v>653</v>
      </c>
    </row>
    <row r="2146" spans="1:1">
      <c r="A2146" s="27">
        <v>500</v>
      </c>
    </row>
    <row r="2147" spans="1:1">
      <c r="A2147" s="27">
        <v>178</v>
      </c>
    </row>
    <row r="2148" spans="1:1">
      <c r="A2148" s="27">
        <v>206</v>
      </c>
    </row>
    <row r="2149" spans="1:1">
      <c r="A2149" s="27">
        <v>384</v>
      </c>
    </row>
    <row r="2150" spans="1:1">
      <c r="A2150" s="27">
        <v>-22</v>
      </c>
    </row>
    <row r="2151" spans="1:1">
      <c r="A2151" s="27">
        <v>100</v>
      </c>
    </row>
    <row r="2152" spans="1:1">
      <c r="A2152" s="27">
        <v>0.77</v>
      </c>
    </row>
    <row r="2153" spans="1:1">
      <c r="A2153" s="27">
        <v>52</v>
      </c>
    </row>
    <row r="2154" spans="1:1">
      <c r="A2154" s="27">
        <v>113</v>
      </c>
    </row>
    <row r="2155" spans="1:1">
      <c r="A2155" s="27">
        <v>2</v>
      </c>
    </row>
    <row r="2156" spans="1:1">
      <c r="A2156" s="27">
        <v>3</v>
      </c>
    </row>
    <row r="2157" spans="1:1">
      <c r="A2157" s="27">
        <v>36</v>
      </c>
    </row>
    <row r="2158" spans="1:1">
      <c r="A2158" s="27">
        <v>10</v>
      </c>
    </row>
    <row r="2159" spans="1:1">
      <c r="A2159" s="27">
        <v>1208</v>
      </c>
    </row>
    <row r="2160" spans="1:1">
      <c r="A2160" s="27">
        <v>14.7</v>
      </c>
    </row>
    <row r="2161" spans="1:1">
      <c r="A2161" s="29">
        <v>0.76597222222222217</v>
      </c>
    </row>
    <row r="2162" spans="1:1">
      <c r="A2162" s="27">
        <v>23.9</v>
      </c>
    </row>
    <row r="2163" spans="1:1">
      <c r="A2163" s="28">
        <v>50.2</v>
      </c>
    </row>
    <row r="2164" spans="1:1">
      <c r="A2164" s="25">
        <v>104</v>
      </c>
    </row>
    <row r="2165" spans="1:1" ht="30">
      <c r="A2165" s="26" t="s">
        <v>500</v>
      </c>
    </row>
    <row r="2166" spans="1:1">
      <c r="A2166" s="27" t="s">
        <v>42</v>
      </c>
    </row>
    <row r="2167" spans="1:1">
      <c r="A2167" s="27">
        <v>841</v>
      </c>
    </row>
    <row r="2168" spans="1:1">
      <c r="A2168" s="27">
        <v>98</v>
      </c>
    </row>
    <row r="2169" spans="1:1">
      <c r="A2169" s="27">
        <v>285</v>
      </c>
    </row>
    <row r="2170" spans="1:1">
      <c r="A2170" s="27">
        <v>383</v>
      </c>
    </row>
    <row r="2171" spans="1:1">
      <c r="A2171" s="27">
        <v>-46</v>
      </c>
    </row>
    <row r="2172" spans="1:1">
      <c r="A2172" s="27">
        <v>579</v>
      </c>
    </row>
    <row r="2173" spans="1:1">
      <c r="A2173" s="27">
        <v>0.46</v>
      </c>
    </row>
    <row r="2174" spans="1:1">
      <c r="A2174" s="27">
        <v>46</v>
      </c>
    </row>
    <row r="2175" spans="1:1">
      <c r="A2175" s="27">
        <v>176</v>
      </c>
    </row>
    <row r="2176" spans="1:1">
      <c r="A2176" s="27">
        <v>1</v>
      </c>
    </row>
    <row r="2177" spans="1:1">
      <c r="A2177" s="27">
        <v>2</v>
      </c>
    </row>
    <row r="2178" spans="1:1">
      <c r="A2178" s="27">
        <v>9</v>
      </c>
    </row>
    <row r="2179" spans="1:1">
      <c r="A2179" s="27">
        <v>4</v>
      </c>
    </row>
    <row r="2180" spans="1:1">
      <c r="A2180" s="27">
        <v>1865</v>
      </c>
    </row>
    <row r="2181" spans="1:1">
      <c r="A2181" s="27">
        <v>5.3</v>
      </c>
    </row>
    <row r="2182" spans="1:1">
      <c r="A2182" s="29">
        <v>0.96180555555555547</v>
      </c>
    </row>
    <row r="2183" spans="1:1">
      <c r="A2183" s="27">
        <v>28.1</v>
      </c>
    </row>
    <row r="2184" spans="1:1">
      <c r="A2184" s="28">
        <v>42.1</v>
      </c>
    </row>
    <row r="2185" spans="1:1">
      <c r="A2185" s="25">
        <v>105</v>
      </c>
    </row>
    <row r="2186" spans="1:1" ht="30">
      <c r="A2186" s="26" t="s">
        <v>332</v>
      </c>
    </row>
    <row r="2187" spans="1:1">
      <c r="A2187" s="27" t="s">
        <v>653</v>
      </c>
    </row>
    <row r="2188" spans="1:1">
      <c r="A2188" s="27">
        <v>588</v>
      </c>
    </row>
    <row r="2189" spans="1:1">
      <c r="A2189" s="27">
        <v>171</v>
      </c>
    </row>
    <row r="2190" spans="1:1">
      <c r="A2190" s="27">
        <v>206</v>
      </c>
    </row>
    <row r="2191" spans="1:1">
      <c r="A2191" s="27">
        <v>377</v>
      </c>
    </row>
    <row r="2192" spans="1:1">
      <c r="A2192" s="27">
        <v>-24</v>
      </c>
    </row>
    <row r="2193" spans="1:1">
      <c r="A2193" s="27">
        <v>425</v>
      </c>
    </row>
    <row r="2194" spans="1:1">
      <c r="A2194" s="27">
        <v>0.64</v>
      </c>
    </row>
    <row r="2195" spans="1:1">
      <c r="A2195" s="27">
        <v>51</v>
      </c>
    </row>
    <row r="2196" spans="1:1">
      <c r="A2196" s="27">
        <v>106</v>
      </c>
    </row>
    <row r="2197" spans="1:1">
      <c r="A2197" s="27">
        <v>1</v>
      </c>
    </row>
    <row r="2198" spans="1:1">
      <c r="A2198" s="27">
        <v>1</v>
      </c>
    </row>
    <row r="2199" spans="1:1">
      <c r="A2199" s="27">
        <v>22</v>
      </c>
    </row>
    <row r="2200" spans="1:1">
      <c r="A2200" s="27">
        <v>4</v>
      </c>
    </row>
    <row r="2201" spans="1:1">
      <c r="A2201" s="27">
        <v>1472</v>
      </c>
    </row>
    <row r="2202" spans="1:1">
      <c r="A2202" s="27">
        <v>11.6</v>
      </c>
    </row>
    <row r="2203" spans="1:1">
      <c r="A2203" s="29">
        <v>0.70416666666666661</v>
      </c>
    </row>
    <row r="2204" spans="1:1">
      <c r="A2204" s="27">
        <v>22.1</v>
      </c>
    </row>
    <row r="2205" spans="1:1">
      <c r="A2205" s="28">
        <v>48.4</v>
      </c>
    </row>
    <row r="2206" spans="1:1">
      <c r="A2206" s="25">
        <v>106</v>
      </c>
    </row>
    <row r="2207" spans="1:1" ht="45">
      <c r="A2207" s="26" t="s">
        <v>103</v>
      </c>
    </row>
    <row r="2208" spans="1:1">
      <c r="A2208" s="27" t="s">
        <v>653</v>
      </c>
    </row>
    <row r="2209" spans="1:1">
      <c r="A2209" s="27">
        <v>440</v>
      </c>
    </row>
    <row r="2210" spans="1:1">
      <c r="A2210" s="27">
        <v>144</v>
      </c>
    </row>
    <row r="2211" spans="1:1">
      <c r="A2211" s="27">
        <v>233</v>
      </c>
    </row>
    <row r="2212" spans="1:1">
      <c r="A2212" s="27">
        <v>377</v>
      </c>
    </row>
    <row r="2213" spans="1:1">
      <c r="A2213" s="27">
        <v>30</v>
      </c>
    </row>
    <row r="2214" spans="1:1">
      <c r="A2214" s="27">
        <v>80</v>
      </c>
    </row>
    <row r="2215" spans="1:1">
      <c r="A2215" s="27">
        <v>0.86</v>
      </c>
    </row>
    <row r="2216" spans="1:1">
      <c r="A2216" s="27">
        <v>41</v>
      </c>
    </row>
    <row r="2217" spans="1:1">
      <c r="A2217" s="27">
        <v>101</v>
      </c>
    </row>
    <row r="2218" spans="1:1">
      <c r="A2218" s="27">
        <v>6</v>
      </c>
    </row>
    <row r="2219" spans="1:1">
      <c r="A2219" s="27">
        <v>8</v>
      </c>
    </row>
    <row r="2220" spans="1:1">
      <c r="A2220" s="27">
        <v>26</v>
      </c>
    </row>
    <row r="2221" spans="1:1">
      <c r="A2221" s="27">
        <v>4</v>
      </c>
    </row>
    <row r="2222" spans="1:1">
      <c r="A2222" s="27">
        <v>1064</v>
      </c>
    </row>
    <row r="2223" spans="1:1">
      <c r="A2223" s="27">
        <v>13.5</v>
      </c>
    </row>
    <row r="2224" spans="1:1">
      <c r="A2224" s="29">
        <v>0.82916666666666661</v>
      </c>
    </row>
    <row r="2225" spans="1:1">
      <c r="A2225" s="27">
        <v>24.4</v>
      </c>
    </row>
    <row r="2226" spans="1:1">
      <c r="A2226" s="28">
        <v>50.8</v>
      </c>
    </row>
    <row r="2227" spans="1:1">
      <c r="A2227" s="25">
        <v>107</v>
      </c>
    </row>
    <row r="2228" spans="1:1" ht="30">
      <c r="A2228" s="26" t="s">
        <v>529</v>
      </c>
    </row>
    <row r="2229" spans="1:1">
      <c r="A2229" s="27" t="s">
        <v>43</v>
      </c>
    </row>
    <row r="2230" spans="1:1">
      <c r="A2230" s="27">
        <v>820</v>
      </c>
    </row>
    <row r="2231" spans="1:1">
      <c r="A2231" s="27">
        <v>154</v>
      </c>
    </row>
    <row r="2232" spans="1:1">
      <c r="A2232" s="27">
        <v>220</v>
      </c>
    </row>
    <row r="2233" spans="1:1">
      <c r="A2233" s="27">
        <v>374</v>
      </c>
    </row>
    <row r="2234" spans="1:1">
      <c r="A2234" s="27">
        <v>22</v>
      </c>
    </row>
    <row r="2235" spans="1:1">
      <c r="A2235" s="27">
        <v>305</v>
      </c>
    </row>
    <row r="2236" spans="1:1">
      <c r="A2236" s="27">
        <v>0.46</v>
      </c>
    </row>
    <row r="2237" spans="1:1">
      <c r="A2237" s="27">
        <v>14</v>
      </c>
    </row>
    <row r="2238" spans="1:1">
      <c r="A2238" s="27">
        <v>46</v>
      </c>
    </row>
    <row r="2239" spans="1:1">
      <c r="A2239" s="27">
        <v>11</v>
      </c>
    </row>
    <row r="2240" spans="1:1">
      <c r="A2240" s="27">
        <v>16</v>
      </c>
    </row>
    <row r="2241" spans="1:1">
      <c r="A2241" s="27">
        <v>21</v>
      </c>
    </row>
    <row r="2242" spans="1:1">
      <c r="A2242" s="27">
        <v>2</v>
      </c>
    </row>
    <row r="2243" spans="1:1">
      <c r="A2243" s="27">
        <v>1922</v>
      </c>
    </row>
    <row r="2244" spans="1:1">
      <c r="A2244" s="27">
        <v>8</v>
      </c>
    </row>
    <row r="2245" spans="1:1">
      <c r="A2245" s="29">
        <v>0.65069444444444446</v>
      </c>
    </row>
    <row r="2246" spans="1:1">
      <c r="A2246" s="27">
        <v>21</v>
      </c>
    </row>
    <row r="2247" spans="1:1">
      <c r="A2247" s="28">
        <v>41.8</v>
      </c>
    </row>
    <row r="2248" spans="1:1">
      <c r="A2248" s="25">
        <v>108</v>
      </c>
    </row>
    <row r="2249" spans="1:1" ht="30">
      <c r="A2249" s="26" t="s">
        <v>398</v>
      </c>
    </row>
    <row r="2250" spans="1:1">
      <c r="A2250" s="27" t="s">
        <v>42</v>
      </c>
    </row>
    <row r="2251" spans="1:1">
      <c r="A2251" s="27">
        <v>590</v>
      </c>
    </row>
    <row r="2252" spans="1:1">
      <c r="A2252" s="27">
        <v>100</v>
      </c>
    </row>
    <row r="2253" spans="1:1">
      <c r="A2253" s="27">
        <v>272</v>
      </c>
    </row>
    <row r="2254" spans="1:1">
      <c r="A2254" s="27">
        <v>372</v>
      </c>
    </row>
    <row r="2255" spans="1:1">
      <c r="A2255" s="27">
        <v>51</v>
      </c>
    </row>
    <row r="2256" spans="1:1">
      <c r="A2256" s="27">
        <v>212</v>
      </c>
    </row>
    <row r="2257" spans="1:1">
      <c r="A2257" s="27">
        <v>0.63</v>
      </c>
    </row>
    <row r="2258" spans="1:1">
      <c r="A2258" s="27">
        <v>33</v>
      </c>
    </row>
    <row r="2259" spans="1:1">
      <c r="A2259" s="27">
        <v>124</v>
      </c>
    </row>
    <row r="2260" spans="1:1">
      <c r="A2260" s="27">
        <v>1</v>
      </c>
    </row>
    <row r="2261" spans="1:1">
      <c r="A2261" s="27">
        <v>8</v>
      </c>
    </row>
    <row r="2262" spans="1:1">
      <c r="A2262" s="27">
        <v>18</v>
      </c>
    </row>
    <row r="2263" spans="1:1">
      <c r="A2263" s="27">
        <v>4</v>
      </c>
    </row>
    <row r="2264" spans="1:1">
      <c r="A2264" s="27">
        <v>1563</v>
      </c>
    </row>
    <row r="2265" spans="1:1">
      <c r="A2265" s="27">
        <v>6.4</v>
      </c>
    </row>
    <row r="2266" spans="1:1">
      <c r="A2266" s="30">
        <v>1.0298611111111111</v>
      </c>
    </row>
    <row r="2267" spans="1:1">
      <c r="A2267" s="27">
        <v>28.8</v>
      </c>
    </row>
    <row r="2268" spans="1:1">
      <c r="A2268" s="28">
        <v>0</v>
      </c>
    </row>
    <row r="2269" spans="1:1">
      <c r="A2269" s="25">
        <v>109</v>
      </c>
    </row>
    <row r="2270" spans="1:1" ht="30">
      <c r="A2270" s="26" t="s">
        <v>764</v>
      </c>
    </row>
    <row r="2271" spans="1:1">
      <c r="A2271" s="27" t="s">
        <v>43</v>
      </c>
    </row>
    <row r="2272" spans="1:1">
      <c r="A2272" s="27">
        <v>602</v>
      </c>
    </row>
    <row r="2273" spans="1:1">
      <c r="A2273" s="27">
        <v>187</v>
      </c>
    </row>
    <row r="2274" spans="1:1">
      <c r="A2274" s="27">
        <v>183</v>
      </c>
    </row>
    <row r="2275" spans="1:1">
      <c r="A2275" s="27">
        <v>370</v>
      </c>
    </row>
    <row r="2276" spans="1:1">
      <c r="A2276" s="27">
        <v>93</v>
      </c>
    </row>
    <row r="2277" spans="1:1">
      <c r="A2277" s="27">
        <v>401</v>
      </c>
    </row>
    <row r="2278" spans="1:1">
      <c r="A2278" s="27">
        <v>0.61</v>
      </c>
    </row>
    <row r="2279" spans="1:1">
      <c r="A2279" s="27">
        <v>69</v>
      </c>
    </row>
    <row r="2280" spans="1:1">
      <c r="A2280" s="27">
        <v>118</v>
      </c>
    </row>
    <row r="2281" spans="1:1">
      <c r="A2281" s="27">
        <v>4</v>
      </c>
    </row>
    <row r="2282" spans="1:1">
      <c r="A2282" s="27">
        <v>8</v>
      </c>
    </row>
    <row r="2283" spans="1:1">
      <c r="A2283" s="27">
        <v>44</v>
      </c>
    </row>
    <row r="2284" spans="1:1">
      <c r="A2284" s="27">
        <v>4</v>
      </c>
    </row>
    <row r="2285" spans="1:1">
      <c r="A2285" s="27">
        <v>1607</v>
      </c>
    </row>
    <row r="2286" spans="1:1">
      <c r="A2286" s="27">
        <v>11.6</v>
      </c>
    </row>
    <row r="2287" spans="1:1">
      <c r="A2287" s="29">
        <v>0.6972222222222223</v>
      </c>
    </row>
    <row r="2288" spans="1:1">
      <c r="A2288" s="27">
        <v>22.2</v>
      </c>
    </row>
    <row r="2289" spans="1:1">
      <c r="A2289" s="28">
        <v>48.9</v>
      </c>
    </row>
    <row r="2290" spans="1:1">
      <c r="A2290" s="25">
        <v>110</v>
      </c>
    </row>
    <row r="2291" spans="1:1" ht="45">
      <c r="A2291" s="26" t="s">
        <v>132</v>
      </c>
    </row>
    <row r="2292" spans="1:1">
      <c r="A2292" s="27" t="s">
        <v>42</v>
      </c>
    </row>
    <row r="2293" spans="1:1">
      <c r="A2293" s="27">
        <v>634</v>
      </c>
    </row>
    <row r="2294" spans="1:1">
      <c r="A2294" s="27">
        <v>80</v>
      </c>
    </row>
    <row r="2295" spans="1:1">
      <c r="A2295" s="27">
        <v>289</v>
      </c>
    </row>
    <row r="2296" spans="1:1">
      <c r="A2296" s="27">
        <v>369</v>
      </c>
    </row>
    <row r="2297" spans="1:1">
      <c r="A2297" s="27">
        <v>-1</v>
      </c>
    </row>
    <row r="2298" spans="1:1">
      <c r="A2298" s="27">
        <v>380</v>
      </c>
    </row>
    <row r="2299" spans="1:1">
      <c r="A2299" s="27">
        <v>0.57999999999999996</v>
      </c>
    </row>
    <row r="2300" spans="1:1">
      <c r="A2300" s="27">
        <v>39</v>
      </c>
    </row>
    <row r="2301" spans="1:1">
      <c r="A2301" s="27">
        <v>171</v>
      </c>
    </row>
    <row r="2302" spans="1:1">
      <c r="A2302" s="27">
        <v>0</v>
      </c>
    </row>
    <row r="2303" spans="1:1">
      <c r="A2303" s="27">
        <v>3</v>
      </c>
    </row>
    <row r="2304" spans="1:1">
      <c r="A2304" s="27">
        <v>14</v>
      </c>
    </row>
    <row r="2305" spans="1:1">
      <c r="A2305" s="27">
        <v>3</v>
      </c>
    </row>
    <row r="2306" spans="1:1">
      <c r="A2306" s="27">
        <v>1335</v>
      </c>
    </row>
    <row r="2307" spans="1:1">
      <c r="A2307" s="27">
        <v>6</v>
      </c>
    </row>
    <row r="2308" spans="1:1">
      <c r="A2308" s="29">
        <v>0.86319444444444438</v>
      </c>
    </row>
    <row r="2309" spans="1:1">
      <c r="A2309" s="27">
        <v>26.4</v>
      </c>
    </row>
    <row r="2310" spans="1:1">
      <c r="A2310" s="28">
        <v>25</v>
      </c>
    </row>
    <row r="2311" spans="1:1">
      <c r="A2311" s="25">
        <v>111</v>
      </c>
    </row>
    <row r="2312" spans="1:1" ht="45">
      <c r="A2312" s="26" t="s">
        <v>891</v>
      </c>
    </row>
    <row r="2313" spans="1:1">
      <c r="A2313" s="27" t="s">
        <v>43</v>
      </c>
    </row>
    <row r="2314" spans="1:1">
      <c r="A2314" s="27">
        <v>535</v>
      </c>
    </row>
    <row r="2315" spans="1:1">
      <c r="A2315" s="27">
        <v>119</v>
      </c>
    </row>
    <row r="2316" spans="1:1">
      <c r="A2316" s="27">
        <v>249</v>
      </c>
    </row>
    <row r="2317" spans="1:1">
      <c r="A2317" s="27">
        <v>368</v>
      </c>
    </row>
    <row r="2318" spans="1:1">
      <c r="A2318" s="27">
        <v>34</v>
      </c>
    </row>
    <row r="2319" spans="1:1">
      <c r="A2319" s="27">
        <v>225</v>
      </c>
    </row>
    <row r="2320" spans="1:1">
      <c r="A2320" s="27">
        <v>0.69</v>
      </c>
    </row>
    <row r="2321" spans="1:1">
      <c r="A2321" s="27">
        <v>23</v>
      </c>
    </row>
    <row r="2322" spans="1:1">
      <c r="A2322" s="27">
        <v>104</v>
      </c>
    </row>
    <row r="2323" spans="1:1">
      <c r="A2323" s="27">
        <v>1</v>
      </c>
    </row>
    <row r="2324" spans="1:1">
      <c r="A2324" s="27">
        <v>2</v>
      </c>
    </row>
    <row r="2325" spans="1:1">
      <c r="A2325" s="27">
        <v>21</v>
      </c>
    </row>
    <row r="2326" spans="1:1">
      <c r="A2326" s="27">
        <v>4</v>
      </c>
    </row>
    <row r="2327" spans="1:1">
      <c r="A2327" s="27">
        <v>1107</v>
      </c>
    </row>
    <row r="2328" spans="1:1">
      <c r="A2328" s="27">
        <v>10.7</v>
      </c>
    </row>
    <row r="2329" spans="1:1">
      <c r="A2329" s="29">
        <v>0.73611111111111116</v>
      </c>
    </row>
    <row r="2330" spans="1:1">
      <c r="A2330" s="27">
        <v>22.4</v>
      </c>
    </row>
    <row r="2331" spans="1:1">
      <c r="A2331" s="28">
        <v>35.700000000000003</v>
      </c>
    </row>
    <row r="2332" spans="1:1">
      <c r="A2332" s="25">
        <v>112</v>
      </c>
    </row>
    <row r="2333" spans="1:1" ht="45">
      <c r="A2333" s="26" t="s">
        <v>178</v>
      </c>
    </row>
    <row r="2334" spans="1:1">
      <c r="A2334" s="27" t="s">
        <v>653</v>
      </c>
    </row>
    <row r="2335" spans="1:1">
      <c r="A2335" s="27">
        <v>443</v>
      </c>
    </row>
    <row r="2336" spans="1:1">
      <c r="A2336" s="27">
        <v>112</v>
      </c>
    </row>
    <row r="2337" spans="1:1">
      <c r="A2337" s="27">
        <v>253</v>
      </c>
    </row>
    <row r="2338" spans="1:1">
      <c r="A2338" s="27">
        <v>365</v>
      </c>
    </row>
    <row r="2339" spans="1:1">
      <c r="A2339" s="27">
        <v>72</v>
      </c>
    </row>
    <row r="2340" spans="1:1">
      <c r="A2340" s="27">
        <v>230</v>
      </c>
    </row>
    <row r="2341" spans="1:1">
      <c r="A2341" s="27">
        <v>0.82</v>
      </c>
    </row>
    <row r="2342" spans="1:1">
      <c r="A2342" s="27">
        <v>30</v>
      </c>
    </row>
    <row r="2343" spans="1:1">
      <c r="A2343" s="27">
        <v>109</v>
      </c>
    </row>
    <row r="2344" spans="1:1">
      <c r="A2344" s="27">
        <v>2</v>
      </c>
    </row>
    <row r="2345" spans="1:1">
      <c r="A2345" s="27">
        <v>2</v>
      </c>
    </row>
    <row r="2346" spans="1:1">
      <c r="A2346" s="27">
        <v>20</v>
      </c>
    </row>
    <row r="2347" spans="1:1">
      <c r="A2347" s="27">
        <v>7</v>
      </c>
    </row>
    <row r="2348" spans="1:1">
      <c r="A2348" s="27">
        <v>955</v>
      </c>
    </row>
    <row r="2349" spans="1:1">
      <c r="A2349" s="27">
        <v>11.7</v>
      </c>
    </row>
    <row r="2350" spans="1:1">
      <c r="A2350" s="29">
        <v>0.70763888888888893</v>
      </c>
    </row>
    <row r="2351" spans="1:1">
      <c r="A2351" s="27">
        <v>19.600000000000001</v>
      </c>
    </row>
    <row r="2352" spans="1:1">
      <c r="A2352" s="28">
        <v>43.9</v>
      </c>
    </row>
    <row r="2353" spans="1:1">
      <c r="A2353" s="25">
        <v>113</v>
      </c>
    </row>
    <row r="2354" spans="1:1" ht="45">
      <c r="A2354" s="26" t="s">
        <v>222</v>
      </c>
    </row>
    <row r="2355" spans="1:1">
      <c r="A2355" s="27" t="s">
        <v>653</v>
      </c>
    </row>
    <row r="2356" spans="1:1">
      <c r="A2356" s="27">
        <v>606</v>
      </c>
    </row>
    <row r="2357" spans="1:1">
      <c r="A2357" s="27">
        <v>142</v>
      </c>
    </row>
    <row r="2358" spans="1:1">
      <c r="A2358" s="27">
        <v>222</v>
      </c>
    </row>
    <row r="2359" spans="1:1">
      <c r="A2359" s="27">
        <v>364</v>
      </c>
    </row>
    <row r="2360" spans="1:1">
      <c r="A2360" s="27">
        <v>76</v>
      </c>
    </row>
    <row r="2361" spans="1:1">
      <c r="A2361" s="27">
        <v>239</v>
      </c>
    </row>
    <row r="2362" spans="1:1">
      <c r="A2362" s="27">
        <v>0.6</v>
      </c>
    </row>
    <row r="2363" spans="1:1">
      <c r="A2363" s="27">
        <v>19</v>
      </c>
    </row>
    <row r="2364" spans="1:1">
      <c r="A2364" s="27">
        <v>59</v>
      </c>
    </row>
    <row r="2365" spans="1:1">
      <c r="A2365" s="27">
        <v>5</v>
      </c>
    </row>
    <row r="2366" spans="1:1">
      <c r="A2366" s="27">
        <v>12</v>
      </c>
    </row>
    <row r="2367" spans="1:1">
      <c r="A2367" s="27">
        <v>21</v>
      </c>
    </row>
    <row r="2368" spans="1:1">
      <c r="A2368" s="27">
        <v>4</v>
      </c>
    </row>
    <row r="2369" spans="1:1">
      <c r="A2369" s="27">
        <v>1270</v>
      </c>
    </row>
    <row r="2370" spans="1:1">
      <c r="A2370" s="27">
        <v>11.2</v>
      </c>
    </row>
    <row r="2371" spans="1:1">
      <c r="A2371" s="29">
        <v>0.78125</v>
      </c>
    </row>
    <row r="2372" spans="1:1">
      <c r="A2372" s="27">
        <v>24.4</v>
      </c>
    </row>
    <row r="2373" spans="1:1">
      <c r="A2373" s="28">
        <v>50.9</v>
      </c>
    </row>
    <row r="2374" spans="1:1">
      <c r="A2374" s="25">
        <v>114</v>
      </c>
    </row>
    <row r="2375" spans="1:1" ht="30">
      <c r="A2375" s="26" t="s">
        <v>465</v>
      </c>
    </row>
    <row r="2376" spans="1:1">
      <c r="A2376" s="27" t="s">
        <v>653</v>
      </c>
    </row>
    <row r="2377" spans="1:1">
      <c r="A2377" s="27">
        <v>381</v>
      </c>
    </row>
    <row r="2378" spans="1:1">
      <c r="A2378" s="27">
        <v>143</v>
      </c>
    </row>
    <row r="2379" spans="1:1">
      <c r="A2379" s="27">
        <v>220</v>
      </c>
    </row>
    <row r="2380" spans="1:1">
      <c r="A2380" s="27">
        <v>363</v>
      </c>
    </row>
    <row r="2381" spans="1:1">
      <c r="A2381" s="27">
        <v>-16</v>
      </c>
    </row>
    <row r="2382" spans="1:1">
      <c r="A2382" s="27">
        <v>136</v>
      </c>
    </row>
    <row r="2383" spans="1:1">
      <c r="A2383" s="27">
        <v>0.95</v>
      </c>
    </row>
    <row r="2384" spans="1:1">
      <c r="A2384" s="27">
        <v>41</v>
      </c>
    </row>
    <row r="2385" spans="1:1">
      <c r="A2385" s="27">
        <v>96</v>
      </c>
    </row>
    <row r="2386" spans="1:1">
      <c r="A2386" s="27">
        <v>6</v>
      </c>
    </row>
    <row r="2387" spans="1:1">
      <c r="A2387" s="27">
        <v>7</v>
      </c>
    </row>
    <row r="2388" spans="1:1">
      <c r="A2388" s="27">
        <v>19</v>
      </c>
    </row>
    <row r="2389" spans="1:1">
      <c r="A2389" s="27">
        <v>9</v>
      </c>
    </row>
    <row r="2390" spans="1:1">
      <c r="A2390" s="27">
        <v>872</v>
      </c>
    </row>
    <row r="2391" spans="1:1">
      <c r="A2391" s="27">
        <v>16.399999999999999</v>
      </c>
    </row>
    <row r="2392" spans="1:1">
      <c r="A2392" s="29">
        <v>0.80486111111111114</v>
      </c>
    </row>
    <row r="2393" spans="1:1">
      <c r="A2393" s="27">
        <v>22.9</v>
      </c>
    </row>
    <row r="2394" spans="1:1">
      <c r="A2394" s="28">
        <v>50.3</v>
      </c>
    </row>
    <row r="2395" spans="1:1">
      <c r="A2395" s="25">
        <v>115</v>
      </c>
    </row>
    <row r="2396" spans="1:1" ht="30">
      <c r="A2396" s="26" t="s">
        <v>722</v>
      </c>
    </row>
    <row r="2397" spans="1:1">
      <c r="A2397" s="27" t="s">
        <v>43</v>
      </c>
    </row>
    <row r="2398" spans="1:1">
      <c r="A2398" s="27">
        <v>844</v>
      </c>
    </row>
    <row r="2399" spans="1:1">
      <c r="A2399" s="27">
        <v>181</v>
      </c>
    </row>
    <row r="2400" spans="1:1">
      <c r="A2400" s="27">
        <v>181</v>
      </c>
    </row>
    <row r="2401" spans="1:1">
      <c r="A2401" s="27">
        <v>362</v>
      </c>
    </row>
    <row r="2402" spans="1:1">
      <c r="A2402" s="27">
        <v>-27</v>
      </c>
    </row>
    <row r="2403" spans="1:1">
      <c r="A2403" s="27">
        <v>588</v>
      </c>
    </row>
    <row r="2404" spans="1:1">
      <c r="A2404" s="27">
        <v>0.43</v>
      </c>
    </row>
    <row r="2405" spans="1:1">
      <c r="A2405" s="27">
        <v>60</v>
      </c>
    </row>
    <row r="2406" spans="1:1">
      <c r="A2406" s="27">
        <v>116</v>
      </c>
    </row>
    <row r="2407" spans="1:1">
      <c r="A2407" s="27">
        <v>7</v>
      </c>
    </row>
    <row r="2408" spans="1:1">
      <c r="A2408" s="27">
        <v>10</v>
      </c>
    </row>
    <row r="2409" spans="1:1">
      <c r="A2409" s="27">
        <v>35</v>
      </c>
    </row>
    <row r="2410" spans="1:1">
      <c r="A2410" s="27">
        <v>2</v>
      </c>
    </row>
    <row r="2411" spans="1:1">
      <c r="A2411" s="27">
        <v>1316</v>
      </c>
    </row>
    <row r="2412" spans="1:1">
      <c r="A2412" s="27">
        <v>13.8</v>
      </c>
    </row>
    <row r="2413" spans="1:1">
      <c r="A2413" s="29">
        <v>0.6694444444444444</v>
      </c>
    </row>
    <row r="2414" spans="1:1">
      <c r="A2414" s="27">
        <v>21.7</v>
      </c>
    </row>
    <row r="2415" spans="1:1">
      <c r="A2415" s="28">
        <v>50.5</v>
      </c>
    </row>
    <row r="2416" spans="1:1">
      <c r="A2416" s="25">
        <v>116</v>
      </c>
    </row>
    <row r="2417" spans="1:1" ht="30">
      <c r="A2417" s="26" t="s">
        <v>252</v>
      </c>
    </row>
    <row r="2418" spans="1:1">
      <c r="A2418" s="27" t="s">
        <v>43</v>
      </c>
    </row>
    <row r="2419" spans="1:1">
      <c r="A2419" s="27">
        <v>554</v>
      </c>
    </row>
    <row r="2420" spans="1:1">
      <c r="A2420" s="27">
        <v>190</v>
      </c>
    </row>
    <row r="2421" spans="1:1">
      <c r="A2421" s="27">
        <v>167</v>
      </c>
    </row>
    <row r="2422" spans="1:1">
      <c r="A2422" s="27">
        <v>357</v>
      </c>
    </row>
    <row r="2423" spans="1:1">
      <c r="A2423" s="27">
        <v>25</v>
      </c>
    </row>
    <row r="2424" spans="1:1">
      <c r="A2424" s="27">
        <v>140</v>
      </c>
    </row>
    <row r="2425" spans="1:1">
      <c r="A2425" s="27">
        <v>0.64</v>
      </c>
    </row>
    <row r="2426" spans="1:1">
      <c r="A2426" s="27">
        <v>41</v>
      </c>
    </row>
    <row r="2427" spans="1:1">
      <c r="A2427" s="27">
        <v>85</v>
      </c>
    </row>
    <row r="2428" spans="1:1">
      <c r="A2428" s="27">
        <v>12</v>
      </c>
    </row>
    <row r="2429" spans="1:1">
      <c r="A2429" s="27">
        <v>12</v>
      </c>
    </row>
    <row r="2430" spans="1:1">
      <c r="A2430" s="27">
        <v>39</v>
      </c>
    </row>
    <row r="2431" spans="1:1">
      <c r="A2431" s="27">
        <v>6</v>
      </c>
    </row>
    <row r="2432" spans="1:1">
      <c r="A2432" s="27">
        <v>1666</v>
      </c>
    </row>
    <row r="2433" spans="1:1">
      <c r="A2433" s="27">
        <v>11.4</v>
      </c>
    </row>
    <row r="2434" spans="1:1">
      <c r="A2434" s="29">
        <v>0.7319444444444444</v>
      </c>
    </row>
    <row r="2435" spans="1:1">
      <c r="A2435" s="27">
        <v>23</v>
      </c>
    </row>
    <row r="2436" spans="1:1">
      <c r="A2436" s="28">
        <v>37.5</v>
      </c>
    </row>
    <row r="2437" spans="1:1">
      <c r="A2437" s="25">
        <v>117</v>
      </c>
    </row>
    <row r="2438" spans="1:1" ht="30">
      <c r="A2438" s="26" t="s">
        <v>939</v>
      </c>
    </row>
    <row r="2439" spans="1:1">
      <c r="A2439" s="27" t="s">
        <v>44</v>
      </c>
    </row>
    <row r="2440" spans="1:1">
      <c r="A2440" s="27">
        <v>348</v>
      </c>
    </row>
    <row r="2441" spans="1:1">
      <c r="A2441" s="27">
        <v>128</v>
      </c>
    </row>
    <row r="2442" spans="1:1">
      <c r="A2442" s="27">
        <v>225</v>
      </c>
    </row>
    <row r="2443" spans="1:1">
      <c r="A2443" s="27">
        <v>353</v>
      </c>
    </row>
    <row r="2444" spans="1:1">
      <c r="A2444" s="27">
        <v>75</v>
      </c>
    </row>
    <row r="2445" spans="1:1">
      <c r="A2445" s="27">
        <v>114</v>
      </c>
    </row>
    <row r="2446" spans="1:1">
      <c r="A2446" s="27">
        <v>1.01</v>
      </c>
    </row>
    <row r="2447" spans="1:1">
      <c r="A2447" s="27">
        <v>35</v>
      </c>
    </row>
    <row r="2448" spans="1:1">
      <c r="A2448" s="27">
        <v>90</v>
      </c>
    </row>
    <row r="2449" spans="1:1">
      <c r="A2449" s="27">
        <v>0</v>
      </c>
    </row>
    <row r="2450" spans="1:1">
      <c r="A2450" s="27">
        <v>0</v>
      </c>
    </row>
    <row r="2451" spans="1:1">
      <c r="A2451" s="27">
        <v>26</v>
      </c>
    </row>
    <row r="2452" spans="1:1">
      <c r="A2452" s="27">
        <v>7</v>
      </c>
    </row>
    <row r="2453" spans="1:1">
      <c r="A2453" s="27">
        <v>892</v>
      </c>
    </row>
    <row r="2454" spans="1:1">
      <c r="A2454" s="27">
        <v>14.3</v>
      </c>
    </row>
    <row r="2455" spans="1:1">
      <c r="A2455" s="29">
        <v>0.81597222222222221</v>
      </c>
    </row>
    <row r="2456" spans="1:1">
      <c r="A2456" s="27">
        <v>22.7</v>
      </c>
    </row>
    <row r="2457" spans="1:1">
      <c r="A2457" s="28">
        <v>18.2</v>
      </c>
    </row>
    <row r="2458" spans="1:1">
      <c r="A2458" s="25">
        <v>118</v>
      </c>
    </row>
    <row r="2459" spans="1:1" ht="45">
      <c r="A2459" s="26" t="s">
        <v>796</v>
      </c>
    </row>
    <row r="2460" spans="1:1">
      <c r="A2460" s="27" t="s">
        <v>653</v>
      </c>
    </row>
    <row r="2461" spans="1:1">
      <c r="A2461" s="27">
        <v>714</v>
      </c>
    </row>
    <row r="2462" spans="1:1">
      <c r="A2462" s="27">
        <v>166</v>
      </c>
    </row>
    <row r="2463" spans="1:1">
      <c r="A2463" s="27">
        <v>184</v>
      </c>
    </row>
    <row r="2464" spans="1:1">
      <c r="A2464" s="27">
        <v>350</v>
      </c>
    </row>
    <row r="2465" spans="1:1">
      <c r="A2465" s="27">
        <v>-11</v>
      </c>
    </row>
    <row r="2466" spans="1:1">
      <c r="A2466" s="27">
        <v>208</v>
      </c>
    </row>
    <row r="2467" spans="1:1">
      <c r="A2467" s="27">
        <v>0.49</v>
      </c>
    </row>
    <row r="2468" spans="1:1">
      <c r="A2468" s="27">
        <v>34</v>
      </c>
    </row>
    <row r="2469" spans="1:1">
      <c r="A2469" s="27">
        <v>60</v>
      </c>
    </row>
    <row r="2470" spans="1:1">
      <c r="A2470" s="27">
        <v>8</v>
      </c>
    </row>
    <row r="2471" spans="1:1">
      <c r="A2471" s="27">
        <v>12</v>
      </c>
    </row>
    <row r="2472" spans="1:1">
      <c r="A2472" s="27">
        <v>30</v>
      </c>
    </row>
    <row r="2473" spans="1:1">
      <c r="A2473" s="27">
        <v>5</v>
      </c>
    </row>
    <row r="2474" spans="1:1">
      <c r="A2474" s="27">
        <v>1284</v>
      </c>
    </row>
    <row r="2475" spans="1:1">
      <c r="A2475" s="27">
        <v>12.9</v>
      </c>
    </row>
    <row r="2476" spans="1:1">
      <c r="A2476" s="29">
        <v>0.67499999999999993</v>
      </c>
    </row>
    <row r="2477" spans="1:1">
      <c r="A2477" s="27">
        <v>21.1</v>
      </c>
    </row>
    <row r="2478" spans="1:1">
      <c r="A2478" s="28">
        <v>46</v>
      </c>
    </row>
    <row r="2479" spans="1:1">
      <c r="A2479" s="25">
        <v>119</v>
      </c>
    </row>
    <row r="2480" spans="1:1" ht="45">
      <c r="A2480" s="26" t="s">
        <v>563</v>
      </c>
    </row>
    <row r="2481" spans="1:1">
      <c r="A2481" s="27" t="s">
        <v>653</v>
      </c>
    </row>
    <row r="2482" spans="1:1">
      <c r="A2482" s="27">
        <v>622</v>
      </c>
    </row>
    <row r="2483" spans="1:1">
      <c r="A2483" s="27">
        <v>168</v>
      </c>
    </row>
    <row r="2484" spans="1:1">
      <c r="A2484" s="27">
        <v>181</v>
      </c>
    </row>
    <row r="2485" spans="1:1">
      <c r="A2485" s="27">
        <v>349</v>
      </c>
    </row>
    <row r="2486" spans="1:1">
      <c r="A2486" s="27">
        <v>2</v>
      </c>
    </row>
    <row r="2487" spans="1:1">
      <c r="A2487" s="27">
        <v>192</v>
      </c>
    </row>
    <row r="2488" spans="1:1">
      <c r="A2488" s="27">
        <v>0.56000000000000005</v>
      </c>
    </row>
    <row r="2489" spans="1:1">
      <c r="A2489" s="27">
        <v>42</v>
      </c>
    </row>
    <row r="2490" spans="1:1">
      <c r="A2490" s="27">
        <v>89</v>
      </c>
    </row>
    <row r="2491" spans="1:1">
      <c r="A2491" s="27">
        <v>14</v>
      </c>
    </row>
    <row r="2492" spans="1:1">
      <c r="A2492" s="27">
        <v>26</v>
      </c>
    </row>
    <row r="2493" spans="1:1">
      <c r="A2493" s="27">
        <v>33</v>
      </c>
    </row>
    <row r="2494" spans="1:1">
      <c r="A2494" s="27">
        <v>5</v>
      </c>
    </row>
    <row r="2495" spans="1:1">
      <c r="A2495" s="27">
        <v>1096</v>
      </c>
    </row>
    <row r="2496" spans="1:1">
      <c r="A2496" s="27">
        <v>15.3</v>
      </c>
    </row>
    <row r="2497" spans="1:1">
      <c r="A2497" s="29">
        <v>0.74791666666666667</v>
      </c>
    </row>
    <row r="2498" spans="1:1">
      <c r="A2498" s="27">
        <v>23.6</v>
      </c>
    </row>
    <row r="2499" spans="1:1">
      <c r="A2499" s="28">
        <v>48.4</v>
      </c>
    </row>
    <row r="2500" spans="1:1">
      <c r="A2500" s="25">
        <v>120</v>
      </c>
    </row>
    <row r="2501" spans="1:1" ht="30">
      <c r="A2501" s="26" t="s">
        <v>521</v>
      </c>
    </row>
    <row r="2502" spans="1:1">
      <c r="A2502" s="27" t="s">
        <v>43</v>
      </c>
    </row>
    <row r="2503" spans="1:1">
      <c r="A2503" s="27">
        <v>414</v>
      </c>
    </row>
    <row r="2504" spans="1:1">
      <c r="A2504" s="27">
        <v>139</v>
      </c>
    </row>
    <row r="2505" spans="1:1">
      <c r="A2505" s="27">
        <v>207</v>
      </c>
    </row>
    <row r="2506" spans="1:1">
      <c r="A2506" s="27">
        <v>346</v>
      </c>
    </row>
    <row r="2507" spans="1:1">
      <c r="A2507" s="27">
        <v>54</v>
      </c>
    </row>
    <row r="2508" spans="1:1">
      <c r="A2508" s="27">
        <v>131</v>
      </c>
    </row>
    <row r="2509" spans="1:1">
      <c r="A2509" s="27">
        <v>0.84</v>
      </c>
    </row>
    <row r="2510" spans="1:1">
      <c r="A2510" s="27">
        <v>29</v>
      </c>
    </row>
    <row r="2511" spans="1:1">
      <c r="A2511" s="27">
        <v>84</v>
      </c>
    </row>
    <row r="2512" spans="1:1">
      <c r="A2512" s="27">
        <v>4</v>
      </c>
    </row>
    <row r="2513" spans="1:1">
      <c r="A2513" s="27">
        <v>8</v>
      </c>
    </row>
    <row r="2514" spans="1:1">
      <c r="A2514" s="27">
        <v>20</v>
      </c>
    </row>
    <row r="2515" spans="1:1">
      <c r="A2515" s="27">
        <v>5</v>
      </c>
    </row>
    <row r="2516" spans="1:1">
      <c r="A2516" s="27">
        <v>891</v>
      </c>
    </row>
    <row r="2517" spans="1:1">
      <c r="A2517" s="27">
        <v>15.6</v>
      </c>
    </row>
    <row r="2518" spans="1:1">
      <c r="A2518" s="29">
        <v>0.78749999999999998</v>
      </c>
    </row>
    <row r="2519" spans="1:1">
      <c r="A2519" s="27">
        <v>23.1</v>
      </c>
    </row>
    <row r="2520" spans="1:1">
      <c r="A2520" s="28">
        <v>46.2</v>
      </c>
    </row>
    <row r="2521" spans="1:1">
      <c r="A2521" s="25">
        <v>121</v>
      </c>
    </row>
    <row r="2522" spans="1:1" ht="45">
      <c r="A2522" s="26" t="s">
        <v>74</v>
      </c>
    </row>
    <row r="2523" spans="1:1">
      <c r="A2523" s="27" t="s">
        <v>44</v>
      </c>
    </row>
    <row r="2524" spans="1:1">
      <c r="A2524" s="27">
        <v>609</v>
      </c>
    </row>
    <row r="2525" spans="1:1">
      <c r="A2525" s="27">
        <v>124</v>
      </c>
    </row>
    <row r="2526" spans="1:1">
      <c r="A2526" s="27">
        <v>220</v>
      </c>
    </row>
    <row r="2527" spans="1:1">
      <c r="A2527" s="27">
        <v>344</v>
      </c>
    </row>
    <row r="2528" spans="1:1">
      <c r="A2528" s="27">
        <v>-6</v>
      </c>
    </row>
    <row r="2529" spans="1:1">
      <c r="A2529" s="27">
        <v>96</v>
      </c>
    </row>
    <row r="2530" spans="1:1">
      <c r="A2530" s="27">
        <v>0.56000000000000005</v>
      </c>
    </row>
    <row r="2531" spans="1:1">
      <c r="A2531" s="27">
        <v>30</v>
      </c>
    </row>
    <row r="2532" spans="1:1">
      <c r="A2532" s="27">
        <v>97</v>
      </c>
    </row>
    <row r="2533" spans="1:1">
      <c r="A2533" s="27">
        <v>1</v>
      </c>
    </row>
    <row r="2534" spans="1:1">
      <c r="A2534" s="27">
        <v>2</v>
      </c>
    </row>
    <row r="2535" spans="1:1">
      <c r="A2535" s="27">
        <v>22</v>
      </c>
    </row>
    <row r="2536" spans="1:1">
      <c r="A2536" s="27">
        <v>3</v>
      </c>
    </row>
    <row r="2537" spans="1:1">
      <c r="A2537" s="27">
        <v>915</v>
      </c>
    </row>
    <row r="2538" spans="1:1">
      <c r="A2538" s="27">
        <v>13.6</v>
      </c>
    </row>
    <row r="2539" spans="1:1">
      <c r="A2539" s="29">
        <v>0.6875</v>
      </c>
    </row>
    <row r="2540" spans="1:1">
      <c r="A2540" s="27">
        <v>19.899999999999999</v>
      </c>
    </row>
    <row r="2541" spans="1:1">
      <c r="A2541" s="28">
        <v>41.6</v>
      </c>
    </row>
    <row r="2542" spans="1:1">
      <c r="A2542" s="25">
        <v>122</v>
      </c>
    </row>
    <row r="2543" spans="1:1" ht="45">
      <c r="A2543" s="26" t="s">
        <v>483</v>
      </c>
    </row>
    <row r="2544" spans="1:1">
      <c r="A2544" s="27" t="s">
        <v>42</v>
      </c>
    </row>
    <row r="2545" spans="1:1">
      <c r="A2545" s="27">
        <v>686</v>
      </c>
    </row>
    <row r="2546" spans="1:1">
      <c r="A2546" s="27">
        <v>118</v>
      </c>
    </row>
    <row r="2547" spans="1:1">
      <c r="A2547" s="27">
        <v>226</v>
      </c>
    </row>
    <row r="2548" spans="1:1">
      <c r="A2548" s="27">
        <v>344</v>
      </c>
    </row>
    <row r="2549" spans="1:1">
      <c r="A2549" s="27">
        <v>-88</v>
      </c>
    </row>
    <row r="2550" spans="1:1">
      <c r="A2550" s="27">
        <v>422</v>
      </c>
    </row>
    <row r="2551" spans="1:1">
      <c r="A2551" s="27">
        <v>0.5</v>
      </c>
    </row>
    <row r="2552" spans="1:1">
      <c r="A2552" s="27">
        <v>51</v>
      </c>
    </row>
    <row r="2553" spans="1:1">
      <c r="A2553" s="27">
        <v>142</v>
      </c>
    </row>
    <row r="2554" spans="1:1">
      <c r="A2554" s="27">
        <v>3</v>
      </c>
    </row>
    <row r="2555" spans="1:1">
      <c r="A2555" s="27">
        <v>5</v>
      </c>
    </row>
    <row r="2556" spans="1:1">
      <c r="A2556" s="27">
        <v>30</v>
      </c>
    </row>
    <row r="2557" spans="1:1">
      <c r="A2557" s="27">
        <v>7</v>
      </c>
    </row>
    <row r="2558" spans="1:1">
      <c r="A2558" s="27">
        <v>1569</v>
      </c>
    </row>
    <row r="2559" spans="1:1">
      <c r="A2559" s="27">
        <v>7.5</v>
      </c>
    </row>
    <row r="2560" spans="1:1">
      <c r="A2560" s="29">
        <v>0.98611111111111116</v>
      </c>
    </row>
    <row r="2561" spans="1:1">
      <c r="A2561" s="27">
        <v>28</v>
      </c>
    </row>
    <row r="2562" spans="1:1">
      <c r="A2562" s="28">
        <v>0</v>
      </c>
    </row>
    <row r="2563" spans="1:1">
      <c r="A2563" s="25">
        <v>123</v>
      </c>
    </row>
    <row r="2564" spans="1:1" ht="30">
      <c r="A2564" s="26" t="s">
        <v>704</v>
      </c>
    </row>
    <row r="2565" spans="1:1">
      <c r="A2565" s="27" t="s">
        <v>653</v>
      </c>
    </row>
    <row r="2566" spans="1:1">
      <c r="A2566" s="27">
        <v>673</v>
      </c>
    </row>
    <row r="2567" spans="1:1">
      <c r="A2567" s="27">
        <v>127</v>
      </c>
    </row>
    <row r="2568" spans="1:1">
      <c r="A2568" s="27">
        <v>211</v>
      </c>
    </row>
    <row r="2569" spans="1:1">
      <c r="A2569" s="27">
        <v>338</v>
      </c>
    </row>
    <row r="2570" spans="1:1">
      <c r="A2570" s="27">
        <v>-43</v>
      </c>
    </row>
    <row r="2571" spans="1:1">
      <c r="A2571" s="27">
        <v>574</v>
      </c>
    </row>
    <row r="2572" spans="1:1">
      <c r="A2572" s="27">
        <v>0.5</v>
      </c>
    </row>
    <row r="2573" spans="1:1">
      <c r="A2573" s="27">
        <v>34</v>
      </c>
    </row>
    <row r="2574" spans="1:1">
      <c r="A2574" s="27">
        <v>88</v>
      </c>
    </row>
    <row r="2575" spans="1:1">
      <c r="A2575" s="27">
        <v>4</v>
      </c>
    </row>
    <row r="2576" spans="1:1">
      <c r="A2576" s="27">
        <v>7</v>
      </c>
    </row>
    <row r="2577" spans="1:1">
      <c r="A2577" s="27">
        <v>24</v>
      </c>
    </row>
    <row r="2578" spans="1:1">
      <c r="A2578" s="27">
        <v>2</v>
      </c>
    </row>
    <row r="2579" spans="1:1">
      <c r="A2579" s="27">
        <v>1382</v>
      </c>
    </row>
    <row r="2580" spans="1:1">
      <c r="A2580" s="27">
        <v>9.1999999999999993</v>
      </c>
    </row>
    <row r="2581" spans="1:1">
      <c r="A2581" s="29">
        <v>0.7368055555555556</v>
      </c>
    </row>
    <row r="2582" spans="1:1">
      <c r="A2582" s="27">
        <v>23.2</v>
      </c>
    </row>
    <row r="2583" spans="1:1">
      <c r="A2583" s="28">
        <v>52.1</v>
      </c>
    </row>
    <row r="2584" spans="1:1">
      <c r="A2584" s="25">
        <v>124</v>
      </c>
    </row>
    <row r="2585" spans="1:1" ht="45">
      <c r="A2585" s="26" t="s">
        <v>227</v>
      </c>
    </row>
    <row r="2586" spans="1:1">
      <c r="A2586" s="27" t="s">
        <v>42</v>
      </c>
    </row>
    <row r="2587" spans="1:1">
      <c r="A2587" s="27">
        <v>909</v>
      </c>
    </row>
    <row r="2588" spans="1:1">
      <c r="A2588" s="27">
        <v>66</v>
      </c>
    </row>
    <row r="2589" spans="1:1">
      <c r="A2589" s="27">
        <v>269</v>
      </c>
    </row>
    <row r="2590" spans="1:1">
      <c r="A2590" s="27">
        <v>335</v>
      </c>
    </row>
    <row r="2591" spans="1:1">
      <c r="A2591" s="27">
        <v>100</v>
      </c>
    </row>
    <row r="2592" spans="1:1">
      <c r="A2592" s="27">
        <v>473</v>
      </c>
    </row>
    <row r="2593" spans="1:1">
      <c r="A2593" s="27">
        <v>0.37</v>
      </c>
    </row>
    <row r="2594" spans="1:1">
      <c r="A2594" s="27">
        <v>17</v>
      </c>
    </row>
    <row r="2595" spans="1:1">
      <c r="A2595" s="27">
        <v>97</v>
      </c>
    </row>
    <row r="2596" spans="1:1">
      <c r="A2596" s="27">
        <v>0</v>
      </c>
    </row>
    <row r="2597" spans="1:1">
      <c r="A2597" s="27">
        <v>4</v>
      </c>
    </row>
    <row r="2598" spans="1:1">
      <c r="A2598" s="27">
        <v>17</v>
      </c>
    </row>
    <row r="2599" spans="1:1">
      <c r="A2599" s="27">
        <v>2</v>
      </c>
    </row>
    <row r="2600" spans="1:1">
      <c r="A2600" s="27">
        <v>1477</v>
      </c>
    </row>
    <row r="2601" spans="1:1">
      <c r="A2601" s="27">
        <v>4.5</v>
      </c>
    </row>
    <row r="2602" spans="1:1">
      <c r="A2602" s="29">
        <v>0.86875000000000002</v>
      </c>
    </row>
    <row r="2603" spans="1:1">
      <c r="A2603" s="27">
        <v>24.5</v>
      </c>
    </row>
    <row r="2604" spans="1:1">
      <c r="A2604" s="28">
        <v>0</v>
      </c>
    </row>
    <row r="2605" spans="1:1">
      <c r="A2605" s="25">
        <v>125</v>
      </c>
    </row>
    <row r="2606" spans="1:1" ht="30">
      <c r="A2606" s="26" t="s">
        <v>344</v>
      </c>
    </row>
    <row r="2607" spans="1:1">
      <c r="A2607" s="27" t="s">
        <v>653</v>
      </c>
    </row>
    <row r="2608" spans="1:1">
      <c r="A2608" s="27">
        <v>503</v>
      </c>
    </row>
    <row r="2609" spans="1:1">
      <c r="A2609" s="27">
        <v>98</v>
      </c>
    </row>
    <row r="2610" spans="1:1">
      <c r="A2610" s="27">
        <v>235</v>
      </c>
    </row>
    <row r="2611" spans="1:1">
      <c r="A2611" s="27">
        <v>333</v>
      </c>
    </row>
    <row r="2612" spans="1:1">
      <c r="A2612" s="27">
        <v>23</v>
      </c>
    </row>
    <row r="2613" spans="1:1">
      <c r="A2613" s="27">
        <v>134</v>
      </c>
    </row>
    <row r="2614" spans="1:1">
      <c r="A2614" s="27">
        <v>0.66</v>
      </c>
    </row>
    <row r="2615" spans="1:1">
      <c r="A2615" s="27">
        <v>20</v>
      </c>
    </row>
    <row r="2616" spans="1:1">
      <c r="A2616" s="27">
        <v>93</v>
      </c>
    </row>
    <row r="2617" spans="1:1">
      <c r="A2617" s="27">
        <v>7</v>
      </c>
    </row>
    <row r="2618" spans="1:1">
      <c r="A2618" s="27">
        <v>10</v>
      </c>
    </row>
    <row r="2619" spans="1:1">
      <c r="A2619" s="27">
        <v>18</v>
      </c>
    </row>
    <row r="2620" spans="1:1">
      <c r="A2620" s="27">
        <v>2</v>
      </c>
    </row>
    <row r="2621" spans="1:1">
      <c r="A2621" s="27">
        <v>1018</v>
      </c>
    </row>
    <row r="2622" spans="1:1">
      <c r="A2622" s="27">
        <v>9.6</v>
      </c>
    </row>
    <row r="2623" spans="1:1">
      <c r="A2623" s="29">
        <v>0.74652777777777779</v>
      </c>
    </row>
    <row r="2624" spans="1:1">
      <c r="A2624" s="27">
        <v>22.2</v>
      </c>
    </row>
    <row r="2625" spans="1:1">
      <c r="A2625" s="28">
        <v>49.2</v>
      </c>
    </row>
    <row r="2626" spans="1:1">
      <c r="A2626" s="25">
        <v>126</v>
      </c>
    </row>
    <row r="2627" spans="1:1" ht="30">
      <c r="A2627" s="26" t="s">
        <v>439</v>
      </c>
    </row>
    <row r="2628" spans="1:1">
      <c r="A2628" s="27" t="s">
        <v>44</v>
      </c>
    </row>
    <row r="2629" spans="1:1">
      <c r="A2629" s="27">
        <v>557</v>
      </c>
    </row>
    <row r="2630" spans="1:1">
      <c r="A2630" s="27">
        <v>156</v>
      </c>
    </row>
    <row r="2631" spans="1:1">
      <c r="A2631" s="27">
        <v>174</v>
      </c>
    </row>
    <row r="2632" spans="1:1">
      <c r="A2632" s="27">
        <v>330</v>
      </c>
    </row>
    <row r="2633" spans="1:1">
      <c r="A2633" s="27">
        <v>48</v>
      </c>
    </row>
    <row r="2634" spans="1:1">
      <c r="A2634" s="27">
        <v>100</v>
      </c>
    </row>
    <row r="2635" spans="1:1">
      <c r="A2635" s="27">
        <v>0.59</v>
      </c>
    </row>
    <row r="2636" spans="1:1">
      <c r="A2636" s="27">
        <v>18</v>
      </c>
    </row>
    <row r="2637" spans="1:1">
      <c r="A2637" s="27">
        <v>40</v>
      </c>
    </row>
    <row r="2638" spans="1:1">
      <c r="A2638" s="27">
        <v>6</v>
      </c>
    </row>
    <row r="2639" spans="1:1">
      <c r="A2639" s="27">
        <v>9</v>
      </c>
    </row>
    <row r="2640" spans="1:1">
      <c r="A2640" s="27">
        <v>34</v>
      </c>
    </row>
    <row r="2641" spans="1:1">
      <c r="A2641" s="27">
        <v>3</v>
      </c>
    </row>
    <row r="2642" spans="1:1">
      <c r="A2642" s="27">
        <v>1407</v>
      </c>
    </row>
    <row r="2643" spans="1:1">
      <c r="A2643" s="27">
        <v>11.1</v>
      </c>
    </row>
    <row r="2644" spans="1:1">
      <c r="A2644" s="29">
        <v>0.71111111111111114</v>
      </c>
    </row>
    <row r="2645" spans="1:1">
      <c r="A2645" s="27">
        <v>22.8</v>
      </c>
    </row>
    <row r="2646" spans="1:1">
      <c r="A2646" s="28">
        <v>43.6</v>
      </c>
    </row>
    <row r="2647" spans="1:1">
      <c r="A2647" s="25">
        <v>127</v>
      </c>
    </row>
    <row r="2648" spans="1:1" ht="30">
      <c r="A2648" s="26" t="s">
        <v>527</v>
      </c>
    </row>
    <row r="2649" spans="1:1">
      <c r="A2649" s="27" t="s">
        <v>653</v>
      </c>
    </row>
    <row r="2650" spans="1:1">
      <c r="A2650" s="27">
        <v>649</v>
      </c>
    </row>
    <row r="2651" spans="1:1">
      <c r="A2651" s="27">
        <v>132</v>
      </c>
    </row>
    <row r="2652" spans="1:1">
      <c r="A2652" s="27">
        <v>198</v>
      </c>
    </row>
    <row r="2653" spans="1:1">
      <c r="A2653" s="27">
        <v>330</v>
      </c>
    </row>
    <row r="2654" spans="1:1">
      <c r="A2654" s="27">
        <v>29</v>
      </c>
    </row>
    <row r="2655" spans="1:1">
      <c r="A2655" s="27">
        <v>327</v>
      </c>
    </row>
    <row r="2656" spans="1:1">
      <c r="A2656" s="27">
        <v>0.51</v>
      </c>
    </row>
    <row r="2657" spans="1:1">
      <c r="A2657" s="27">
        <v>26</v>
      </c>
    </row>
    <row r="2658" spans="1:1">
      <c r="A2658" s="27">
        <v>63</v>
      </c>
    </row>
    <row r="2659" spans="1:1">
      <c r="A2659" s="27">
        <v>11</v>
      </c>
    </row>
    <row r="2660" spans="1:1">
      <c r="A2660" s="27">
        <v>19</v>
      </c>
    </row>
    <row r="2661" spans="1:1">
      <c r="A2661" s="27">
        <v>28</v>
      </c>
    </row>
    <row r="2662" spans="1:1">
      <c r="A2662" s="27">
        <v>7</v>
      </c>
    </row>
    <row r="2663" spans="1:1">
      <c r="A2663" s="27">
        <v>1477</v>
      </c>
    </row>
    <row r="2664" spans="1:1">
      <c r="A2664" s="27">
        <v>8.9</v>
      </c>
    </row>
    <row r="2665" spans="1:1">
      <c r="A2665" s="29">
        <v>0.69791666666666663</v>
      </c>
    </row>
    <row r="2666" spans="1:1">
      <c r="A2666" s="27">
        <v>22.6</v>
      </c>
    </row>
    <row r="2667" spans="1:1">
      <c r="A2667" s="28">
        <v>48.3</v>
      </c>
    </row>
    <row r="2668" spans="1:1">
      <c r="A2668" s="25">
        <v>128</v>
      </c>
    </row>
    <row r="2669" spans="1:1" ht="30">
      <c r="A2669" s="26" t="s">
        <v>318</v>
      </c>
    </row>
    <row r="2670" spans="1:1">
      <c r="A2670" s="27" t="s">
        <v>44</v>
      </c>
    </row>
    <row r="2671" spans="1:1">
      <c r="A2671" s="27">
        <v>479</v>
      </c>
    </row>
    <row r="2672" spans="1:1">
      <c r="A2672" s="27">
        <v>132</v>
      </c>
    </row>
    <row r="2673" spans="1:1">
      <c r="A2673" s="27">
        <v>197</v>
      </c>
    </row>
    <row r="2674" spans="1:1">
      <c r="A2674" s="27">
        <v>329</v>
      </c>
    </row>
    <row r="2675" spans="1:1">
      <c r="A2675" s="27">
        <v>66</v>
      </c>
    </row>
    <row r="2676" spans="1:1">
      <c r="A2676" s="27">
        <v>121</v>
      </c>
    </row>
    <row r="2677" spans="1:1">
      <c r="A2677" s="27">
        <v>0.69</v>
      </c>
    </row>
    <row r="2678" spans="1:1">
      <c r="A2678" s="27">
        <v>30</v>
      </c>
    </row>
    <row r="2679" spans="1:1">
      <c r="A2679" s="27">
        <v>66</v>
      </c>
    </row>
    <row r="2680" spans="1:1">
      <c r="A2680" s="27">
        <v>4</v>
      </c>
    </row>
    <row r="2681" spans="1:1">
      <c r="A2681" s="27">
        <v>6</v>
      </c>
    </row>
    <row r="2682" spans="1:1">
      <c r="A2682" s="27">
        <v>17</v>
      </c>
    </row>
    <row r="2683" spans="1:1">
      <c r="A2683" s="27">
        <v>5</v>
      </c>
    </row>
    <row r="2684" spans="1:1">
      <c r="A2684" s="27">
        <v>1078</v>
      </c>
    </row>
    <row r="2685" spans="1:1">
      <c r="A2685" s="27">
        <v>12.2</v>
      </c>
    </row>
    <row r="2686" spans="1:1">
      <c r="A2686" s="29">
        <v>0.73541666666666661</v>
      </c>
    </row>
    <row r="2687" spans="1:1">
      <c r="A2687" s="27">
        <v>23.9</v>
      </c>
    </row>
    <row r="2688" spans="1:1">
      <c r="A2688" s="28">
        <v>48</v>
      </c>
    </row>
    <row r="2689" spans="1:1">
      <c r="A2689" s="25">
        <v>129</v>
      </c>
    </row>
    <row r="2690" spans="1:1" ht="30">
      <c r="A2690" s="26" t="s">
        <v>33</v>
      </c>
    </row>
    <row r="2691" spans="1:1">
      <c r="A2691" s="27" t="s">
        <v>43</v>
      </c>
    </row>
    <row r="2692" spans="1:1">
      <c r="A2692" s="27">
        <v>348</v>
      </c>
    </row>
    <row r="2693" spans="1:1">
      <c r="A2693" s="27">
        <v>157</v>
      </c>
    </row>
    <row r="2694" spans="1:1">
      <c r="A2694" s="27">
        <v>170</v>
      </c>
    </row>
    <row r="2695" spans="1:1">
      <c r="A2695" s="27">
        <v>327</v>
      </c>
    </row>
    <row r="2696" spans="1:1">
      <c r="A2696" s="27">
        <v>55</v>
      </c>
    </row>
    <row r="2697" spans="1:1">
      <c r="A2697" s="27">
        <v>151</v>
      </c>
    </row>
    <row r="2698" spans="1:1">
      <c r="A2698" s="27">
        <v>0.94</v>
      </c>
    </row>
    <row r="2699" spans="1:1">
      <c r="A2699" s="27">
        <v>54</v>
      </c>
    </row>
    <row r="2700" spans="1:1">
      <c r="A2700" s="27">
        <v>103</v>
      </c>
    </row>
    <row r="2701" spans="1:1">
      <c r="A2701" s="27">
        <v>0</v>
      </c>
    </row>
    <row r="2702" spans="1:1">
      <c r="A2702" s="27">
        <v>0</v>
      </c>
    </row>
    <row r="2703" spans="1:1">
      <c r="A2703" s="27">
        <v>25</v>
      </c>
    </row>
    <row r="2704" spans="1:1">
      <c r="A2704" s="27">
        <v>3</v>
      </c>
    </row>
    <row r="2705" spans="1:1">
      <c r="A2705" s="27">
        <v>1055</v>
      </c>
    </row>
    <row r="2706" spans="1:1">
      <c r="A2706" s="27">
        <v>14.9</v>
      </c>
    </row>
    <row r="2707" spans="1:1">
      <c r="A2707" s="29">
        <v>0.71250000000000002</v>
      </c>
    </row>
    <row r="2708" spans="1:1">
      <c r="A2708" s="27">
        <v>20.5</v>
      </c>
    </row>
    <row r="2709" spans="1:1">
      <c r="A2709" s="28">
        <v>25.4</v>
      </c>
    </row>
    <row r="2710" spans="1:1">
      <c r="A2710" s="25">
        <v>130</v>
      </c>
    </row>
    <row r="2711" spans="1:1" ht="45">
      <c r="A2711" s="26" t="s">
        <v>282</v>
      </c>
    </row>
    <row r="2712" spans="1:1">
      <c r="A2712" s="27" t="s">
        <v>653</v>
      </c>
    </row>
    <row r="2713" spans="1:1">
      <c r="A2713" s="27">
        <v>504</v>
      </c>
    </row>
    <row r="2714" spans="1:1">
      <c r="A2714" s="27">
        <v>141</v>
      </c>
    </row>
    <row r="2715" spans="1:1">
      <c r="A2715" s="27">
        <v>183</v>
      </c>
    </row>
    <row r="2716" spans="1:1">
      <c r="A2716" s="27">
        <v>324</v>
      </c>
    </row>
    <row r="2717" spans="1:1">
      <c r="A2717" s="27">
        <v>-34</v>
      </c>
    </row>
    <row r="2718" spans="1:1">
      <c r="A2718" s="27">
        <v>143</v>
      </c>
    </row>
    <row r="2719" spans="1:1">
      <c r="A2719" s="27">
        <v>0.64</v>
      </c>
    </row>
    <row r="2720" spans="1:1">
      <c r="A2720" s="27">
        <v>43</v>
      </c>
    </row>
    <row r="2721" spans="1:1">
      <c r="A2721" s="27">
        <v>98</v>
      </c>
    </row>
    <row r="2722" spans="1:1">
      <c r="A2722" s="27">
        <v>6</v>
      </c>
    </row>
    <row r="2723" spans="1:1">
      <c r="A2723" s="27">
        <v>9</v>
      </c>
    </row>
    <row r="2724" spans="1:1">
      <c r="A2724" s="27">
        <v>19</v>
      </c>
    </row>
    <row r="2725" spans="1:1">
      <c r="A2725" s="27">
        <v>3</v>
      </c>
    </row>
    <row r="2726" spans="1:1">
      <c r="A2726" s="27">
        <v>1195</v>
      </c>
    </row>
    <row r="2727" spans="1:1">
      <c r="A2727" s="27">
        <v>11.8</v>
      </c>
    </row>
    <row r="2728" spans="1:1">
      <c r="A2728" s="29">
        <v>0.71388888888888891</v>
      </c>
    </row>
    <row r="2729" spans="1:1">
      <c r="A2729" s="27">
        <v>23.1</v>
      </c>
    </row>
    <row r="2730" spans="1:1">
      <c r="A2730" s="28">
        <v>49.8</v>
      </c>
    </row>
    <row r="2731" spans="1:1">
      <c r="A2731" s="25">
        <v>131</v>
      </c>
    </row>
    <row r="2732" spans="1:1" ht="30">
      <c r="A2732" s="26" t="s">
        <v>262</v>
      </c>
    </row>
    <row r="2733" spans="1:1">
      <c r="A2733" s="27" t="s">
        <v>653</v>
      </c>
    </row>
    <row r="2734" spans="1:1">
      <c r="A2734" s="27">
        <v>527</v>
      </c>
    </row>
    <row r="2735" spans="1:1">
      <c r="A2735" s="27">
        <v>138</v>
      </c>
    </row>
    <row r="2736" spans="1:1">
      <c r="A2736" s="27">
        <v>186</v>
      </c>
    </row>
    <row r="2737" spans="1:1">
      <c r="A2737" s="27">
        <v>324</v>
      </c>
    </row>
    <row r="2738" spans="1:1">
      <c r="A2738" s="27">
        <v>-1</v>
      </c>
    </row>
    <row r="2739" spans="1:1">
      <c r="A2739" s="27">
        <v>138</v>
      </c>
    </row>
    <row r="2740" spans="1:1">
      <c r="A2740" s="27">
        <v>0.61</v>
      </c>
    </row>
    <row r="2741" spans="1:1">
      <c r="A2741" s="27">
        <v>36</v>
      </c>
    </row>
    <row r="2742" spans="1:1">
      <c r="A2742" s="27">
        <v>81</v>
      </c>
    </row>
    <row r="2743" spans="1:1">
      <c r="A2743" s="27">
        <v>0</v>
      </c>
    </row>
    <row r="2744" spans="1:1">
      <c r="A2744" s="27">
        <v>0</v>
      </c>
    </row>
    <row r="2745" spans="1:1">
      <c r="A2745" s="27">
        <v>22</v>
      </c>
    </row>
    <row r="2746" spans="1:1">
      <c r="A2746" s="27">
        <v>6</v>
      </c>
    </row>
    <row r="2747" spans="1:1">
      <c r="A2747" s="27">
        <v>1222</v>
      </c>
    </row>
    <row r="2748" spans="1:1">
      <c r="A2748" s="27">
        <v>11.3</v>
      </c>
    </row>
    <row r="2749" spans="1:1">
      <c r="A2749" s="29">
        <v>0.68958333333333333</v>
      </c>
    </row>
    <row r="2750" spans="1:1">
      <c r="A2750" s="27">
        <v>21.4</v>
      </c>
    </row>
    <row r="2751" spans="1:1">
      <c r="A2751" s="28">
        <v>46.3</v>
      </c>
    </row>
    <row r="2752" spans="1:1">
      <c r="A2752" s="25">
        <v>132</v>
      </c>
    </row>
    <row r="2753" spans="1:1" ht="30">
      <c r="A2753" s="26" t="s">
        <v>136</v>
      </c>
    </row>
    <row r="2754" spans="1:1">
      <c r="A2754" s="27" t="s">
        <v>44</v>
      </c>
    </row>
    <row r="2755" spans="1:1">
      <c r="A2755" s="27">
        <v>695</v>
      </c>
    </row>
    <row r="2756" spans="1:1">
      <c r="A2756" s="27">
        <v>116</v>
      </c>
    </row>
    <row r="2757" spans="1:1">
      <c r="A2757" s="27">
        <v>208</v>
      </c>
    </row>
    <row r="2758" spans="1:1">
      <c r="A2758" s="27">
        <v>324</v>
      </c>
    </row>
    <row r="2759" spans="1:1">
      <c r="A2759" s="27">
        <v>-69</v>
      </c>
    </row>
    <row r="2760" spans="1:1">
      <c r="A2760" s="27">
        <v>116</v>
      </c>
    </row>
    <row r="2761" spans="1:1">
      <c r="A2761" s="27">
        <v>0.47</v>
      </c>
    </row>
    <row r="2762" spans="1:1">
      <c r="A2762" s="27">
        <v>22</v>
      </c>
    </row>
    <row r="2763" spans="1:1">
      <c r="A2763" s="27">
        <v>75</v>
      </c>
    </row>
    <row r="2764" spans="1:1">
      <c r="A2764" s="27">
        <v>1</v>
      </c>
    </row>
    <row r="2765" spans="1:1">
      <c r="A2765" s="27">
        <v>1</v>
      </c>
    </row>
    <row r="2766" spans="1:1">
      <c r="A2766" s="27">
        <v>22</v>
      </c>
    </row>
    <row r="2767" spans="1:1">
      <c r="A2767" s="27">
        <v>3</v>
      </c>
    </row>
    <row r="2768" spans="1:1">
      <c r="A2768" s="27">
        <v>1076</v>
      </c>
    </row>
    <row r="2769" spans="1:1">
      <c r="A2769" s="27">
        <v>10.8</v>
      </c>
    </row>
    <row r="2770" spans="1:1">
      <c r="A2770" s="29">
        <v>0.63541666666666663</v>
      </c>
    </row>
    <row r="2771" spans="1:1">
      <c r="A2771" s="27">
        <v>20.2</v>
      </c>
    </row>
    <row r="2772" spans="1:1">
      <c r="A2772" s="28">
        <v>29</v>
      </c>
    </row>
    <row r="2773" spans="1:1">
      <c r="A2773" s="25">
        <v>133</v>
      </c>
    </row>
    <row r="2774" spans="1:1" ht="30">
      <c r="A2774" s="26" t="s">
        <v>345</v>
      </c>
    </row>
    <row r="2775" spans="1:1">
      <c r="A2775" s="27" t="s">
        <v>42</v>
      </c>
    </row>
    <row r="2776" spans="1:1">
      <c r="A2776" s="27">
        <v>1033</v>
      </c>
    </row>
    <row r="2777" spans="1:1">
      <c r="A2777" s="27">
        <v>52</v>
      </c>
    </row>
    <row r="2778" spans="1:1">
      <c r="A2778" s="27">
        <v>272</v>
      </c>
    </row>
    <row r="2779" spans="1:1">
      <c r="A2779" s="27">
        <v>324</v>
      </c>
    </row>
    <row r="2780" spans="1:1">
      <c r="A2780" s="27">
        <v>81</v>
      </c>
    </row>
    <row r="2781" spans="1:1">
      <c r="A2781" s="27">
        <v>609</v>
      </c>
    </row>
    <row r="2782" spans="1:1">
      <c r="A2782" s="27">
        <v>0.31</v>
      </c>
    </row>
    <row r="2783" spans="1:1">
      <c r="A2783" s="27">
        <v>12</v>
      </c>
    </row>
    <row r="2784" spans="1:1">
      <c r="A2784" s="27">
        <v>67</v>
      </c>
    </row>
    <row r="2785" spans="1:1">
      <c r="A2785" s="27">
        <v>3</v>
      </c>
    </row>
    <row r="2786" spans="1:1">
      <c r="A2786" s="27">
        <v>12</v>
      </c>
    </row>
    <row r="2787" spans="1:1">
      <c r="A2787" s="27">
        <v>7</v>
      </c>
    </row>
    <row r="2788" spans="1:1">
      <c r="A2788" s="27">
        <v>2</v>
      </c>
    </row>
    <row r="2789" spans="1:1">
      <c r="A2789" s="27">
        <v>1413</v>
      </c>
    </row>
    <row r="2790" spans="1:1">
      <c r="A2790" s="27">
        <v>3.7</v>
      </c>
    </row>
    <row r="2791" spans="1:1">
      <c r="A2791" s="29">
        <v>0.8965277777777777</v>
      </c>
    </row>
    <row r="2792" spans="1:1">
      <c r="A2792" s="27">
        <v>26.8</v>
      </c>
    </row>
    <row r="2793" spans="1:1">
      <c r="A2793" s="28">
        <v>0</v>
      </c>
    </row>
    <row r="2794" spans="1:1">
      <c r="A2794" s="25">
        <v>134</v>
      </c>
    </row>
    <row r="2795" spans="1:1" ht="30">
      <c r="A2795" s="26" t="s">
        <v>343</v>
      </c>
    </row>
    <row r="2796" spans="1:1">
      <c r="A2796" s="27" t="s">
        <v>44</v>
      </c>
    </row>
    <row r="2797" spans="1:1">
      <c r="A2797" s="27">
        <v>416</v>
      </c>
    </row>
    <row r="2798" spans="1:1">
      <c r="A2798" s="27">
        <v>155</v>
      </c>
    </row>
    <row r="2799" spans="1:1">
      <c r="A2799" s="27">
        <v>168</v>
      </c>
    </row>
    <row r="2800" spans="1:1">
      <c r="A2800" s="27">
        <v>323</v>
      </c>
    </row>
    <row r="2801" spans="1:1">
      <c r="A2801" s="27">
        <v>31</v>
      </c>
    </row>
    <row r="2802" spans="1:1">
      <c r="A2802" s="27">
        <v>179</v>
      </c>
    </row>
    <row r="2803" spans="1:1">
      <c r="A2803" s="27">
        <v>0.78</v>
      </c>
    </row>
    <row r="2804" spans="1:1">
      <c r="A2804" s="27">
        <v>40</v>
      </c>
    </row>
    <row r="2805" spans="1:1">
      <c r="A2805" s="27">
        <v>90</v>
      </c>
    </row>
    <row r="2806" spans="1:1">
      <c r="A2806" s="27">
        <v>6</v>
      </c>
    </row>
    <row r="2807" spans="1:1">
      <c r="A2807" s="27">
        <v>7</v>
      </c>
    </row>
    <row r="2808" spans="1:1">
      <c r="A2808" s="27">
        <v>28</v>
      </c>
    </row>
    <row r="2809" spans="1:1">
      <c r="A2809" s="27">
        <v>6</v>
      </c>
    </row>
    <row r="2810" spans="1:1">
      <c r="A2810" s="27">
        <v>1229</v>
      </c>
    </row>
    <row r="2811" spans="1:1">
      <c r="A2811" s="27">
        <v>12.6</v>
      </c>
    </row>
    <row r="2812" spans="1:1">
      <c r="A2812" s="29">
        <v>0.74861111111111101</v>
      </c>
    </row>
    <row r="2813" spans="1:1">
      <c r="A2813" s="27">
        <v>23.7</v>
      </c>
    </row>
    <row r="2814" spans="1:1">
      <c r="A2814" s="28">
        <v>28.8</v>
      </c>
    </row>
    <row r="2815" spans="1:1">
      <c r="A2815" s="25">
        <v>135</v>
      </c>
    </row>
    <row r="2816" spans="1:1" ht="30">
      <c r="A2816" s="26" t="s">
        <v>230</v>
      </c>
    </row>
    <row r="2817" spans="1:1">
      <c r="A2817" s="27" t="s">
        <v>43</v>
      </c>
    </row>
    <row r="2818" spans="1:1">
      <c r="A2818" s="27">
        <v>661</v>
      </c>
    </row>
    <row r="2819" spans="1:1">
      <c r="A2819" s="27">
        <v>160</v>
      </c>
    </row>
    <row r="2820" spans="1:1">
      <c r="A2820" s="27">
        <v>162</v>
      </c>
    </row>
    <row r="2821" spans="1:1">
      <c r="A2821" s="27">
        <v>322</v>
      </c>
    </row>
    <row r="2822" spans="1:1">
      <c r="A2822" s="27">
        <v>-47</v>
      </c>
    </row>
    <row r="2823" spans="1:1">
      <c r="A2823" s="27">
        <v>741</v>
      </c>
    </row>
    <row r="2824" spans="1:1">
      <c r="A2824" s="27">
        <v>0.49</v>
      </c>
    </row>
    <row r="2825" spans="1:1">
      <c r="A2825" s="27">
        <v>34</v>
      </c>
    </row>
    <row r="2826" spans="1:1">
      <c r="A2826" s="27">
        <v>73</v>
      </c>
    </row>
    <row r="2827" spans="1:1">
      <c r="A2827" s="27">
        <v>1</v>
      </c>
    </row>
    <row r="2828" spans="1:1">
      <c r="A2828" s="27">
        <v>1</v>
      </c>
    </row>
    <row r="2829" spans="1:1">
      <c r="A2829" s="27">
        <v>20</v>
      </c>
    </row>
    <row r="2830" spans="1:1">
      <c r="A2830" s="27">
        <v>2</v>
      </c>
    </row>
    <row r="2831" spans="1:1">
      <c r="A2831" s="27">
        <v>1239</v>
      </c>
    </row>
    <row r="2832" spans="1:1">
      <c r="A2832" s="27">
        <v>12.9</v>
      </c>
    </row>
    <row r="2833" spans="1:1">
      <c r="A2833" s="29">
        <v>0.58194444444444449</v>
      </c>
    </row>
    <row r="2834" spans="1:1">
      <c r="A2834" s="27">
        <v>18.8</v>
      </c>
    </row>
    <row r="2835" spans="1:1">
      <c r="A2835" s="28">
        <v>30.9</v>
      </c>
    </row>
    <row r="2836" spans="1:1">
      <c r="A2836" s="25">
        <v>136</v>
      </c>
    </row>
    <row r="2837" spans="1:1" ht="30">
      <c r="A2837" s="26" t="s">
        <v>524</v>
      </c>
    </row>
    <row r="2838" spans="1:1">
      <c r="A2838" s="27" t="s">
        <v>43</v>
      </c>
    </row>
    <row r="2839" spans="1:1">
      <c r="A2839" s="27">
        <v>536</v>
      </c>
    </row>
    <row r="2840" spans="1:1">
      <c r="A2840" s="27">
        <v>129</v>
      </c>
    </row>
    <row r="2841" spans="1:1">
      <c r="A2841" s="27">
        <v>193</v>
      </c>
    </row>
    <row r="2842" spans="1:1">
      <c r="A2842" s="27">
        <v>322</v>
      </c>
    </row>
    <row r="2843" spans="1:1">
      <c r="A2843" s="27">
        <v>88</v>
      </c>
    </row>
    <row r="2844" spans="1:1">
      <c r="A2844" s="27">
        <v>134</v>
      </c>
    </row>
    <row r="2845" spans="1:1">
      <c r="A2845" s="27">
        <v>0.6</v>
      </c>
    </row>
    <row r="2846" spans="1:1">
      <c r="A2846" s="27">
        <v>30</v>
      </c>
    </row>
    <row r="2847" spans="1:1">
      <c r="A2847" s="27">
        <v>78</v>
      </c>
    </row>
    <row r="2848" spans="1:1">
      <c r="A2848" s="27">
        <v>5</v>
      </c>
    </row>
    <row r="2849" spans="1:1">
      <c r="A2849" s="27">
        <v>11</v>
      </c>
    </row>
    <row r="2850" spans="1:1">
      <c r="A2850" s="27">
        <v>16</v>
      </c>
    </row>
    <row r="2851" spans="1:1">
      <c r="A2851" s="27">
        <v>1</v>
      </c>
    </row>
    <row r="2852" spans="1:1">
      <c r="A2852" s="27">
        <v>1068</v>
      </c>
    </row>
    <row r="2853" spans="1:1">
      <c r="A2853" s="27">
        <v>12.1</v>
      </c>
    </row>
    <row r="2854" spans="1:1">
      <c r="A2854" s="29">
        <v>0.69791666666666663</v>
      </c>
    </row>
    <row r="2855" spans="1:1">
      <c r="A2855" s="27">
        <v>21.5</v>
      </c>
    </row>
    <row r="2856" spans="1:1">
      <c r="A2856" s="28">
        <v>38.5</v>
      </c>
    </row>
    <row r="2857" spans="1:1">
      <c r="A2857" s="25">
        <v>137</v>
      </c>
    </row>
    <row r="2858" spans="1:1" ht="30">
      <c r="A2858" s="26" t="s">
        <v>756</v>
      </c>
    </row>
    <row r="2859" spans="1:1">
      <c r="A2859" s="27" t="s">
        <v>653</v>
      </c>
    </row>
    <row r="2860" spans="1:1">
      <c r="A2860" s="27">
        <v>494</v>
      </c>
    </row>
    <row r="2861" spans="1:1">
      <c r="A2861" s="27">
        <v>144</v>
      </c>
    </row>
    <row r="2862" spans="1:1">
      <c r="A2862" s="27">
        <v>176</v>
      </c>
    </row>
    <row r="2863" spans="1:1">
      <c r="A2863" s="27">
        <v>320</v>
      </c>
    </row>
    <row r="2864" spans="1:1">
      <c r="A2864" s="27">
        <v>77</v>
      </c>
    </row>
    <row r="2865" spans="1:1">
      <c r="A2865" s="27">
        <v>156</v>
      </c>
    </row>
    <row r="2866" spans="1:1">
      <c r="A2866" s="27">
        <v>0.65</v>
      </c>
    </row>
    <row r="2867" spans="1:1">
      <c r="A2867" s="27">
        <v>27</v>
      </c>
    </row>
    <row r="2868" spans="1:1">
      <c r="A2868" s="27">
        <v>81</v>
      </c>
    </row>
    <row r="2869" spans="1:1">
      <c r="A2869" s="27">
        <v>8</v>
      </c>
    </row>
    <row r="2870" spans="1:1">
      <c r="A2870" s="27">
        <v>9</v>
      </c>
    </row>
    <row r="2871" spans="1:1">
      <c r="A2871" s="27">
        <v>28</v>
      </c>
    </row>
    <row r="2872" spans="1:1">
      <c r="A2872" s="27">
        <v>5</v>
      </c>
    </row>
    <row r="2873" spans="1:1">
      <c r="A2873" s="27">
        <v>1091</v>
      </c>
    </row>
    <row r="2874" spans="1:1">
      <c r="A2874" s="27">
        <v>13.2</v>
      </c>
    </row>
    <row r="2875" spans="1:1">
      <c r="A2875" s="29">
        <v>0.71805555555555556</v>
      </c>
    </row>
    <row r="2876" spans="1:1">
      <c r="A2876" s="27">
        <v>22.1</v>
      </c>
    </row>
    <row r="2877" spans="1:1">
      <c r="A2877" s="28">
        <v>49.5</v>
      </c>
    </row>
    <row r="2878" spans="1:1">
      <c r="A2878" s="25">
        <v>138</v>
      </c>
    </row>
    <row r="2879" spans="1:1" ht="30">
      <c r="A2879" s="26" t="s">
        <v>50</v>
      </c>
    </row>
    <row r="2880" spans="1:1">
      <c r="A2880" s="27" t="s">
        <v>42</v>
      </c>
    </row>
    <row r="2881" spans="1:1">
      <c r="A2881" s="27">
        <v>514</v>
      </c>
    </row>
    <row r="2882" spans="1:1">
      <c r="A2882" s="27">
        <v>78</v>
      </c>
    </row>
    <row r="2883" spans="1:1">
      <c r="A2883" s="27">
        <v>241</v>
      </c>
    </row>
    <row r="2884" spans="1:1">
      <c r="A2884" s="27">
        <v>319</v>
      </c>
    </row>
    <row r="2885" spans="1:1">
      <c r="A2885" s="27">
        <v>-72</v>
      </c>
    </row>
    <row r="2886" spans="1:1">
      <c r="A2886" s="27">
        <v>169</v>
      </c>
    </row>
    <row r="2887" spans="1:1">
      <c r="A2887" s="27">
        <v>0.62</v>
      </c>
    </row>
    <row r="2888" spans="1:1">
      <c r="A2888" s="27">
        <v>21</v>
      </c>
    </row>
    <row r="2889" spans="1:1">
      <c r="A2889" s="27">
        <v>120</v>
      </c>
    </row>
    <row r="2890" spans="1:1">
      <c r="A2890" s="27">
        <v>1</v>
      </c>
    </row>
    <row r="2891" spans="1:1">
      <c r="A2891" s="27">
        <v>2</v>
      </c>
    </row>
    <row r="2892" spans="1:1">
      <c r="A2892" s="27">
        <v>18</v>
      </c>
    </row>
    <row r="2893" spans="1:1">
      <c r="A2893" s="27">
        <v>4</v>
      </c>
    </row>
    <row r="2894" spans="1:1">
      <c r="A2894" s="27">
        <v>1143</v>
      </c>
    </row>
    <row r="2895" spans="1:1">
      <c r="A2895" s="27">
        <v>6.8</v>
      </c>
    </row>
    <row r="2896" spans="1:1">
      <c r="A2896" s="29">
        <v>0.90625</v>
      </c>
    </row>
    <row r="2897" spans="1:1">
      <c r="A2897" s="27">
        <v>25.7</v>
      </c>
    </row>
    <row r="2898" spans="1:1">
      <c r="A2898" s="28">
        <v>0</v>
      </c>
    </row>
    <row r="2899" spans="1:1">
      <c r="A2899" s="25">
        <v>139</v>
      </c>
    </row>
    <row r="2900" spans="1:1" ht="45">
      <c r="A2900" s="26" t="s">
        <v>1158</v>
      </c>
    </row>
    <row r="2901" spans="1:1">
      <c r="A2901" s="27" t="s">
        <v>42</v>
      </c>
    </row>
    <row r="2902" spans="1:1">
      <c r="A2902" s="27">
        <v>994</v>
      </c>
    </row>
    <row r="2903" spans="1:1">
      <c r="A2903" s="27">
        <v>71</v>
      </c>
    </row>
    <row r="2904" spans="1:1">
      <c r="A2904" s="27">
        <v>248</v>
      </c>
    </row>
    <row r="2905" spans="1:1">
      <c r="A2905" s="27">
        <v>319</v>
      </c>
    </row>
    <row r="2906" spans="1:1">
      <c r="A2906" s="27">
        <v>135</v>
      </c>
    </row>
    <row r="2907" spans="1:1">
      <c r="A2907" s="27">
        <v>392</v>
      </c>
    </row>
    <row r="2908" spans="1:1">
      <c r="A2908" s="27">
        <v>0.32</v>
      </c>
    </row>
    <row r="2909" spans="1:1">
      <c r="A2909" s="27">
        <v>11</v>
      </c>
    </row>
    <row r="2910" spans="1:1">
      <c r="A2910" s="27">
        <v>67</v>
      </c>
    </row>
    <row r="2911" spans="1:1">
      <c r="A2911" s="27">
        <v>2</v>
      </c>
    </row>
    <row r="2912" spans="1:1">
      <c r="A2912" s="27">
        <v>10</v>
      </c>
    </row>
    <row r="2913" spans="1:1">
      <c r="A2913" s="27">
        <v>12</v>
      </c>
    </row>
    <row r="2914" spans="1:1">
      <c r="A2914" s="27">
        <v>3</v>
      </c>
    </row>
    <row r="2915" spans="1:1">
      <c r="A2915" s="27">
        <v>1391</v>
      </c>
    </row>
    <row r="2916" spans="1:1">
      <c r="A2916" s="27">
        <v>5.0999999999999996</v>
      </c>
    </row>
    <row r="2917" spans="1:1">
      <c r="A2917" s="29">
        <v>0.9145833333333333</v>
      </c>
    </row>
    <row r="2918" spans="1:1">
      <c r="A2918" s="27">
        <v>27.1</v>
      </c>
    </row>
    <row r="2919" spans="1:1">
      <c r="A2919" s="28">
        <v>0</v>
      </c>
    </row>
    <row r="2920" spans="1:1">
      <c r="A2920" s="25">
        <v>140</v>
      </c>
    </row>
    <row r="2921" spans="1:1" ht="30">
      <c r="A2921" s="26" t="s">
        <v>108</v>
      </c>
    </row>
    <row r="2922" spans="1:1">
      <c r="A2922" s="27" t="s">
        <v>44</v>
      </c>
    </row>
    <row r="2923" spans="1:1">
      <c r="A2923" s="27">
        <v>451</v>
      </c>
    </row>
    <row r="2924" spans="1:1">
      <c r="A2924" s="27">
        <v>153</v>
      </c>
    </row>
    <row r="2925" spans="1:1">
      <c r="A2925" s="27">
        <v>165</v>
      </c>
    </row>
    <row r="2926" spans="1:1">
      <c r="A2926" s="27">
        <v>318</v>
      </c>
    </row>
    <row r="2927" spans="1:1">
      <c r="A2927" s="27">
        <v>-19</v>
      </c>
    </row>
    <row r="2928" spans="1:1">
      <c r="A2928" s="27">
        <v>159</v>
      </c>
    </row>
    <row r="2929" spans="1:1">
      <c r="A2929" s="27">
        <v>0.7</v>
      </c>
    </row>
    <row r="2930" spans="1:1">
      <c r="A2930" s="27">
        <v>54</v>
      </c>
    </row>
    <row r="2931" spans="1:1">
      <c r="A2931" s="27">
        <v>109</v>
      </c>
    </row>
    <row r="2932" spans="1:1">
      <c r="A2932" s="27">
        <v>0</v>
      </c>
    </row>
    <row r="2933" spans="1:1">
      <c r="A2933" s="27">
        <v>0</v>
      </c>
    </row>
    <row r="2934" spans="1:1">
      <c r="A2934" s="27">
        <v>27</v>
      </c>
    </row>
    <row r="2935" spans="1:1">
      <c r="A2935" s="27">
        <v>9</v>
      </c>
    </row>
    <row r="2936" spans="1:1">
      <c r="A2936" s="27">
        <v>1321</v>
      </c>
    </row>
    <row r="2937" spans="1:1">
      <c r="A2937" s="27">
        <v>11.6</v>
      </c>
    </row>
    <row r="2938" spans="1:1">
      <c r="A2938" s="29">
        <v>0.70486111111111116</v>
      </c>
    </row>
    <row r="2939" spans="1:1">
      <c r="A2939" s="27">
        <v>20.9</v>
      </c>
    </row>
    <row r="2940" spans="1:1">
      <c r="A2940" s="28">
        <v>48.7</v>
      </c>
    </row>
    <row r="2941" spans="1:1">
      <c r="A2941" s="25">
        <v>141</v>
      </c>
    </row>
    <row r="2942" spans="1:1" ht="45">
      <c r="A2942" s="26" t="s">
        <v>429</v>
      </c>
    </row>
    <row r="2943" spans="1:1">
      <c r="A2943" s="27" t="s">
        <v>44</v>
      </c>
    </row>
    <row r="2944" spans="1:1">
      <c r="A2944" s="27">
        <v>606</v>
      </c>
    </row>
    <row r="2945" spans="1:1">
      <c r="A2945" s="27">
        <v>129</v>
      </c>
    </row>
    <row r="2946" spans="1:1">
      <c r="A2946" s="27">
        <v>189</v>
      </c>
    </row>
    <row r="2947" spans="1:1">
      <c r="A2947" s="27">
        <v>318</v>
      </c>
    </row>
    <row r="2948" spans="1:1">
      <c r="A2948" s="27">
        <v>14</v>
      </c>
    </row>
    <row r="2949" spans="1:1">
      <c r="A2949" s="27">
        <v>296</v>
      </c>
    </row>
    <row r="2950" spans="1:1">
      <c r="A2950" s="27">
        <v>0.52</v>
      </c>
    </row>
    <row r="2951" spans="1:1">
      <c r="A2951" s="27">
        <v>35</v>
      </c>
    </row>
    <row r="2952" spans="1:1">
      <c r="A2952" s="27">
        <v>82</v>
      </c>
    </row>
    <row r="2953" spans="1:1">
      <c r="A2953" s="27">
        <v>0</v>
      </c>
    </row>
    <row r="2954" spans="1:1">
      <c r="A2954" s="27">
        <v>1</v>
      </c>
    </row>
    <row r="2955" spans="1:1">
      <c r="A2955" s="27">
        <v>18</v>
      </c>
    </row>
    <row r="2956" spans="1:1">
      <c r="A2956" s="27">
        <v>2</v>
      </c>
    </row>
    <row r="2957" spans="1:1">
      <c r="A2957" s="27">
        <v>971</v>
      </c>
    </row>
    <row r="2958" spans="1:1">
      <c r="A2958" s="27">
        <v>13.3</v>
      </c>
    </row>
    <row r="2959" spans="1:1">
      <c r="A2959" s="29">
        <v>0.58333333333333337</v>
      </c>
    </row>
    <row r="2960" spans="1:1">
      <c r="A2960" s="27">
        <v>18.100000000000001</v>
      </c>
    </row>
    <row r="2961" spans="1:1">
      <c r="A2961" s="28">
        <v>50.4</v>
      </c>
    </row>
    <row r="2962" spans="1:1">
      <c r="A2962" s="25">
        <v>142</v>
      </c>
    </row>
    <row r="2963" spans="1:1" ht="45">
      <c r="A2963" s="26" t="s">
        <v>409</v>
      </c>
    </row>
    <row r="2964" spans="1:1">
      <c r="A2964" s="27" t="s">
        <v>43</v>
      </c>
    </row>
    <row r="2965" spans="1:1">
      <c r="A2965" s="27">
        <v>411</v>
      </c>
    </row>
    <row r="2966" spans="1:1">
      <c r="A2966" s="27">
        <v>129</v>
      </c>
    </row>
    <row r="2967" spans="1:1">
      <c r="A2967" s="27">
        <v>186</v>
      </c>
    </row>
    <row r="2968" spans="1:1">
      <c r="A2968" s="27">
        <v>315</v>
      </c>
    </row>
    <row r="2969" spans="1:1">
      <c r="A2969" s="27">
        <v>72</v>
      </c>
    </row>
    <row r="2970" spans="1:1">
      <c r="A2970" s="27">
        <v>292</v>
      </c>
    </row>
    <row r="2971" spans="1:1">
      <c r="A2971" s="27">
        <v>0.77</v>
      </c>
    </row>
    <row r="2972" spans="1:1">
      <c r="A2972" s="27">
        <v>32</v>
      </c>
    </row>
    <row r="2973" spans="1:1">
      <c r="A2973" s="27">
        <v>84</v>
      </c>
    </row>
    <row r="2974" spans="1:1">
      <c r="A2974" s="27">
        <v>0</v>
      </c>
    </row>
    <row r="2975" spans="1:1">
      <c r="A2975" s="27">
        <v>0</v>
      </c>
    </row>
    <row r="2976" spans="1:1">
      <c r="A2976" s="27">
        <v>20</v>
      </c>
    </row>
    <row r="2977" spans="1:1">
      <c r="A2977" s="27">
        <v>5</v>
      </c>
    </row>
    <row r="2978" spans="1:1">
      <c r="A2978" s="27">
        <v>950</v>
      </c>
    </row>
    <row r="2979" spans="1:1">
      <c r="A2979" s="27">
        <v>13.6</v>
      </c>
    </row>
    <row r="2980" spans="1:1">
      <c r="A2980" s="29">
        <v>0.7270833333333333</v>
      </c>
    </row>
    <row r="2981" spans="1:1">
      <c r="A2981" s="27">
        <v>22.1</v>
      </c>
    </row>
    <row r="2982" spans="1:1">
      <c r="A2982" s="28">
        <v>41.2</v>
      </c>
    </row>
    <row r="2983" spans="1:1">
      <c r="A2983" s="25">
        <v>143</v>
      </c>
    </row>
    <row r="2984" spans="1:1" ht="45">
      <c r="A2984" s="26" t="s">
        <v>91</v>
      </c>
    </row>
    <row r="2985" spans="1:1">
      <c r="A2985" s="27" t="s">
        <v>43</v>
      </c>
    </row>
    <row r="2986" spans="1:1">
      <c r="A2986" s="27">
        <v>516</v>
      </c>
    </row>
    <row r="2987" spans="1:1">
      <c r="A2987" s="27">
        <v>162</v>
      </c>
    </row>
    <row r="2988" spans="1:1">
      <c r="A2988" s="27">
        <v>150</v>
      </c>
    </row>
    <row r="2989" spans="1:1">
      <c r="A2989" s="27">
        <v>312</v>
      </c>
    </row>
    <row r="2990" spans="1:1">
      <c r="A2990" s="27">
        <v>53</v>
      </c>
    </row>
    <row r="2991" spans="1:1">
      <c r="A2991" s="27">
        <v>287</v>
      </c>
    </row>
    <row r="2992" spans="1:1">
      <c r="A2992" s="27">
        <v>0.6</v>
      </c>
    </row>
    <row r="2993" spans="1:1">
      <c r="A2993" s="27">
        <v>34</v>
      </c>
    </row>
    <row r="2994" spans="1:1">
      <c r="A2994" s="27">
        <v>59</v>
      </c>
    </row>
    <row r="2995" spans="1:1">
      <c r="A2995" s="27">
        <v>1</v>
      </c>
    </row>
    <row r="2996" spans="1:1">
      <c r="A2996" s="27">
        <v>1</v>
      </c>
    </row>
    <row r="2997" spans="1:1">
      <c r="A2997" s="27">
        <v>19</v>
      </c>
    </row>
    <row r="2998" spans="1:1">
      <c r="A2998" s="27">
        <v>0</v>
      </c>
    </row>
    <row r="2999" spans="1:1">
      <c r="A2999" s="27">
        <v>1628</v>
      </c>
    </row>
    <row r="3000" spans="1:1">
      <c r="A3000" s="27">
        <v>10</v>
      </c>
    </row>
    <row r="3001" spans="1:1">
      <c r="A3001" s="29">
        <v>0.66597222222222219</v>
      </c>
    </row>
    <row r="3002" spans="1:1">
      <c r="A3002" s="27">
        <v>21.8</v>
      </c>
    </row>
    <row r="3003" spans="1:1">
      <c r="A3003" s="28">
        <v>42.2</v>
      </c>
    </row>
    <row r="3004" spans="1:1">
      <c r="A3004" s="25">
        <v>144</v>
      </c>
    </row>
    <row r="3005" spans="1:1" ht="30">
      <c r="A3005" s="26" t="s">
        <v>292</v>
      </c>
    </row>
    <row r="3006" spans="1:1">
      <c r="A3006" s="27" t="s">
        <v>43</v>
      </c>
    </row>
    <row r="3007" spans="1:1">
      <c r="A3007" s="27">
        <v>523</v>
      </c>
    </row>
    <row r="3008" spans="1:1">
      <c r="A3008" s="27">
        <v>160</v>
      </c>
    </row>
    <row r="3009" spans="1:1">
      <c r="A3009" s="27">
        <v>151</v>
      </c>
    </row>
    <row r="3010" spans="1:1">
      <c r="A3010" s="27">
        <v>311</v>
      </c>
    </row>
    <row r="3011" spans="1:1">
      <c r="A3011" s="27">
        <v>9</v>
      </c>
    </row>
    <row r="3012" spans="1:1">
      <c r="A3012" s="27">
        <v>278</v>
      </c>
    </row>
    <row r="3013" spans="1:1">
      <c r="A3013" s="27">
        <v>0.59</v>
      </c>
    </row>
    <row r="3014" spans="1:1">
      <c r="A3014" s="27">
        <v>52</v>
      </c>
    </row>
    <row r="3015" spans="1:1">
      <c r="A3015" s="27">
        <v>105</v>
      </c>
    </row>
    <row r="3016" spans="1:1">
      <c r="A3016" s="27">
        <v>1</v>
      </c>
    </row>
    <row r="3017" spans="1:1">
      <c r="A3017" s="27">
        <v>1</v>
      </c>
    </row>
    <row r="3018" spans="1:1">
      <c r="A3018" s="27">
        <v>28</v>
      </c>
    </row>
    <row r="3019" spans="1:1">
      <c r="A3019" s="27">
        <v>5</v>
      </c>
    </row>
    <row r="3020" spans="1:1">
      <c r="A3020" s="27">
        <v>1277</v>
      </c>
    </row>
    <row r="3021" spans="1:1">
      <c r="A3021" s="27">
        <v>12.5</v>
      </c>
    </row>
    <row r="3022" spans="1:1">
      <c r="A3022" s="29">
        <v>0.65208333333333335</v>
      </c>
    </row>
    <row r="3023" spans="1:1">
      <c r="A3023" s="27">
        <v>20</v>
      </c>
    </row>
    <row r="3024" spans="1:1">
      <c r="A3024" s="28">
        <v>33.700000000000003</v>
      </c>
    </row>
    <row r="3025" spans="1:1">
      <c r="A3025" s="25">
        <v>145</v>
      </c>
    </row>
    <row r="3026" spans="1:1" ht="30">
      <c r="A3026" s="26" t="s">
        <v>97</v>
      </c>
    </row>
    <row r="3027" spans="1:1">
      <c r="A3027" s="27" t="s">
        <v>44</v>
      </c>
    </row>
    <row r="3028" spans="1:1">
      <c r="A3028" s="27">
        <v>535</v>
      </c>
    </row>
    <row r="3029" spans="1:1">
      <c r="A3029" s="27">
        <v>153</v>
      </c>
    </row>
    <row r="3030" spans="1:1">
      <c r="A3030" s="27">
        <v>157</v>
      </c>
    </row>
    <row r="3031" spans="1:1">
      <c r="A3031" s="27">
        <v>310</v>
      </c>
    </row>
    <row r="3032" spans="1:1">
      <c r="A3032" s="27">
        <v>14</v>
      </c>
    </row>
    <row r="3033" spans="1:1">
      <c r="A3033" s="27">
        <v>202</v>
      </c>
    </row>
    <row r="3034" spans="1:1">
      <c r="A3034" s="27">
        <v>0.57999999999999996</v>
      </c>
    </row>
    <row r="3035" spans="1:1">
      <c r="A3035" s="27">
        <v>40</v>
      </c>
    </row>
    <row r="3036" spans="1:1">
      <c r="A3036" s="27">
        <v>75</v>
      </c>
    </row>
    <row r="3037" spans="1:1">
      <c r="A3037" s="27">
        <v>0</v>
      </c>
    </row>
    <row r="3038" spans="1:1">
      <c r="A3038" s="27">
        <v>0</v>
      </c>
    </row>
    <row r="3039" spans="1:1">
      <c r="A3039" s="27">
        <v>26</v>
      </c>
    </row>
    <row r="3040" spans="1:1">
      <c r="A3040" s="27">
        <v>2</v>
      </c>
    </row>
    <row r="3041" spans="1:1">
      <c r="A3041" s="27">
        <v>1179</v>
      </c>
    </row>
    <row r="3042" spans="1:1">
      <c r="A3042" s="27">
        <v>13</v>
      </c>
    </row>
    <row r="3043" spans="1:1">
      <c r="A3043" s="29">
        <v>0.64861111111111114</v>
      </c>
    </row>
    <row r="3044" spans="1:1">
      <c r="A3044" s="27">
        <v>21.1</v>
      </c>
    </row>
    <row r="3045" spans="1:1">
      <c r="A3045" s="28">
        <v>37.6</v>
      </c>
    </row>
    <row r="3046" spans="1:1">
      <c r="A3046" s="25">
        <v>146</v>
      </c>
    </row>
    <row r="3047" spans="1:1" ht="30">
      <c r="A3047" s="26" t="s">
        <v>400</v>
      </c>
    </row>
    <row r="3048" spans="1:1">
      <c r="A3048" s="27" t="s">
        <v>44</v>
      </c>
    </row>
    <row r="3049" spans="1:1">
      <c r="A3049" s="27">
        <v>812</v>
      </c>
    </row>
    <row r="3050" spans="1:1">
      <c r="A3050" s="27">
        <v>131</v>
      </c>
    </row>
    <row r="3051" spans="1:1">
      <c r="A3051" s="27">
        <v>177</v>
      </c>
    </row>
    <row r="3052" spans="1:1">
      <c r="A3052" s="27">
        <v>308</v>
      </c>
    </row>
    <row r="3053" spans="1:1">
      <c r="A3053" s="27">
        <v>-79</v>
      </c>
    </row>
    <row r="3054" spans="1:1">
      <c r="A3054" s="27">
        <v>506</v>
      </c>
    </row>
    <row r="3055" spans="1:1">
      <c r="A3055" s="27">
        <v>0.38</v>
      </c>
    </row>
    <row r="3056" spans="1:1">
      <c r="A3056" s="27">
        <v>12</v>
      </c>
    </row>
    <row r="3057" spans="1:1">
      <c r="A3057" s="27">
        <v>37</v>
      </c>
    </row>
    <row r="3058" spans="1:1">
      <c r="A3058" s="27">
        <v>9</v>
      </c>
    </row>
    <row r="3059" spans="1:1">
      <c r="A3059" s="27">
        <v>12</v>
      </c>
    </row>
    <row r="3060" spans="1:1">
      <c r="A3060" s="27">
        <v>21</v>
      </c>
    </row>
    <row r="3061" spans="1:1">
      <c r="A3061" s="27">
        <v>3</v>
      </c>
    </row>
    <row r="3062" spans="1:1">
      <c r="A3062" s="27">
        <v>1394</v>
      </c>
    </row>
    <row r="3063" spans="1:1">
      <c r="A3063" s="27">
        <v>9.4</v>
      </c>
    </row>
    <row r="3064" spans="1:1">
      <c r="A3064" s="29">
        <v>0.63888888888888895</v>
      </c>
    </row>
    <row r="3065" spans="1:1">
      <c r="A3065" s="27">
        <v>20.399999999999999</v>
      </c>
    </row>
    <row r="3066" spans="1:1">
      <c r="A3066" s="28">
        <v>43.5</v>
      </c>
    </row>
    <row r="3067" spans="1:1">
      <c r="A3067" s="25">
        <v>147</v>
      </c>
    </row>
    <row r="3068" spans="1:1" ht="30">
      <c r="A3068" s="26" t="s">
        <v>350</v>
      </c>
    </row>
    <row r="3069" spans="1:1">
      <c r="A3069" s="27" t="s">
        <v>43</v>
      </c>
    </row>
    <row r="3070" spans="1:1">
      <c r="A3070" s="27">
        <v>619</v>
      </c>
    </row>
    <row r="3071" spans="1:1">
      <c r="A3071" s="27">
        <v>146</v>
      </c>
    </row>
    <row r="3072" spans="1:1">
      <c r="A3072" s="27">
        <v>160</v>
      </c>
    </row>
    <row r="3073" spans="1:1">
      <c r="A3073" s="27">
        <v>306</v>
      </c>
    </row>
    <row r="3074" spans="1:1">
      <c r="A3074" s="27">
        <v>54</v>
      </c>
    </row>
    <row r="3075" spans="1:1">
      <c r="A3075" s="27">
        <v>240</v>
      </c>
    </row>
    <row r="3076" spans="1:1">
      <c r="A3076" s="27">
        <v>0.49</v>
      </c>
    </row>
    <row r="3077" spans="1:1">
      <c r="A3077" s="27">
        <v>38</v>
      </c>
    </row>
    <row r="3078" spans="1:1">
      <c r="A3078" s="27">
        <v>70</v>
      </c>
    </row>
    <row r="3079" spans="1:1">
      <c r="A3079" s="27">
        <v>0</v>
      </c>
    </row>
    <row r="3080" spans="1:1">
      <c r="A3080" s="27">
        <v>0</v>
      </c>
    </row>
    <row r="3081" spans="1:1">
      <c r="A3081" s="27">
        <v>20</v>
      </c>
    </row>
    <row r="3082" spans="1:1">
      <c r="A3082" s="27">
        <v>2</v>
      </c>
    </row>
    <row r="3083" spans="1:1">
      <c r="A3083" s="27">
        <v>1576</v>
      </c>
    </row>
    <row r="3084" spans="1:1">
      <c r="A3084" s="27">
        <v>9.3000000000000007</v>
      </c>
    </row>
    <row r="3085" spans="1:1">
      <c r="A3085" s="29">
        <v>0.62430555555555556</v>
      </c>
    </row>
    <row r="3086" spans="1:1">
      <c r="A3086" s="27">
        <v>20.100000000000001</v>
      </c>
    </row>
    <row r="3087" spans="1:1">
      <c r="A3087" s="28">
        <v>40.700000000000003</v>
      </c>
    </row>
    <row r="3088" spans="1:1">
      <c r="A3088" s="25">
        <v>148</v>
      </c>
    </row>
    <row r="3089" spans="1:1" ht="45">
      <c r="A3089" s="26" t="s">
        <v>208</v>
      </c>
    </row>
    <row r="3090" spans="1:1">
      <c r="A3090" s="27" t="s">
        <v>653</v>
      </c>
    </row>
    <row r="3091" spans="1:1">
      <c r="A3091" s="27">
        <v>509</v>
      </c>
    </row>
    <row r="3092" spans="1:1">
      <c r="A3092" s="27">
        <v>129</v>
      </c>
    </row>
    <row r="3093" spans="1:1">
      <c r="A3093" s="27">
        <v>177</v>
      </c>
    </row>
    <row r="3094" spans="1:1">
      <c r="A3094" s="27">
        <v>306</v>
      </c>
    </row>
    <row r="3095" spans="1:1">
      <c r="A3095" s="27">
        <v>-56</v>
      </c>
    </row>
    <row r="3096" spans="1:1">
      <c r="A3096" s="27">
        <v>187</v>
      </c>
    </row>
    <row r="3097" spans="1:1">
      <c r="A3097" s="27">
        <v>0.6</v>
      </c>
    </row>
    <row r="3098" spans="1:1">
      <c r="A3098" s="27">
        <v>40</v>
      </c>
    </row>
    <row r="3099" spans="1:1">
      <c r="A3099" s="27">
        <v>103</v>
      </c>
    </row>
    <row r="3100" spans="1:1">
      <c r="A3100" s="27">
        <v>0</v>
      </c>
    </row>
    <row r="3101" spans="1:1">
      <c r="A3101" s="27">
        <v>0</v>
      </c>
    </row>
    <row r="3102" spans="1:1">
      <c r="A3102" s="27">
        <v>21</v>
      </c>
    </row>
    <row r="3103" spans="1:1">
      <c r="A3103" s="27">
        <v>7</v>
      </c>
    </row>
    <row r="3104" spans="1:1">
      <c r="A3104" s="27">
        <v>1068</v>
      </c>
    </row>
    <row r="3105" spans="1:1">
      <c r="A3105" s="27">
        <v>12.1</v>
      </c>
    </row>
    <row r="3106" spans="1:1">
      <c r="A3106" s="29">
        <v>0.6430555555555556</v>
      </c>
    </row>
    <row r="3107" spans="1:1">
      <c r="A3107" s="27">
        <v>20.6</v>
      </c>
    </row>
    <row r="3108" spans="1:1">
      <c r="A3108" s="28">
        <v>45.4</v>
      </c>
    </row>
    <row r="3109" spans="1:1">
      <c r="A3109" s="25">
        <v>149</v>
      </c>
    </row>
    <row r="3110" spans="1:1" ht="30">
      <c r="A3110" s="26" t="s">
        <v>679</v>
      </c>
    </row>
    <row r="3111" spans="1:1">
      <c r="A3111" s="27" t="s">
        <v>42</v>
      </c>
    </row>
    <row r="3112" spans="1:1">
      <c r="A3112" s="27">
        <v>485</v>
      </c>
    </row>
    <row r="3113" spans="1:1">
      <c r="A3113" s="27">
        <v>61</v>
      </c>
    </row>
    <row r="3114" spans="1:1">
      <c r="A3114" s="27">
        <v>245</v>
      </c>
    </row>
    <row r="3115" spans="1:1">
      <c r="A3115" s="27">
        <v>306</v>
      </c>
    </row>
    <row r="3116" spans="1:1">
      <c r="A3116" s="27">
        <v>33</v>
      </c>
    </row>
    <row r="3117" spans="1:1">
      <c r="A3117" s="27">
        <v>199</v>
      </c>
    </row>
    <row r="3118" spans="1:1">
      <c r="A3118" s="27">
        <v>0.63</v>
      </c>
    </row>
    <row r="3119" spans="1:1">
      <c r="A3119" s="27">
        <v>22</v>
      </c>
    </row>
    <row r="3120" spans="1:1">
      <c r="A3120" s="27">
        <v>144</v>
      </c>
    </row>
    <row r="3121" spans="1:1">
      <c r="A3121" s="27">
        <v>1</v>
      </c>
    </row>
    <row r="3122" spans="1:1">
      <c r="A3122" s="27">
        <v>1</v>
      </c>
    </row>
    <row r="3123" spans="1:1">
      <c r="A3123" s="27">
        <v>12</v>
      </c>
    </row>
    <row r="3124" spans="1:1">
      <c r="A3124" s="27">
        <v>3</v>
      </c>
    </row>
    <row r="3125" spans="1:1">
      <c r="A3125" s="27">
        <v>1239</v>
      </c>
    </row>
    <row r="3126" spans="1:1">
      <c r="A3126" s="27">
        <v>4.9000000000000004</v>
      </c>
    </row>
    <row r="3127" spans="1:1">
      <c r="A3127" s="29">
        <v>0.84583333333333333</v>
      </c>
    </row>
    <row r="3128" spans="1:1">
      <c r="A3128" s="27">
        <v>25</v>
      </c>
    </row>
    <row r="3129" spans="1:1">
      <c r="A3129" s="28">
        <v>60</v>
      </c>
    </row>
    <row r="3130" spans="1:1">
      <c r="A3130" s="25">
        <v>150</v>
      </c>
    </row>
    <row r="3131" spans="1:1" ht="45">
      <c r="A3131" s="26" t="s">
        <v>853</v>
      </c>
    </row>
    <row r="3132" spans="1:1">
      <c r="A3132" s="27" t="s">
        <v>44</v>
      </c>
    </row>
    <row r="3133" spans="1:1">
      <c r="A3133" s="27">
        <v>552</v>
      </c>
    </row>
    <row r="3134" spans="1:1">
      <c r="A3134" s="27">
        <v>133</v>
      </c>
    </row>
    <row r="3135" spans="1:1">
      <c r="A3135" s="27">
        <v>171</v>
      </c>
    </row>
    <row r="3136" spans="1:1">
      <c r="A3136" s="27">
        <v>304</v>
      </c>
    </row>
    <row r="3137" spans="1:1">
      <c r="A3137" s="27">
        <v>-6</v>
      </c>
    </row>
    <row r="3138" spans="1:1">
      <c r="A3138" s="27">
        <v>343</v>
      </c>
    </row>
    <row r="3139" spans="1:1">
      <c r="A3139" s="27">
        <v>0.55000000000000004</v>
      </c>
    </row>
    <row r="3140" spans="1:1">
      <c r="A3140" s="27">
        <v>34</v>
      </c>
    </row>
    <row r="3141" spans="1:1">
      <c r="A3141" s="27">
        <v>75</v>
      </c>
    </row>
    <row r="3142" spans="1:1">
      <c r="A3142" s="27">
        <v>2</v>
      </c>
    </row>
    <row r="3143" spans="1:1">
      <c r="A3143" s="27">
        <v>4</v>
      </c>
    </row>
    <row r="3144" spans="1:1">
      <c r="A3144" s="27">
        <v>22</v>
      </c>
    </row>
    <row r="3145" spans="1:1">
      <c r="A3145" s="27">
        <v>3</v>
      </c>
    </row>
    <row r="3146" spans="1:1">
      <c r="A3146" s="27">
        <v>976</v>
      </c>
    </row>
    <row r="3147" spans="1:1">
      <c r="A3147" s="27">
        <v>13.6</v>
      </c>
    </row>
    <row r="3148" spans="1:1">
      <c r="A3148" s="29">
        <v>0.6479166666666667</v>
      </c>
    </row>
    <row r="3149" spans="1:1">
      <c r="A3149" s="27">
        <v>20.2</v>
      </c>
    </row>
    <row r="3150" spans="1:1">
      <c r="A3150" s="28">
        <v>40.5</v>
      </c>
    </row>
    <row r="3151" spans="1:1">
      <c r="A3151" s="25">
        <v>151</v>
      </c>
    </row>
    <row r="3152" spans="1:1" ht="30">
      <c r="A3152" s="26" t="s">
        <v>129</v>
      </c>
    </row>
    <row r="3153" spans="1:1">
      <c r="A3153" s="27" t="s">
        <v>44</v>
      </c>
    </row>
    <row r="3154" spans="1:1">
      <c r="A3154" s="27">
        <v>452</v>
      </c>
    </row>
    <row r="3155" spans="1:1">
      <c r="A3155" s="27">
        <v>102</v>
      </c>
    </row>
    <row r="3156" spans="1:1">
      <c r="A3156" s="27">
        <v>201</v>
      </c>
    </row>
    <row r="3157" spans="1:1">
      <c r="A3157" s="27">
        <v>303</v>
      </c>
    </row>
    <row r="3158" spans="1:1">
      <c r="A3158" s="27">
        <v>115</v>
      </c>
    </row>
    <row r="3159" spans="1:1">
      <c r="A3159" s="27">
        <v>139</v>
      </c>
    </row>
    <row r="3160" spans="1:1">
      <c r="A3160" s="27">
        <v>0.67</v>
      </c>
    </row>
    <row r="3161" spans="1:1">
      <c r="A3161" s="27">
        <v>20</v>
      </c>
    </row>
    <row r="3162" spans="1:1">
      <c r="A3162" s="27">
        <v>65</v>
      </c>
    </row>
    <row r="3163" spans="1:1">
      <c r="A3163" s="27">
        <v>7</v>
      </c>
    </row>
    <row r="3164" spans="1:1">
      <c r="A3164" s="27">
        <v>11</v>
      </c>
    </row>
    <row r="3165" spans="1:1">
      <c r="A3165" s="27">
        <v>19</v>
      </c>
    </row>
    <row r="3166" spans="1:1">
      <c r="A3166" s="27">
        <v>2</v>
      </c>
    </row>
    <row r="3167" spans="1:1">
      <c r="A3167" s="27">
        <v>863</v>
      </c>
    </row>
    <row r="3168" spans="1:1">
      <c r="A3168" s="27">
        <v>11.8</v>
      </c>
    </row>
    <row r="3169" spans="1:1">
      <c r="A3169" s="29">
        <v>0.71944444444444444</v>
      </c>
    </row>
    <row r="3170" spans="1:1">
      <c r="A3170" s="27">
        <v>22.1</v>
      </c>
    </row>
    <row r="3171" spans="1:1">
      <c r="A3171" s="28">
        <v>20.9</v>
      </c>
    </row>
    <row r="3172" spans="1:1">
      <c r="A3172" s="25">
        <v>152</v>
      </c>
    </row>
    <row r="3173" spans="1:1" ht="30">
      <c r="A3173" s="26" t="s">
        <v>396</v>
      </c>
    </row>
    <row r="3174" spans="1:1">
      <c r="A3174" s="27" t="s">
        <v>42</v>
      </c>
    </row>
    <row r="3175" spans="1:1">
      <c r="A3175" s="27">
        <v>1065</v>
      </c>
    </row>
    <row r="3176" spans="1:1">
      <c r="A3176" s="27">
        <v>58</v>
      </c>
    </row>
    <row r="3177" spans="1:1">
      <c r="A3177" s="27">
        <v>244</v>
      </c>
    </row>
    <row r="3178" spans="1:1">
      <c r="A3178" s="27">
        <v>302</v>
      </c>
    </row>
    <row r="3179" spans="1:1">
      <c r="A3179" s="27">
        <v>-30</v>
      </c>
    </row>
    <row r="3180" spans="1:1">
      <c r="A3180" s="27">
        <v>431</v>
      </c>
    </row>
    <row r="3181" spans="1:1">
      <c r="A3181" s="27">
        <v>0.28000000000000003</v>
      </c>
    </row>
    <row r="3182" spans="1:1">
      <c r="A3182" s="27">
        <v>21</v>
      </c>
    </row>
    <row r="3183" spans="1:1">
      <c r="A3183" s="27">
        <v>79</v>
      </c>
    </row>
    <row r="3184" spans="1:1">
      <c r="A3184" s="27">
        <v>2</v>
      </c>
    </row>
    <row r="3185" spans="1:1">
      <c r="A3185" s="27">
        <v>12</v>
      </c>
    </row>
    <row r="3186" spans="1:1">
      <c r="A3186" s="27">
        <v>9</v>
      </c>
    </row>
    <row r="3187" spans="1:1">
      <c r="A3187" s="27">
        <v>4</v>
      </c>
    </row>
    <row r="3188" spans="1:1">
      <c r="A3188" s="27">
        <v>1367</v>
      </c>
    </row>
    <row r="3189" spans="1:1">
      <c r="A3189" s="27">
        <v>4.2</v>
      </c>
    </row>
    <row r="3190" spans="1:1">
      <c r="A3190" s="29">
        <v>0.88750000000000007</v>
      </c>
    </row>
    <row r="3191" spans="1:1">
      <c r="A3191" s="27">
        <v>26.7</v>
      </c>
    </row>
    <row r="3192" spans="1:1">
      <c r="A3192" s="28">
        <v>60</v>
      </c>
    </row>
    <row r="3193" spans="1:1">
      <c r="A3193" s="25">
        <v>153</v>
      </c>
    </row>
    <row r="3194" spans="1:1" ht="30">
      <c r="A3194" s="26" t="s">
        <v>71</v>
      </c>
    </row>
    <row r="3195" spans="1:1">
      <c r="A3195" s="27" t="s">
        <v>653</v>
      </c>
    </row>
    <row r="3196" spans="1:1">
      <c r="A3196" s="27">
        <v>314</v>
      </c>
    </row>
    <row r="3197" spans="1:1">
      <c r="A3197" s="27">
        <v>118</v>
      </c>
    </row>
    <row r="3198" spans="1:1">
      <c r="A3198" s="27">
        <v>179</v>
      </c>
    </row>
    <row r="3199" spans="1:1">
      <c r="A3199" s="27">
        <v>297</v>
      </c>
    </row>
    <row r="3200" spans="1:1">
      <c r="A3200" s="27">
        <v>-56</v>
      </c>
    </row>
    <row r="3201" spans="1:1">
      <c r="A3201" s="27">
        <v>116</v>
      </c>
    </row>
    <row r="3202" spans="1:1">
      <c r="A3202" s="27">
        <v>0.95</v>
      </c>
    </row>
    <row r="3203" spans="1:1">
      <c r="A3203" s="27">
        <v>33</v>
      </c>
    </row>
    <row r="3204" spans="1:1">
      <c r="A3204" s="27">
        <v>102</v>
      </c>
    </row>
    <row r="3205" spans="1:1">
      <c r="A3205" s="27">
        <v>0</v>
      </c>
    </row>
    <row r="3206" spans="1:1">
      <c r="A3206" s="27">
        <v>2</v>
      </c>
    </row>
    <row r="3207" spans="1:1">
      <c r="A3207" s="27">
        <v>18</v>
      </c>
    </row>
    <row r="3208" spans="1:1">
      <c r="A3208" s="27">
        <v>6</v>
      </c>
    </row>
    <row r="3209" spans="1:1">
      <c r="A3209" s="27">
        <v>1140</v>
      </c>
    </row>
    <row r="3210" spans="1:1">
      <c r="A3210" s="27">
        <v>10.3</v>
      </c>
    </row>
    <row r="3211" spans="1:1">
      <c r="A3211" s="29">
        <v>0.8340277777777777</v>
      </c>
    </row>
    <row r="3212" spans="1:1">
      <c r="A3212" s="27">
        <v>22.6</v>
      </c>
    </row>
    <row r="3213" spans="1:1">
      <c r="A3213" s="28">
        <v>43.3</v>
      </c>
    </row>
    <row r="3214" spans="1:1">
      <c r="A3214" s="25">
        <v>154</v>
      </c>
    </row>
    <row r="3215" spans="1:1" ht="30">
      <c r="A3215" s="26" t="s">
        <v>752</v>
      </c>
    </row>
    <row r="3216" spans="1:1">
      <c r="A3216" s="27" t="s">
        <v>653</v>
      </c>
    </row>
    <row r="3217" spans="1:1">
      <c r="A3217" s="27">
        <v>917</v>
      </c>
    </row>
    <row r="3218" spans="1:1">
      <c r="A3218" s="27">
        <v>129</v>
      </c>
    </row>
    <row r="3219" spans="1:1">
      <c r="A3219" s="27">
        <v>167</v>
      </c>
    </row>
    <row r="3220" spans="1:1">
      <c r="A3220" s="27">
        <v>296</v>
      </c>
    </row>
    <row r="3221" spans="1:1">
      <c r="A3221" s="27">
        <v>-52</v>
      </c>
    </row>
    <row r="3222" spans="1:1">
      <c r="A3222" s="27">
        <v>462</v>
      </c>
    </row>
    <row r="3223" spans="1:1">
      <c r="A3223" s="27">
        <v>0.32</v>
      </c>
    </row>
    <row r="3224" spans="1:1">
      <c r="A3224" s="27">
        <v>9</v>
      </c>
    </row>
    <row r="3225" spans="1:1">
      <c r="A3225" s="27">
        <v>23</v>
      </c>
    </row>
    <row r="3226" spans="1:1">
      <c r="A3226" s="27">
        <v>11</v>
      </c>
    </row>
    <row r="3227" spans="1:1">
      <c r="A3227" s="27">
        <v>19</v>
      </c>
    </row>
    <row r="3228" spans="1:1">
      <c r="A3228" s="27">
        <v>22</v>
      </c>
    </row>
    <row r="3229" spans="1:1">
      <c r="A3229" s="27">
        <v>2</v>
      </c>
    </row>
    <row r="3230" spans="1:1">
      <c r="A3230" s="27">
        <v>1248</v>
      </c>
    </row>
    <row r="3231" spans="1:1">
      <c r="A3231" s="27">
        <v>10.3</v>
      </c>
    </row>
    <row r="3232" spans="1:1">
      <c r="A3232" s="29">
        <v>0.58750000000000002</v>
      </c>
    </row>
    <row r="3233" spans="1:1">
      <c r="A3233" s="27">
        <v>20.100000000000001</v>
      </c>
    </row>
    <row r="3234" spans="1:1">
      <c r="A3234" s="28">
        <v>49.9</v>
      </c>
    </row>
    <row r="3235" spans="1:1">
      <c r="A3235" s="25">
        <v>155</v>
      </c>
    </row>
    <row r="3236" spans="1:1" ht="30">
      <c r="A3236" s="26" t="s">
        <v>905</v>
      </c>
    </row>
    <row r="3237" spans="1:1">
      <c r="A3237" s="27" t="s">
        <v>42</v>
      </c>
    </row>
    <row r="3238" spans="1:1">
      <c r="A3238" s="27">
        <v>999</v>
      </c>
    </row>
    <row r="3239" spans="1:1">
      <c r="A3239" s="27">
        <v>88</v>
      </c>
    </row>
    <row r="3240" spans="1:1">
      <c r="A3240" s="27">
        <v>208</v>
      </c>
    </row>
    <row r="3241" spans="1:1">
      <c r="A3241" s="27">
        <v>296</v>
      </c>
    </row>
    <row r="3242" spans="1:1">
      <c r="A3242" s="27">
        <v>16</v>
      </c>
    </row>
    <row r="3243" spans="1:1">
      <c r="A3243" s="27">
        <v>620</v>
      </c>
    </row>
    <row r="3244" spans="1:1">
      <c r="A3244" s="27">
        <v>0.3</v>
      </c>
    </row>
    <row r="3245" spans="1:1">
      <c r="A3245" s="27">
        <v>16</v>
      </c>
    </row>
    <row r="3246" spans="1:1">
      <c r="A3246" s="27">
        <v>61</v>
      </c>
    </row>
    <row r="3247" spans="1:1">
      <c r="A3247" s="27">
        <v>4</v>
      </c>
    </row>
    <row r="3248" spans="1:1">
      <c r="A3248" s="27">
        <v>12</v>
      </c>
    </row>
    <row r="3249" spans="1:1">
      <c r="A3249" s="27">
        <v>20</v>
      </c>
    </row>
    <row r="3250" spans="1:1">
      <c r="A3250" s="27">
        <v>4</v>
      </c>
    </row>
    <row r="3251" spans="1:1">
      <c r="A3251" s="27">
        <v>1374</v>
      </c>
    </row>
    <row r="3252" spans="1:1">
      <c r="A3252" s="27">
        <v>6.4</v>
      </c>
    </row>
    <row r="3253" spans="1:1">
      <c r="A3253" s="29">
        <v>0.86041666666666661</v>
      </c>
    </row>
    <row r="3254" spans="1:1">
      <c r="A3254" s="27">
        <v>26.8</v>
      </c>
    </row>
    <row r="3255" spans="1:1">
      <c r="A3255" s="28">
        <v>33.299999999999997</v>
      </c>
    </row>
    <row r="3256" spans="1:1">
      <c r="A3256" s="25">
        <v>156</v>
      </c>
    </row>
    <row r="3257" spans="1:1" ht="45">
      <c r="A3257" s="26" t="s">
        <v>394</v>
      </c>
    </row>
    <row r="3258" spans="1:1">
      <c r="A3258" s="27" t="s">
        <v>42</v>
      </c>
    </row>
    <row r="3259" spans="1:1">
      <c r="A3259" s="27">
        <v>637</v>
      </c>
    </row>
    <row r="3260" spans="1:1">
      <c r="A3260" s="27">
        <v>63</v>
      </c>
    </row>
    <row r="3261" spans="1:1">
      <c r="A3261" s="27">
        <v>233</v>
      </c>
    </row>
    <row r="3262" spans="1:1">
      <c r="A3262" s="27">
        <v>296</v>
      </c>
    </row>
    <row r="3263" spans="1:1">
      <c r="A3263" s="27">
        <v>180</v>
      </c>
    </row>
    <row r="3264" spans="1:1">
      <c r="A3264" s="27">
        <v>264</v>
      </c>
    </row>
    <row r="3265" spans="1:1">
      <c r="A3265" s="27">
        <v>0.46</v>
      </c>
    </row>
    <row r="3266" spans="1:1">
      <c r="A3266" s="27">
        <v>9</v>
      </c>
    </row>
    <row r="3267" spans="1:1">
      <c r="A3267" s="27">
        <v>64</v>
      </c>
    </row>
    <row r="3268" spans="1:1">
      <c r="A3268" s="27">
        <v>4</v>
      </c>
    </row>
    <row r="3269" spans="1:1">
      <c r="A3269" s="27">
        <v>17</v>
      </c>
    </row>
    <row r="3270" spans="1:1">
      <c r="A3270" s="27">
        <v>11</v>
      </c>
    </row>
    <row r="3271" spans="1:1">
      <c r="A3271" s="27">
        <v>2</v>
      </c>
    </row>
    <row r="3272" spans="1:1">
      <c r="A3272" s="27">
        <v>1079</v>
      </c>
    </row>
    <row r="3273" spans="1:1">
      <c r="A3273" s="27">
        <v>5.8</v>
      </c>
    </row>
    <row r="3274" spans="1:1">
      <c r="A3274" s="29">
        <v>0.96805555555555556</v>
      </c>
    </row>
    <row r="3275" spans="1:1">
      <c r="A3275" s="27">
        <v>28.3</v>
      </c>
    </row>
    <row r="3276" spans="1:1">
      <c r="A3276" s="28">
        <v>50</v>
      </c>
    </row>
    <row r="3277" spans="1:1">
      <c r="A3277" s="25">
        <v>157</v>
      </c>
    </row>
    <row r="3278" spans="1:1" ht="30">
      <c r="A3278" s="26" t="s">
        <v>210</v>
      </c>
    </row>
    <row r="3279" spans="1:1">
      <c r="A3279" s="27" t="s">
        <v>42</v>
      </c>
    </row>
    <row r="3280" spans="1:1">
      <c r="A3280" s="27">
        <v>896</v>
      </c>
    </row>
    <row r="3281" spans="1:1">
      <c r="A3281" s="27">
        <v>68</v>
      </c>
    </row>
    <row r="3282" spans="1:1">
      <c r="A3282" s="27">
        <v>227</v>
      </c>
    </row>
    <row r="3283" spans="1:1">
      <c r="A3283" s="27">
        <v>295</v>
      </c>
    </row>
    <row r="3284" spans="1:1">
      <c r="A3284" s="27">
        <v>-106</v>
      </c>
    </row>
    <row r="3285" spans="1:1">
      <c r="A3285" s="27">
        <v>503</v>
      </c>
    </row>
    <row r="3286" spans="1:1">
      <c r="A3286" s="27">
        <v>0.33</v>
      </c>
    </row>
    <row r="3287" spans="1:1">
      <c r="A3287" s="27">
        <v>29</v>
      </c>
    </row>
    <row r="3288" spans="1:1">
      <c r="A3288" s="27">
        <v>121</v>
      </c>
    </row>
    <row r="3289" spans="1:1">
      <c r="A3289" s="27">
        <v>0</v>
      </c>
    </row>
    <row r="3290" spans="1:1">
      <c r="A3290" s="27">
        <v>4</v>
      </c>
    </row>
    <row r="3291" spans="1:1">
      <c r="A3291" s="27">
        <v>11</v>
      </c>
    </row>
    <row r="3292" spans="1:1">
      <c r="A3292" s="27">
        <v>3</v>
      </c>
    </row>
    <row r="3293" spans="1:1">
      <c r="A3293" s="27">
        <v>1374</v>
      </c>
    </row>
    <row r="3294" spans="1:1">
      <c r="A3294" s="27">
        <v>4.9000000000000004</v>
      </c>
    </row>
    <row r="3295" spans="1:1">
      <c r="A3295" s="29">
        <v>0.93333333333333324</v>
      </c>
    </row>
    <row r="3296" spans="1:1">
      <c r="A3296" s="27">
        <v>26</v>
      </c>
    </row>
    <row r="3297" spans="1:1">
      <c r="A3297" s="28">
        <v>50</v>
      </c>
    </row>
    <row r="3298" spans="1:1">
      <c r="A3298" s="25">
        <v>158</v>
      </c>
    </row>
    <row r="3299" spans="1:1" ht="30">
      <c r="A3299" s="26" t="s">
        <v>197</v>
      </c>
    </row>
    <row r="3300" spans="1:1">
      <c r="A3300" s="27" t="s">
        <v>42</v>
      </c>
    </row>
    <row r="3301" spans="1:1">
      <c r="A3301" s="27">
        <v>681</v>
      </c>
    </row>
    <row r="3302" spans="1:1">
      <c r="A3302" s="27">
        <v>62</v>
      </c>
    </row>
    <row r="3303" spans="1:1">
      <c r="A3303" s="27">
        <v>233</v>
      </c>
    </row>
    <row r="3304" spans="1:1">
      <c r="A3304" s="27">
        <v>295</v>
      </c>
    </row>
    <row r="3305" spans="1:1">
      <c r="A3305" s="27">
        <v>-20</v>
      </c>
    </row>
    <row r="3306" spans="1:1">
      <c r="A3306" s="27">
        <v>129</v>
      </c>
    </row>
    <row r="3307" spans="1:1">
      <c r="A3307" s="27">
        <v>0.43</v>
      </c>
    </row>
    <row r="3308" spans="1:1">
      <c r="A3308" s="27">
        <v>18</v>
      </c>
    </row>
    <row r="3309" spans="1:1">
      <c r="A3309" s="27">
        <v>102</v>
      </c>
    </row>
    <row r="3310" spans="1:1">
      <c r="A3310" s="27">
        <v>0</v>
      </c>
    </row>
    <row r="3311" spans="1:1">
      <c r="A3311" s="27">
        <v>1</v>
      </c>
    </row>
    <row r="3312" spans="1:1">
      <c r="A3312" s="27">
        <v>7</v>
      </c>
    </row>
    <row r="3313" spans="1:1">
      <c r="A3313" s="27">
        <v>2</v>
      </c>
    </row>
    <row r="3314" spans="1:1">
      <c r="A3314" s="27">
        <v>991</v>
      </c>
    </row>
    <row r="3315" spans="1:1">
      <c r="A3315" s="27">
        <v>6.3</v>
      </c>
    </row>
    <row r="3316" spans="1:1">
      <c r="A3316" s="29">
        <v>0.84930555555555554</v>
      </c>
    </row>
    <row r="3317" spans="1:1">
      <c r="A3317" s="27">
        <v>23.8</v>
      </c>
    </row>
    <row r="3318" spans="1:1">
      <c r="A3318" s="28">
        <v>0</v>
      </c>
    </row>
    <row r="3319" spans="1:1">
      <c r="A3319" s="25">
        <v>159</v>
      </c>
    </row>
    <row r="3320" spans="1:1" ht="30">
      <c r="A3320" s="26" t="s">
        <v>330</v>
      </c>
    </row>
    <row r="3321" spans="1:1">
      <c r="A3321" s="27" t="s">
        <v>42</v>
      </c>
    </row>
    <row r="3322" spans="1:1">
      <c r="A3322" s="27">
        <v>740</v>
      </c>
    </row>
    <row r="3323" spans="1:1">
      <c r="A3323" s="27">
        <v>78</v>
      </c>
    </row>
    <row r="3324" spans="1:1">
      <c r="A3324" s="27">
        <v>215</v>
      </c>
    </row>
    <row r="3325" spans="1:1">
      <c r="A3325" s="27">
        <v>293</v>
      </c>
    </row>
    <row r="3326" spans="1:1">
      <c r="A3326" s="27">
        <v>-42</v>
      </c>
    </row>
    <row r="3327" spans="1:1">
      <c r="A3327" s="27">
        <v>462</v>
      </c>
    </row>
    <row r="3328" spans="1:1">
      <c r="A3328" s="27">
        <v>0.4</v>
      </c>
    </row>
    <row r="3329" spans="1:1">
      <c r="A3329" s="27">
        <v>22</v>
      </c>
    </row>
    <row r="3330" spans="1:1">
      <c r="A3330" s="27">
        <v>90</v>
      </c>
    </row>
    <row r="3331" spans="1:1">
      <c r="A3331" s="27">
        <v>3</v>
      </c>
    </row>
    <row r="3332" spans="1:1">
      <c r="A3332" s="27">
        <v>7</v>
      </c>
    </row>
    <row r="3333" spans="1:1">
      <c r="A3333" s="27">
        <v>17</v>
      </c>
    </row>
    <row r="3334" spans="1:1">
      <c r="A3334" s="27">
        <v>6</v>
      </c>
    </row>
    <row r="3335" spans="1:1">
      <c r="A3335" s="27">
        <v>1565</v>
      </c>
    </row>
    <row r="3336" spans="1:1">
      <c r="A3336" s="27">
        <v>5</v>
      </c>
    </row>
    <row r="3337" spans="1:1">
      <c r="A3337" s="29">
        <v>0.9243055555555556</v>
      </c>
    </row>
    <row r="3338" spans="1:1">
      <c r="A3338" s="27">
        <v>28</v>
      </c>
    </row>
    <row r="3339" spans="1:1">
      <c r="A3339" s="28">
        <v>0</v>
      </c>
    </row>
    <row r="3340" spans="1:1">
      <c r="A3340" s="25">
        <v>160</v>
      </c>
    </row>
    <row r="3341" spans="1:1" ht="30">
      <c r="A3341" s="26" t="s">
        <v>147</v>
      </c>
    </row>
    <row r="3342" spans="1:1">
      <c r="A3342" s="27" t="s">
        <v>43</v>
      </c>
    </row>
    <row r="3343" spans="1:1">
      <c r="A3343" s="27">
        <v>572</v>
      </c>
    </row>
    <row r="3344" spans="1:1">
      <c r="A3344" s="27">
        <v>125</v>
      </c>
    </row>
    <row r="3345" spans="1:1">
      <c r="A3345" s="27">
        <v>166</v>
      </c>
    </row>
    <row r="3346" spans="1:1">
      <c r="A3346" s="27">
        <v>291</v>
      </c>
    </row>
    <row r="3347" spans="1:1">
      <c r="A3347" s="27">
        <v>-78</v>
      </c>
    </row>
    <row r="3348" spans="1:1">
      <c r="A3348" s="27">
        <v>192</v>
      </c>
    </row>
    <row r="3349" spans="1:1">
      <c r="A3349" s="27">
        <v>0.51</v>
      </c>
    </row>
    <row r="3350" spans="1:1">
      <c r="A3350" s="27">
        <v>30</v>
      </c>
    </row>
    <row r="3351" spans="1:1">
      <c r="A3351" s="27">
        <v>86</v>
      </c>
    </row>
    <row r="3352" spans="1:1">
      <c r="A3352" s="27">
        <v>1</v>
      </c>
    </row>
    <row r="3353" spans="1:1">
      <c r="A3353" s="27">
        <v>1</v>
      </c>
    </row>
    <row r="3354" spans="1:1">
      <c r="A3354" s="27">
        <v>10</v>
      </c>
    </row>
    <row r="3355" spans="1:1">
      <c r="A3355" s="27">
        <v>0</v>
      </c>
    </row>
    <row r="3356" spans="1:1">
      <c r="A3356" s="27">
        <v>1223</v>
      </c>
    </row>
    <row r="3357" spans="1:1">
      <c r="A3357" s="27">
        <v>10.199999999999999</v>
      </c>
    </row>
    <row r="3358" spans="1:1">
      <c r="A3358" s="29">
        <v>0.65138888888888891</v>
      </c>
    </row>
    <row r="3359" spans="1:1">
      <c r="A3359" s="27">
        <v>18.8</v>
      </c>
    </row>
    <row r="3360" spans="1:1">
      <c r="A3360" s="28">
        <v>40.5</v>
      </c>
    </row>
    <row r="3361" spans="1:1">
      <c r="A3361" s="25">
        <v>161</v>
      </c>
    </row>
    <row r="3362" spans="1:1" ht="45">
      <c r="A3362" s="26" t="s">
        <v>533</v>
      </c>
    </row>
    <row r="3363" spans="1:1">
      <c r="A3363" s="27" t="s">
        <v>653</v>
      </c>
    </row>
    <row r="3364" spans="1:1">
      <c r="A3364" s="27">
        <v>484</v>
      </c>
    </row>
    <row r="3365" spans="1:1">
      <c r="A3365" s="27">
        <v>105</v>
      </c>
    </row>
    <row r="3366" spans="1:1">
      <c r="A3366" s="27">
        <v>182</v>
      </c>
    </row>
    <row r="3367" spans="1:1">
      <c r="A3367" s="27">
        <v>287</v>
      </c>
    </row>
    <row r="3368" spans="1:1">
      <c r="A3368" s="27">
        <v>-43</v>
      </c>
    </row>
    <row r="3369" spans="1:1">
      <c r="A3369" s="27">
        <v>110</v>
      </c>
    </row>
    <row r="3370" spans="1:1">
      <c r="A3370" s="27">
        <v>0.59</v>
      </c>
    </row>
    <row r="3371" spans="1:1">
      <c r="A3371" s="27">
        <v>32</v>
      </c>
    </row>
    <row r="3372" spans="1:1">
      <c r="A3372" s="27">
        <v>91</v>
      </c>
    </row>
    <row r="3373" spans="1:1">
      <c r="A3373" s="27">
        <v>2</v>
      </c>
    </row>
    <row r="3374" spans="1:1">
      <c r="A3374" s="27">
        <v>10</v>
      </c>
    </row>
    <row r="3375" spans="1:1">
      <c r="A3375" s="27">
        <v>22</v>
      </c>
    </row>
    <row r="3376" spans="1:1">
      <c r="A3376" s="27">
        <v>3</v>
      </c>
    </row>
    <row r="3377" spans="1:1">
      <c r="A3377" s="27">
        <v>974</v>
      </c>
    </row>
    <row r="3378" spans="1:1">
      <c r="A3378" s="27">
        <v>10.8</v>
      </c>
    </row>
    <row r="3379" spans="1:1">
      <c r="A3379" s="29">
        <v>0.74097222222222225</v>
      </c>
    </row>
    <row r="3380" spans="1:1">
      <c r="A3380" s="27">
        <v>23.6</v>
      </c>
    </row>
    <row r="3381" spans="1:1">
      <c r="A3381" s="28">
        <v>52.6</v>
      </c>
    </row>
    <row r="3382" spans="1:1">
      <c r="A3382" s="25">
        <v>162</v>
      </c>
    </row>
    <row r="3383" spans="1:1" ht="30">
      <c r="A3383" s="26" t="s">
        <v>241</v>
      </c>
    </row>
    <row r="3384" spans="1:1">
      <c r="A3384" s="27" t="s">
        <v>42</v>
      </c>
    </row>
    <row r="3385" spans="1:1">
      <c r="A3385" s="27">
        <v>533</v>
      </c>
    </row>
    <row r="3386" spans="1:1">
      <c r="A3386" s="27">
        <v>92</v>
      </c>
    </row>
    <row r="3387" spans="1:1">
      <c r="A3387" s="27">
        <v>195</v>
      </c>
    </row>
    <row r="3388" spans="1:1">
      <c r="A3388" s="27">
        <v>287</v>
      </c>
    </row>
    <row r="3389" spans="1:1">
      <c r="A3389" s="27">
        <v>37</v>
      </c>
    </row>
    <row r="3390" spans="1:1">
      <c r="A3390" s="27">
        <v>343</v>
      </c>
    </row>
    <row r="3391" spans="1:1">
      <c r="A3391" s="27">
        <v>0.54</v>
      </c>
    </row>
    <row r="3392" spans="1:1">
      <c r="A3392" s="27">
        <v>25</v>
      </c>
    </row>
    <row r="3393" spans="1:1">
      <c r="A3393" s="27">
        <v>84</v>
      </c>
    </row>
    <row r="3394" spans="1:1">
      <c r="A3394" s="27">
        <v>0</v>
      </c>
    </row>
    <row r="3395" spans="1:1">
      <c r="A3395" s="27">
        <v>2</v>
      </c>
    </row>
    <row r="3396" spans="1:1">
      <c r="A3396" s="27">
        <v>19</v>
      </c>
    </row>
    <row r="3397" spans="1:1">
      <c r="A3397" s="27">
        <v>4</v>
      </c>
    </row>
    <row r="3398" spans="1:1">
      <c r="A3398" s="27">
        <v>1424</v>
      </c>
    </row>
    <row r="3399" spans="1:1">
      <c r="A3399" s="27">
        <v>6.5</v>
      </c>
    </row>
    <row r="3400" spans="1:1">
      <c r="A3400" s="29">
        <v>0.83819444444444446</v>
      </c>
    </row>
    <row r="3401" spans="1:1">
      <c r="A3401" s="27">
        <v>25.5</v>
      </c>
    </row>
    <row r="3402" spans="1:1">
      <c r="A3402" s="28">
        <v>25</v>
      </c>
    </row>
    <row r="3403" spans="1:1">
      <c r="A3403" s="25">
        <v>163</v>
      </c>
    </row>
    <row r="3404" spans="1:1" ht="30">
      <c r="A3404" s="26" t="s">
        <v>558</v>
      </c>
    </row>
    <row r="3405" spans="1:1">
      <c r="A3405" s="27" t="s">
        <v>42</v>
      </c>
    </row>
    <row r="3406" spans="1:1">
      <c r="A3406" s="27">
        <v>648</v>
      </c>
    </row>
    <row r="3407" spans="1:1">
      <c r="A3407" s="27">
        <v>63</v>
      </c>
    </row>
    <row r="3408" spans="1:1">
      <c r="A3408" s="27">
        <v>224</v>
      </c>
    </row>
    <row r="3409" spans="1:1">
      <c r="A3409" s="27">
        <v>287</v>
      </c>
    </row>
    <row r="3410" spans="1:1">
      <c r="A3410" s="27">
        <v>-45</v>
      </c>
    </row>
    <row r="3411" spans="1:1">
      <c r="A3411" s="27">
        <v>167</v>
      </c>
    </row>
    <row r="3412" spans="1:1">
      <c r="A3412" s="27">
        <v>0.44</v>
      </c>
    </row>
    <row r="3413" spans="1:1">
      <c r="A3413" s="27">
        <v>24</v>
      </c>
    </row>
    <row r="3414" spans="1:1">
      <c r="A3414" s="27">
        <v>115</v>
      </c>
    </row>
    <row r="3415" spans="1:1">
      <c r="A3415" s="27">
        <v>4</v>
      </c>
    </row>
    <row r="3416" spans="1:1">
      <c r="A3416" s="27">
        <v>8</v>
      </c>
    </row>
    <row r="3417" spans="1:1">
      <c r="A3417" s="27">
        <v>15</v>
      </c>
    </row>
    <row r="3418" spans="1:1">
      <c r="A3418" s="27">
        <v>4</v>
      </c>
    </row>
    <row r="3419" spans="1:1">
      <c r="A3419" s="27">
        <v>1045</v>
      </c>
    </row>
    <row r="3420" spans="1:1">
      <c r="A3420" s="27">
        <v>6</v>
      </c>
    </row>
    <row r="3421" spans="1:1">
      <c r="A3421" s="29">
        <v>0.9590277777777777</v>
      </c>
    </row>
    <row r="3422" spans="1:1">
      <c r="A3422" s="27">
        <v>26.5</v>
      </c>
    </row>
    <row r="3423" spans="1:1">
      <c r="A3423" s="28">
        <v>66.7</v>
      </c>
    </row>
    <row r="3424" spans="1:1">
      <c r="A3424" s="25">
        <v>164</v>
      </c>
    </row>
    <row r="3425" spans="1:1" ht="30">
      <c r="A3425" s="26" t="s">
        <v>337</v>
      </c>
    </row>
    <row r="3426" spans="1:1">
      <c r="A3426" s="27" t="s">
        <v>653</v>
      </c>
    </row>
    <row r="3427" spans="1:1">
      <c r="A3427" s="27">
        <v>632</v>
      </c>
    </row>
    <row r="3428" spans="1:1">
      <c r="A3428" s="27">
        <v>113</v>
      </c>
    </row>
    <row r="3429" spans="1:1">
      <c r="A3429" s="27">
        <v>173</v>
      </c>
    </row>
    <row r="3430" spans="1:1">
      <c r="A3430" s="27">
        <v>286</v>
      </c>
    </row>
    <row r="3431" spans="1:1">
      <c r="A3431" s="27">
        <v>32</v>
      </c>
    </row>
    <row r="3432" spans="1:1">
      <c r="A3432" s="27">
        <v>138</v>
      </c>
    </row>
    <row r="3433" spans="1:1">
      <c r="A3433" s="27">
        <v>0.45</v>
      </c>
    </row>
    <row r="3434" spans="1:1">
      <c r="A3434" s="27">
        <v>28</v>
      </c>
    </row>
    <row r="3435" spans="1:1">
      <c r="A3435" s="27">
        <v>60</v>
      </c>
    </row>
    <row r="3436" spans="1:1">
      <c r="A3436" s="27">
        <v>0</v>
      </c>
    </row>
    <row r="3437" spans="1:1">
      <c r="A3437" s="27">
        <v>0</v>
      </c>
    </row>
    <row r="3438" spans="1:1">
      <c r="A3438" s="27">
        <v>22</v>
      </c>
    </row>
    <row r="3439" spans="1:1">
      <c r="A3439" s="27">
        <v>2</v>
      </c>
    </row>
    <row r="3440" spans="1:1">
      <c r="A3440" s="27">
        <v>995</v>
      </c>
    </row>
    <row r="3441" spans="1:1">
      <c r="A3441" s="27">
        <v>11.3</v>
      </c>
    </row>
    <row r="3442" spans="1:1">
      <c r="A3442" s="29">
        <v>0.61388888888888882</v>
      </c>
    </row>
    <row r="3443" spans="1:1">
      <c r="A3443" s="27">
        <v>19.399999999999999</v>
      </c>
    </row>
    <row r="3444" spans="1:1">
      <c r="A3444" s="28">
        <v>46.5</v>
      </c>
    </row>
    <row r="3445" spans="1:1">
      <c r="A3445" s="25">
        <v>165</v>
      </c>
    </row>
    <row r="3446" spans="1:1" ht="30">
      <c r="A3446" s="26" t="s">
        <v>276</v>
      </c>
    </row>
    <row r="3447" spans="1:1">
      <c r="A3447" s="27" t="s">
        <v>44</v>
      </c>
    </row>
    <row r="3448" spans="1:1">
      <c r="A3448" s="27">
        <v>486</v>
      </c>
    </row>
    <row r="3449" spans="1:1">
      <c r="A3449" s="27">
        <v>139</v>
      </c>
    </row>
    <row r="3450" spans="1:1">
      <c r="A3450" s="27">
        <v>145</v>
      </c>
    </row>
    <row r="3451" spans="1:1">
      <c r="A3451" s="27">
        <v>284</v>
      </c>
    </row>
    <row r="3452" spans="1:1">
      <c r="A3452" s="27">
        <v>55</v>
      </c>
    </row>
    <row r="3453" spans="1:1">
      <c r="A3453" s="27">
        <v>415</v>
      </c>
    </row>
    <row r="3454" spans="1:1">
      <c r="A3454" s="27">
        <v>0.57999999999999996</v>
      </c>
    </row>
    <row r="3455" spans="1:1">
      <c r="A3455" s="27">
        <v>41</v>
      </c>
    </row>
    <row r="3456" spans="1:1">
      <c r="A3456" s="27">
        <v>69</v>
      </c>
    </row>
    <row r="3457" spans="1:1">
      <c r="A3457" s="27">
        <v>0</v>
      </c>
    </row>
    <row r="3458" spans="1:1">
      <c r="A3458" s="27">
        <v>0</v>
      </c>
    </row>
    <row r="3459" spans="1:1">
      <c r="A3459" s="27">
        <v>15</v>
      </c>
    </row>
    <row r="3460" spans="1:1">
      <c r="A3460" s="27">
        <v>1</v>
      </c>
    </row>
    <row r="3461" spans="1:1">
      <c r="A3461" s="27">
        <v>1068</v>
      </c>
    </row>
    <row r="3462" spans="1:1">
      <c r="A3462" s="27">
        <v>13</v>
      </c>
    </row>
    <row r="3463" spans="1:1">
      <c r="A3463" s="29">
        <v>0.6694444444444444</v>
      </c>
    </row>
    <row r="3464" spans="1:1">
      <c r="A3464" s="27">
        <v>21.5</v>
      </c>
    </row>
    <row r="3465" spans="1:1">
      <c r="A3465" s="28">
        <v>44</v>
      </c>
    </row>
    <row r="3466" spans="1:1">
      <c r="A3466" s="25">
        <v>166</v>
      </c>
    </row>
    <row r="3467" spans="1:1" ht="30">
      <c r="A3467" s="26" t="s">
        <v>127</v>
      </c>
    </row>
    <row r="3468" spans="1:1">
      <c r="A3468" s="27" t="s">
        <v>44</v>
      </c>
    </row>
    <row r="3469" spans="1:1">
      <c r="A3469" s="27">
        <v>540</v>
      </c>
    </row>
    <row r="3470" spans="1:1">
      <c r="A3470" s="27">
        <v>111</v>
      </c>
    </row>
    <row r="3471" spans="1:1">
      <c r="A3471" s="27">
        <v>167</v>
      </c>
    </row>
    <row r="3472" spans="1:1">
      <c r="A3472" s="27">
        <v>278</v>
      </c>
    </row>
    <row r="3473" spans="1:1">
      <c r="A3473" s="27">
        <v>62</v>
      </c>
    </row>
    <row r="3474" spans="1:1">
      <c r="A3474" s="27">
        <v>321</v>
      </c>
    </row>
    <row r="3475" spans="1:1">
      <c r="A3475" s="27">
        <v>0.51</v>
      </c>
    </row>
    <row r="3476" spans="1:1">
      <c r="A3476" s="27">
        <v>20</v>
      </c>
    </row>
    <row r="3477" spans="1:1">
      <c r="A3477" s="27">
        <v>50</v>
      </c>
    </row>
    <row r="3478" spans="1:1">
      <c r="A3478" s="27">
        <v>3</v>
      </c>
    </row>
    <row r="3479" spans="1:1">
      <c r="A3479" s="27">
        <v>6</v>
      </c>
    </row>
    <row r="3480" spans="1:1">
      <c r="A3480" s="27">
        <v>19</v>
      </c>
    </row>
    <row r="3481" spans="1:1">
      <c r="A3481" s="27">
        <v>3</v>
      </c>
    </row>
    <row r="3482" spans="1:1">
      <c r="A3482" s="27">
        <v>1067</v>
      </c>
    </row>
    <row r="3483" spans="1:1">
      <c r="A3483" s="27">
        <v>10.4</v>
      </c>
    </row>
    <row r="3484" spans="1:1">
      <c r="A3484" s="29">
        <v>0.69513888888888886</v>
      </c>
    </row>
    <row r="3485" spans="1:1">
      <c r="A3485" s="27">
        <v>21.1</v>
      </c>
    </row>
    <row r="3486" spans="1:1">
      <c r="A3486" s="28">
        <v>40.799999999999997</v>
      </c>
    </row>
    <row r="3487" spans="1:1">
      <c r="A3487" s="25">
        <v>167</v>
      </c>
    </row>
    <row r="3488" spans="1:1" ht="30">
      <c r="A3488" s="26" t="s">
        <v>487</v>
      </c>
    </row>
    <row r="3489" spans="1:1">
      <c r="A3489" s="27" t="s">
        <v>44</v>
      </c>
    </row>
    <row r="3490" spans="1:1">
      <c r="A3490" s="27">
        <v>621</v>
      </c>
    </row>
    <row r="3491" spans="1:1">
      <c r="A3491" s="27">
        <v>173</v>
      </c>
    </row>
    <row r="3492" spans="1:1">
      <c r="A3492" s="27">
        <v>101</v>
      </c>
    </row>
    <row r="3493" spans="1:1">
      <c r="A3493" s="27">
        <v>274</v>
      </c>
    </row>
    <row r="3494" spans="1:1">
      <c r="A3494" s="27">
        <v>29</v>
      </c>
    </row>
    <row r="3495" spans="1:1">
      <c r="A3495" s="27">
        <v>110</v>
      </c>
    </row>
    <row r="3496" spans="1:1">
      <c r="A3496" s="27">
        <v>0.44</v>
      </c>
    </row>
    <row r="3497" spans="1:1">
      <c r="A3497" s="27">
        <v>7</v>
      </c>
    </row>
    <row r="3498" spans="1:1">
      <c r="A3498" s="27">
        <v>15</v>
      </c>
    </row>
    <row r="3499" spans="1:1">
      <c r="A3499" s="27">
        <v>22</v>
      </c>
    </row>
    <row r="3500" spans="1:1">
      <c r="A3500" s="27">
        <v>29</v>
      </c>
    </row>
    <row r="3501" spans="1:1">
      <c r="A3501" s="27">
        <v>21</v>
      </c>
    </row>
    <row r="3502" spans="1:1">
      <c r="A3502" s="27">
        <v>4</v>
      </c>
    </row>
    <row r="3503" spans="1:1">
      <c r="A3503" s="27">
        <v>1320</v>
      </c>
    </row>
    <row r="3504" spans="1:1">
      <c r="A3504" s="27">
        <v>13.1</v>
      </c>
    </row>
    <row r="3505" spans="1:1">
      <c r="A3505" s="29">
        <v>0.60555555555555551</v>
      </c>
    </row>
    <row r="3506" spans="1:1">
      <c r="A3506" s="27">
        <v>21.3</v>
      </c>
    </row>
    <row r="3507" spans="1:1">
      <c r="A3507" s="28">
        <v>42.5</v>
      </c>
    </row>
    <row r="3508" spans="1:1">
      <c r="A3508" s="25">
        <v>168</v>
      </c>
    </row>
    <row r="3509" spans="1:1" ht="30">
      <c r="A3509" s="26" t="s">
        <v>198</v>
      </c>
    </row>
    <row r="3510" spans="1:1">
      <c r="A3510" s="27" t="s">
        <v>44</v>
      </c>
    </row>
    <row r="3511" spans="1:1">
      <c r="A3511" s="27">
        <v>451</v>
      </c>
    </row>
    <row r="3512" spans="1:1">
      <c r="A3512" s="27">
        <v>159</v>
      </c>
    </row>
    <row r="3513" spans="1:1">
      <c r="A3513" s="27">
        <v>112</v>
      </c>
    </row>
    <row r="3514" spans="1:1">
      <c r="A3514" s="27">
        <v>271</v>
      </c>
    </row>
    <row r="3515" spans="1:1">
      <c r="A3515" s="27">
        <v>16</v>
      </c>
    </row>
    <row r="3516" spans="1:1">
      <c r="A3516" s="27">
        <v>270</v>
      </c>
    </row>
    <row r="3517" spans="1:1">
      <c r="A3517" s="27">
        <v>0.6</v>
      </c>
    </row>
    <row r="3518" spans="1:1">
      <c r="A3518" s="27">
        <v>48</v>
      </c>
    </row>
    <row r="3519" spans="1:1">
      <c r="A3519" s="27">
        <v>75</v>
      </c>
    </row>
    <row r="3520" spans="1:1">
      <c r="A3520" s="27">
        <v>0</v>
      </c>
    </row>
    <row r="3521" spans="1:1">
      <c r="A3521" s="27">
        <v>0</v>
      </c>
    </row>
    <row r="3522" spans="1:1">
      <c r="A3522" s="27">
        <v>24</v>
      </c>
    </row>
    <row r="3523" spans="1:1">
      <c r="A3523" s="27">
        <v>0</v>
      </c>
    </row>
    <row r="3524" spans="1:1">
      <c r="A3524" s="27">
        <v>1114</v>
      </c>
    </row>
    <row r="3525" spans="1:1">
      <c r="A3525" s="27">
        <v>14.3</v>
      </c>
    </row>
    <row r="3526" spans="1:1">
      <c r="A3526" s="29">
        <v>0.66180555555555554</v>
      </c>
    </row>
    <row r="3527" spans="1:1">
      <c r="A3527" s="27">
        <v>19.8</v>
      </c>
    </row>
    <row r="3528" spans="1:1">
      <c r="A3528" s="28">
        <v>46.2</v>
      </c>
    </row>
    <row r="3529" spans="1:1">
      <c r="A3529" s="25">
        <v>169</v>
      </c>
    </row>
    <row r="3530" spans="1:1" ht="45">
      <c r="A3530" s="26" t="s">
        <v>244</v>
      </c>
    </row>
    <row r="3531" spans="1:1">
      <c r="A3531" s="27" t="s">
        <v>43</v>
      </c>
    </row>
    <row r="3532" spans="1:1">
      <c r="A3532" s="27">
        <v>562</v>
      </c>
    </row>
    <row r="3533" spans="1:1">
      <c r="A3533" s="27">
        <v>129</v>
      </c>
    </row>
    <row r="3534" spans="1:1">
      <c r="A3534" s="27">
        <v>142</v>
      </c>
    </row>
    <row r="3535" spans="1:1">
      <c r="A3535" s="27">
        <v>271</v>
      </c>
    </row>
    <row r="3536" spans="1:1">
      <c r="A3536" s="27">
        <v>13</v>
      </c>
    </row>
    <row r="3537" spans="1:1">
      <c r="A3537" s="27">
        <v>267</v>
      </c>
    </row>
    <row r="3538" spans="1:1">
      <c r="A3538" s="27">
        <v>0.48</v>
      </c>
    </row>
    <row r="3539" spans="1:1">
      <c r="A3539" s="27">
        <v>32</v>
      </c>
    </row>
    <row r="3540" spans="1:1">
      <c r="A3540" s="27">
        <v>58</v>
      </c>
    </row>
    <row r="3541" spans="1:1">
      <c r="A3541" s="27">
        <v>1</v>
      </c>
    </row>
    <row r="3542" spans="1:1">
      <c r="A3542" s="27">
        <v>1</v>
      </c>
    </row>
    <row r="3543" spans="1:1">
      <c r="A3543" s="27">
        <v>18</v>
      </c>
    </row>
    <row r="3544" spans="1:1">
      <c r="A3544" s="27">
        <v>2</v>
      </c>
    </row>
    <row r="3545" spans="1:1">
      <c r="A3545" s="27">
        <v>1082</v>
      </c>
    </row>
    <row r="3546" spans="1:1">
      <c r="A3546" s="27">
        <v>11.9</v>
      </c>
    </row>
    <row r="3547" spans="1:1">
      <c r="A3547" s="29">
        <v>0.60833333333333328</v>
      </c>
    </row>
    <row r="3548" spans="1:1">
      <c r="A3548" s="27">
        <v>19</v>
      </c>
    </row>
    <row r="3549" spans="1:1">
      <c r="A3549" s="28">
        <v>43.4</v>
      </c>
    </row>
    <row r="3550" spans="1:1">
      <c r="A3550" s="25">
        <v>170</v>
      </c>
    </row>
    <row r="3551" spans="1:1" ht="45">
      <c r="A3551" s="26" t="s">
        <v>571</v>
      </c>
    </row>
    <row r="3552" spans="1:1">
      <c r="A3552" s="27" t="s">
        <v>43</v>
      </c>
    </row>
    <row r="3553" spans="1:1">
      <c r="A3553" s="27">
        <v>520</v>
      </c>
    </row>
    <row r="3554" spans="1:1">
      <c r="A3554" s="27">
        <v>127</v>
      </c>
    </row>
    <row r="3555" spans="1:1">
      <c r="A3555" s="27">
        <v>144</v>
      </c>
    </row>
    <row r="3556" spans="1:1">
      <c r="A3556" s="27">
        <v>271</v>
      </c>
    </row>
    <row r="3557" spans="1:1">
      <c r="A3557" s="27">
        <v>43</v>
      </c>
    </row>
    <row r="3558" spans="1:1">
      <c r="A3558" s="27">
        <v>154</v>
      </c>
    </row>
    <row r="3559" spans="1:1">
      <c r="A3559" s="27">
        <v>0.52</v>
      </c>
    </row>
    <row r="3560" spans="1:1">
      <c r="A3560" s="27">
        <v>19</v>
      </c>
    </row>
    <row r="3561" spans="1:1">
      <c r="A3561" s="27">
        <v>42</v>
      </c>
    </row>
    <row r="3562" spans="1:1">
      <c r="A3562" s="27">
        <v>10</v>
      </c>
    </row>
    <row r="3563" spans="1:1">
      <c r="A3563" s="27">
        <v>15</v>
      </c>
    </row>
    <row r="3564" spans="1:1">
      <c r="A3564" s="27">
        <v>19</v>
      </c>
    </row>
    <row r="3565" spans="1:1">
      <c r="A3565" s="27">
        <v>2</v>
      </c>
    </row>
    <row r="3566" spans="1:1">
      <c r="A3566" s="27">
        <v>1292</v>
      </c>
    </row>
    <row r="3567" spans="1:1">
      <c r="A3567" s="27">
        <v>9.8000000000000007</v>
      </c>
    </row>
    <row r="3568" spans="1:1">
      <c r="A3568" s="29">
        <v>0.70208333333333339</v>
      </c>
    </row>
    <row r="3569" spans="1:1">
      <c r="A3569" s="27">
        <v>23.1</v>
      </c>
    </row>
    <row r="3570" spans="1:1">
      <c r="A3570" s="28">
        <v>32.9</v>
      </c>
    </row>
    <row r="3571" spans="1:1">
      <c r="A3571" s="25">
        <v>171</v>
      </c>
    </row>
    <row r="3572" spans="1:1">
      <c r="A3572" s="26" t="s">
        <v>174</v>
      </c>
    </row>
    <row r="3573" spans="1:1">
      <c r="A3573" s="27" t="s">
        <v>653</v>
      </c>
    </row>
    <row r="3574" spans="1:1">
      <c r="A3574" s="27">
        <v>715</v>
      </c>
    </row>
    <row r="3575" spans="1:1">
      <c r="A3575" s="27">
        <v>122</v>
      </c>
    </row>
    <row r="3576" spans="1:1">
      <c r="A3576" s="27">
        <v>149</v>
      </c>
    </row>
    <row r="3577" spans="1:1">
      <c r="A3577" s="27">
        <v>271</v>
      </c>
    </row>
    <row r="3578" spans="1:1">
      <c r="A3578" s="27">
        <v>-18</v>
      </c>
    </row>
    <row r="3579" spans="1:1">
      <c r="A3579" s="27">
        <v>432</v>
      </c>
    </row>
    <row r="3580" spans="1:1">
      <c r="A3580" s="27">
        <v>0.38</v>
      </c>
    </row>
    <row r="3581" spans="1:1">
      <c r="A3581" s="27">
        <v>12</v>
      </c>
    </row>
    <row r="3582" spans="1:1">
      <c r="A3582" s="27">
        <v>27</v>
      </c>
    </row>
    <row r="3583" spans="1:1">
      <c r="A3583" s="27">
        <v>7</v>
      </c>
    </row>
    <row r="3584" spans="1:1">
      <c r="A3584" s="27">
        <v>13</v>
      </c>
    </row>
    <row r="3585" spans="1:1">
      <c r="A3585" s="27">
        <v>22</v>
      </c>
    </row>
    <row r="3586" spans="1:1">
      <c r="A3586" s="27">
        <v>2</v>
      </c>
    </row>
    <row r="3587" spans="1:1">
      <c r="A3587" s="27">
        <v>1239</v>
      </c>
    </row>
    <row r="3588" spans="1:1">
      <c r="A3588" s="27">
        <v>9.8000000000000007</v>
      </c>
    </row>
    <row r="3589" spans="1:1">
      <c r="A3589" s="29">
        <v>0.62222222222222223</v>
      </c>
    </row>
    <row r="3590" spans="1:1">
      <c r="A3590" s="27">
        <v>19.7</v>
      </c>
    </row>
    <row r="3591" spans="1:1">
      <c r="A3591" s="28">
        <v>49.5</v>
      </c>
    </row>
    <row r="3592" spans="1:1">
      <c r="A3592" s="25">
        <v>172</v>
      </c>
    </row>
    <row r="3593" spans="1:1" ht="30">
      <c r="A3593" s="26" t="s">
        <v>590</v>
      </c>
    </row>
    <row r="3594" spans="1:1">
      <c r="A3594" s="27" t="s">
        <v>43</v>
      </c>
    </row>
    <row r="3595" spans="1:1">
      <c r="A3595" s="27">
        <v>485</v>
      </c>
    </row>
    <row r="3596" spans="1:1">
      <c r="A3596" s="27">
        <v>127</v>
      </c>
    </row>
    <row r="3597" spans="1:1">
      <c r="A3597" s="27">
        <v>142</v>
      </c>
    </row>
    <row r="3598" spans="1:1">
      <c r="A3598" s="27">
        <v>269</v>
      </c>
    </row>
    <row r="3599" spans="1:1">
      <c r="A3599" s="27">
        <v>74</v>
      </c>
    </row>
    <row r="3600" spans="1:1">
      <c r="A3600" s="27">
        <v>140</v>
      </c>
    </row>
    <row r="3601" spans="1:1">
      <c r="A3601" s="27">
        <v>0.55000000000000004</v>
      </c>
    </row>
    <row r="3602" spans="1:1">
      <c r="A3602" s="27">
        <v>28</v>
      </c>
    </row>
    <row r="3603" spans="1:1">
      <c r="A3603" s="27">
        <v>47</v>
      </c>
    </row>
    <row r="3604" spans="1:1">
      <c r="A3604" s="27">
        <v>6</v>
      </c>
    </row>
    <row r="3605" spans="1:1">
      <c r="A3605" s="27">
        <v>8</v>
      </c>
    </row>
    <row r="3606" spans="1:1">
      <c r="A3606" s="27">
        <v>23</v>
      </c>
    </row>
    <row r="3607" spans="1:1">
      <c r="A3607" s="27">
        <v>4</v>
      </c>
    </row>
    <row r="3608" spans="1:1">
      <c r="A3608" s="27">
        <v>1273</v>
      </c>
    </row>
    <row r="3609" spans="1:1">
      <c r="A3609" s="27">
        <v>10</v>
      </c>
    </row>
    <row r="3610" spans="1:1">
      <c r="A3610" s="29">
        <v>0.65972222222222221</v>
      </c>
    </row>
    <row r="3611" spans="1:1">
      <c r="A3611" s="27">
        <v>21.2</v>
      </c>
    </row>
    <row r="3612" spans="1:1">
      <c r="A3612" s="28">
        <v>38</v>
      </c>
    </row>
    <row r="3613" spans="1:1">
      <c r="A3613" s="25">
        <v>173</v>
      </c>
    </row>
    <row r="3614" spans="1:1" ht="30">
      <c r="A3614" s="26" t="s">
        <v>505</v>
      </c>
    </row>
    <row r="3615" spans="1:1">
      <c r="A3615" s="27" t="s">
        <v>42</v>
      </c>
    </row>
    <row r="3616" spans="1:1">
      <c r="A3616" s="27">
        <v>664</v>
      </c>
    </row>
    <row r="3617" spans="1:1">
      <c r="A3617" s="27">
        <v>74</v>
      </c>
    </row>
    <row r="3618" spans="1:1">
      <c r="A3618" s="27">
        <v>195</v>
      </c>
    </row>
    <row r="3619" spans="1:1">
      <c r="A3619" s="27">
        <v>269</v>
      </c>
    </row>
    <row r="3620" spans="1:1">
      <c r="A3620" s="27">
        <v>7</v>
      </c>
    </row>
    <row r="3621" spans="1:1">
      <c r="A3621" s="27">
        <v>488</v>
      </c>
    </row>
    <row r="3622" spans="1:1">
      <c r="A3622" s="27">
        <v>0.41</v>
      </c>
    </row>
    <row r="3623" spans="1:1">
      <c r="A3623" s="27">
        <v>18</v>
      </c>
    </row>
    <row r="3624" spans="1:1">
      <c r="A3624" s="27">
        <v>81</v>
      </c>
    </row>
    <row r="3625" spans="1:1">
      <c r="A3625" s="27">
        <v>2</v>
      </c>
    </row>
    <row r="3626" spans="1:1">
      <c r="A3626" s="27">
        <v>8</v>
      </c>
    </row>
    <row r="3627" spans="1:1">
      <c r="A3627" s="27">
        <v>15</v>
      </c>
    </row>
    <row r="3628" spans="1:1">
      <c r="A3628" s="27">
        <v>4</v>
      </c>
    </row>
    <row r="3629" spans="1:1">
      <c r="A3629" s="27">
        <v>1095</v>
      </c>
    </row>
    <row r="3630" spans="1:1">
      <c r="A3630" s="27">
        <v>6.8</v>
      </c>
    </row>
    <row r="3631" spans="1:1">
      <c r="A3631" s="29">
        <v>0.92986111111111114</v>
      </c>
    </row>
    <row r="3632" spans="1:1">
      <c r="A3632" s="27">
        <v>26.8</v>
      </c>
    </row>
    <row r="3633" spans="1:1">
      <c r="A3633" s="28">
        <v>0</v>
      </c>
    </row>
    <row r="3634" spans="1:1">
      <c r="A3634" s="25">
        <v>174</v>
      </c>
    </row>
    <row r="3635" spans="1:1" ht="30">
      <c r="A3635" s="26" t="s">
        <v>760</v>
      </c>
    </row>
    <row r="3636" spans="1:1">
      <c r="A3636" s="27" t="s">
        <v>653</v>
      </c>
    </row>
    <row r="3637" spans="1:1">
      <c r="A3637" s="27">
        <v>702</v>
      </c>
    </row>
    <row r="3638" spans="1:1">
      <c r="A3638" s="27">
        <v>140</v>
      </c>
    </row>
    <row r="3639" spans="1:1">
      <c r="A3639" s="27">
        <v>128</v>
      </c>
    </row>
    <row r="3640" spans="1:1">
      <c r="A3640" s="27">
        <v>268</v>
      </c>
    </row>
    <row r="3641" spans="1:1">
      <c r="A3641" s="27">
        <v>-8</v>
      </c>
    </row>
    <row r="3642" spans="1:1">
      <c r="A3642" s="27">
        <v>129</v>
      </c>
    </row>
    <row r="3643" spans="1:1">
      <c r="A3643" s="27">
        <v>0.38</v>
      </c>
    </row>
    <row r="3644" spans="1:1">
      <c r="A3644" s="27">
        <v>22</v>
      </c>
    </row>
    <row r="3645" spans="1:1">
      <c r="A3645" s="27">
        <v>40</v>
      </c>
    </row>
    <row r="3646" spans="1:1">
      <c r="A3646" s="27">
        <v>12</v>
      </c>
    </row>
    <row r="3647" spans="1:1">
      <c r="A3647" s="27">
        <v>17</v>
      </c>
    </row>
    <row r="3648" spans="1:1">
      <c r="A3648" s="27">
        <v>20</v>
      </c>
    </row>
    <row r="3649" spans="1:1">
      <c r="A3649" s="27">
        <v>4</v>
      </c>
    </row>
    <row r="3650" spans="1:1">
      <c r="A3650" s="27">
        <v>1343</v>
      </c>
    </row>
    <row r="3651" spans="1:1">
      <c r="A3651" s="27">
        <v>10.4</v>
      </c>
    </row>
    <row r="3652" spans="1:1">
      <c r="A3652" s="29">
        <v>0.68611111111111101</v>
      </c>
    </row>
    <row r="3653" spans="1:1">
      <c r="A3653" s="27">
        <v>23.1</v>
      </c>
    </row>
    <row r="3654" spans="1:1">
      <c r="A3654" s="28">
        <v>49.5</v>
      </c>
    </row>
    <row r="3655" spans="1:1">
      <c r="A3655" s="25">
        <v>175</v>
      </c>
    </row>
    <row r="3656" spans="1:1" ht="45">
      <c r="A3656" s="26" t="s">
        <v>663</v>
      </c>
    </row>
    <row r="3657" spans="1:1">
      <c r="A3657" s="27" t="s">
        <v>42</v>
      </c>
    </row>
    <row r="3658" spans="1:1">
      <c r="A3658" s="27">
        <v>390</v>
      </c>
    </row>
    <row r="3659" spans="1:1">
      <c r="A3659" s="27">
        <v>54</v>
      </c>
    </row>
    <row r="3660" spans="1:1">
      <c r="A3660" s="27">
        <v>214</v>
      </c>
    </row>
    <row r="3661" spans="1:1">
      <c r="A3661" s="27">
        <v>268</v>
      </c>
    </row>
    <row r="3662" spans="1:1">
      <c r="A3662" s="27">
        <v>35</v>
      </c>
    </row>
    <row r="3663" spans="1:1">
      <c r="A3663" s="27">
        <v>148</v>
      </c>
    </row>
    <row r="3664" spans="1:1">
      <c r="A3664" s="27">
        <v>0.69</v>
      </c>
    </row>
    <row r="3665" spans="1:1">
      <c r="A3665" s="27">
        <v>15</v>
      </c>
    </row>
    <row r="3666" spans="1:1">
      <c r="A3666" s="27">
        <v>99</v>
      </c>
    </row>
    <row r="3667" spans="1:1">
      <c r="A3667" s="27">
        <v>0</v>
      </c>
    </row>
    <row r="3668" spans="1:1">
      <c r="A3668" s="27">
        <v>0</v>
      </c>
    </row>
    <row r="3669" spans="1:1">
      <c r="A3669" s="27">
        <v>18</v>
      </c>
    </row>
    <row r="3670" spans="1:1">
      <c r="A3670" s="27">
        <v>4</v>
      </c>
    </row>
    <row r="3671" spans="1:1">
      <c r="A3671" s="27">
        <v>800</v>
      </c>
    </row>
    <row r="3672" spans="1:1">
      <c r="A3672" s="27">
        <v>6.8</v>
      </c>
    </row>
    <row r="3673" spans="1:1">
      <c r="A3673" s="29">
        <v>0.97152777777777777</v>
      </c>
    </row>
    <row r="3674" spans="1:1">
      <c r="A3674" s="27">
        <v>27.3</v>
      </c>
    </row>
    <row r="3675" spans="1:1">
      <c r="A3675" s="28">
        <v>100</v>
      </c>
    </row>
    <row r="3676" spans="1:1">
      <c r="A3676" s="25">
        <v>176</v>
      </c>
    </row>
    <row r="3677" spans="1:1" ht="30">
      <c r="A3677" s="26" t="s">
        <v>546</v>
      </c>
    </row>
    <row r="3678" spans="1:1">
      <c r="A3678" s="27" t="s">
        <v>653</v>
      </c>
    </row>
    <row r="3679" spans="1:1">
      <c r="A3679" s="27">
        <v>430</v>
      </c>
    </row>
    <row r="3680" spans="1:1">
      <c r="A3680" s="27">
        <v>126</v>
      </c>
    </row>
    <row r="3681" spans="1:1">
      <c r="A3681" s="27">
        <v>141</v>
      </c>
    </row>
    <row r="3682" spans="1:1">
      <c r="A3682" s="27">
        <v>267</v>
      </c>
    </row>
    <row r="3683" spans="1:1">
      <c r="A3683" s="27">
        <v>7</v>
      </c>
    </row>
    <row r="3684" spans="1:1">
      <c r="A3684" s="27">
        <v>131</v>
      </c>
    </row>
    <row r="3685" spans="1:1">
      <c r="A3685" s="27">
        <v>0.62</v>
      </c>
    </row>
    <row r="3686" spans="1:1">
      <c r="A3686" s="27">
        <v>29</v>
      </c>
    </row>
    <row r="3687" spans="1:1">
      <c r="A3687" s="27">
        <v>51</v>
      </c>
    </row>
    <row r="3688" spans="1:1">
      <c r="A3688" s="27">
        <v>3</v>
      </c>
    </row>
    <row r="3689" spans="1:1">
      <c r="A3689" s="27">
        <v>6</v>
      </c>
    </row>
    <row r="3690" spans="1:1">
      <c r="A3690" s="27">
        <v>25</v>
      </c>
    </row>
    <row r="3691" spans="1:1">
      <c r="A3691" s="27">
        <v>3</v>
      </c>
    </row>
    <row r="3692" spans="1:1">
      <c r="A3692" s="27">
        <v>952</v>
      </c>
    </row>
    <row r="3693" spans="1:1">
      <c r="A3693" s="27">
        <v>13.2</v>
      </c>
    </row>
    <row r="3694" spans="1:1">
      <c r="A3694" s="29">
        <v>0.70277777777777783</v>
      </c>
    </row>
    <row r="3695" spans="1:1">
      <c r="A3695" s="27">
        <v>22.8</v>
      </c>
    </row>
    <row r="3696" spans="1:1">
      <c r="A3696" s="28">
        <v>52.3</v>
      </c>
    </row>
    <row r="3697" spans="1:1">
      <c r="A3697" s="25">
        <v>177</v>
      </c>
    </row>
    <row r="3698" spans="1:1" ht="30">
      <c r="A3698" s="26" t="s">
        <v>504</v>
      </c>
    </row>
    <row r="3699" spans="1:1">
      <c r="A3699" s="27" t="s">
        <v>653</v>
      </c>
    </row>
    <row r="3700" spans="1:1">
      <c r="A3700" s="27">
        <v>464</v>
      </c>
    </row>
    <row r="3701" spans="1:1">
      <c r="A3701" s="27">
        <v>107</v>
      </c>
    </row>
    <row r="3702" spans="1:1">
      <c r="A3702" s="27">
        <v>159</v>
      </c>
    </row>
    <row r="3703" spans="1:1">
      <c r="A3703" s="27">
        <v>266</v>
      </c>
    </row>
    <row r="3704" spans="1:1">
      <c r="A3704" s="27">
        <v>22</v>
      </c>
    </row>
    <row r="3705" spans="1:1">
      <c r="A3705" s="27">
        <v>204</v>
      </c>
    </row>
    <row r="3706" spans="1:1">
      <c r="A3706" s="27">
        <v>0.56999999999999995</v>
      </c>
    </row>
    <row r="3707" spans="1:1">
      <c r="A3707" s="27">
        <v>27</v>
      </c>
    </row>
    <row r="3708" spans="1:1">
      <c r="A3708" s="27">
        <v>68</v>
      </c>
    </row>
    <row r="3709" spans="1:1">
      <c r="A3709" s="27">
        <v>3</v>
      </c>
    </row>
    <row r="3710" spans="1:1">
      <c r="A3710" s="27">
        <v>5</v>
      </c>
    </row>
    <row r="3711" spans="1:1">
      <c r="A3711" s="27">
        <v>23</v>
      </c>
    </row>
    <row r="3712" spans="1:1">
      <c r="A3712" s="27">
        <v>4</v>
      </c>
    </row>
    <row r="3713" spans="1:1">
      <c r="A3713" s="27">
        <v>771</v>
      </c>
    </row>
    <row r="3714" spans="1:1">
      <c r="A3714" s="27">
        <v>13.9</v>
      </c>
    </row>
    <row r="3715" spans="1:1">
      <c r="A3715" s="29">
        <v>0.63611111111111118</v>
      </c>
    </row>
    <row r="3716" spans="1:1">
      <c r="A3716" s="27">
        <v>20.399999999999999</v>
      </c>
    </row>
    <row r="3717" spans="1:1">
      <c r="A3717" s="28">
        <v>50.4</v>
      </c>
    </row>
    <row r="3718" spans="1:1">
      <c r="A3718" s="25">
        <v>178</v>
      </c>
    </row>
    <row r="3719" spans="1:1" ht="30">
      <c r="A3719" s="26" t="s">
        <v>311</v>
      </c>
    </row>
    <row r="3720" spans="1:1">
      <c r="A3720" s="27" t="s">
        <v>42</v>
      </c>
    </row>
    <row r="3721" spans="1:1">
      <c r="A3721" s="27">
        <v>589</v>
      </c>
    </row>
    <row r="3722" spans="1:1">
      <c r="A3722" s="27">
        <v>86</v>
      </c>
    </row>
    <row r="3723" spans="1:1">
      <c r="A3723" s="27">
        <v>179</v>
      </c>
    </row>
    <row r="3724" spans="1:1">
      <c r="A3724" s="27">
        <v>265</v>
      </c>
    </row>
    <row r="3725" spans="1:1">
      <c r="A3725" s="27">
        <v>-103</v>
      </c>
    </row>
    <row r="3726" spans="1:1">
      <c r="A3726" s="27">
        <v>277</v>
      </c>
    </row>
    <row r="3727" spans="1:1">
      <c r="A3727" s="27">
        <v>0.45</v>
      </c>
    </row>
    <row r="3728" spans="1:1">
      <c r="A3728" s="27">
        <v>40</v>
      </c>
    </row>
    <row r="3729" spans="1:1">
      <c r="A3729" s="27">
        <v>103</v>
      </c>
    </row>
    <row r="3730" spans="1:1">
      <c r="A3730" s="27">
        <v>3</v>
      </c>
    </row>
    <row r="3731" spans="1:1">
      <c r="A3731" s="27">
        <v>4</v>
      </c>
    </row>
    <row r="3732" spans="1:1">
      <c r="A3732" s="27">
        <v>19</v>
      </c>
    </row>
    <row r="3733" spans="1:1">
      <c r="A3733" s="27">
        <v>1</v>
      </c>
    </row>
    <row r="3734" spans="1:1">
      <c r="A3734" s="27">
        <v>1459</v>
      </c>
    </row>
    <row r="3735" spans="1:1">
      <c r="A3735" s="27">
        <v>5.9</v>
      </c>
    </row>
    <row r="3736" spans="1:1">
      <c r="A3736" s="29">
        <v>0.96319444444444446</v>
      </c>
    </row>
    <row r="3737" spans="1:1">
      <c r="A3737" s="27">
        <v>28.1</v>
      </c>
    </row>
    <row r="3738" spans="1:1">
      <c r="A3738" s="28">
        <v>0</v>
      </c>
    </row>
    <row r="3739" spans="1:1">
      <c r="A3739" s="25">
        <v>179</v>
      </c>
    </row>
    <row r="3740" spans="1:1" ht="30">
      <c r="A3740" s="26" t="s">
        <v>68</v>
      </c>
    </row>
    <row r="3741" spans="1:1">
      <c r="A3741" s="27" t="s">
        <v>653</v>
      </c>
    </row>
    <row r="3742" spans="1:1">
      <c r="A3742" s="27">
        <v>528</v>
      </c>
    </row>
    <row r="3743" spans="1:1">
      <c r="A3743" s="27">
        <v>99</v>
      </c>
    </row>
    <row r="3744" spans="1:1">
      <c r="A3744" s="27">
        <v>165</v>
      </c>
    </row>
    <row r="3745" spans="1:1">
      <c r="A3745" s="27">
        <v>264</v>
      </c>
    </row>
    <row r="3746" spans="1:1">
      <c r="A3746" s="27">
        <v>34</v>
      </c>
    </row>
    <row r="3747" spans="1:1">
      <c r="A3747" s="27">
        <v>194</v>
      </c>
    </row>
    <row r="3748" spans="1:1">
      <c r="A3748" s="27">
        <v>0.5</v>
      </c>
    </row>
    <row r="3749" spans="1:1">
      <c r="A3749" s="27">
        <v>11</v>
      </c>
    </row>
    <row r="3750" spans="1:1">
      <c r="A3750" s="27">
        <v>31</v>
      </c>
    </row>
    <row r="3751" spans="1:1">
      <c r="A3751" s="27">
        <v>2</v>
      </c>
    </row>
    <row r="3752" spans="1:1">
      <c r="A3752" s="27">
        <v>3</v>
      </c>
    </row>
    <row r="3753" spans="1:1">
      <c r="A3753" s="27">
        <v>21</v>
      </c>
    </row>
    <row r="3754" spans="1:1">
      <c r="A3754" s="27">
        <v>0</v>
      </c>
    </row>
    <row r="3755" spans="1:1">
      <c r="A3755" s="27">
        <v>934</v>
      </c>
    </row>
    <row r="3756" spans="1:1">
      <c r="A3756" s="27">
        <v>10.6</v>
      </c>
    </row>
    <row r="3757" spans="1:1">
      <c r="A3757" s="29">
        <v>0.68263888888888891</v>
      </c>
    </row>
    <row r="3758" spans="1:1">
      <c r="A3758" s="27">
        <v>20.8</v>
      </c>
    </row>
    <row r="3759" spans="1:1">
      <c r="A3759" s="28">
        <v>46.2</v>
      </c>
    </row>
    <row r="3760" spans="1:1">
      <c r="A3760" s="25">
        <v>180</v>
      </c>
    </row>
    <row r="3761" spans="1:1" ht="45">
      <c r="A3761" s="26" t="s">
        <v>455</v>
      </c>
    </row>
    <row r="3762" spans="1:1">
      <c r="A3762" s="27" t="s">
        <v>42</v>
      </c>
    </row>
    <row r="3763" spans="1:1">
      <c r="A3763" s="27">
        <v>619</v>
      </c>
    </row>
    <row r="3764" spans="1:1">
      <c r="A3764" s="27">
        <v>73</v>
      </c>
    </row>
    <row r="3765" spans="1:1">
      <c r="A3765" s="27">
        <v>191</v>
      </c>
    </row>
    <row r="3766" spans="1:1">
      <c r="A3766" s="27">
        <v>264</v>
      </c>
    </row>
    <row r="3767" spans="1:1">
      <c r="A3767" s="27">
        <v>45</v>
      </c>
    </row>
    <row r="3768" spans="1:1">
      <c r="A3768" s="27">
        <v>104</v>
      </c>
    </row>
    <row r="3769" spans="1:1">
      <c r="A3769" s="27">
        <v>0.43</v>
      </c>
    </row>
    <row r="3770" spans="1:1">
      <c r="A3770" s="27">
        <v>26</v>
      </c>
    </row>
    <row r="3771" spans="1:1">
      <c r="A3771" s="27">
        <v>84</v>
      </c>
    </row>
    <row r="3772" spans="1:1">
      <c r="A3772" s="27">
        <v>0</v>
      </c>
    </row>
    <row r="3773" spans="1:1">
      <c r="A3773" s="27">
        <v>5</v>
      </c>
    </row>
    <row r="3774" spans="1:1">
      <c r="A3774" s="27">
        <v>13</v>
      </c>
    </row>
    <row r="3775" spans="1:1">
      <c r="A3775" s="27">
        <v>2</v>
      </c>
    </row>
    <row r="3776" spans="1:1">
      <c r="A3776" s="27">
        <v>995</v>
      </c>
    </row>
    <row r="3777" spans="1:1">
      <c r="A3777" s="27">
        <v>7.3</v>
      </c>
    </row>
    <row r="3778" spans="1:1">
      <c r="A3778" s="29">
        <v>0.93194444444444446</v>
      </c>
    </row>
    <row r="3779" spans="1:1">
      <c r="A3779" s="27">
        <v>27.4</v>
      </c>
    </row>
    <row r="3780" spans="1:1">
      <c r="A3780" s="28">
        <v>33.299999999999997</v>
      </c>
    </row>
    <row r="3781" spans="1:1">
      <c r="A3781" s="25">
        <v>181</v>
      </c>
    </row>
    <row r="3782" spans="1:1" ht="30">
      <c r="A3782" s="26" t="s">
        <v>339</v>
      </c>
    </row>
    <row r="3783" spans="1:1">
      <c r="A3783" s="27" t="s">
        <v>653</v>
      </c>
    </row>
    <row r="3784" spans="1:1">
      <c r="A3784" s="27">
        <v>586</v>
      </c>
    </row>
    <row r="3785" spans="1:1">
      <c r="A3785" s="27">
        <v>114</v>
      </c>
    </row>
    <row r="3786" spans="1:1">
      <c r="A3786" s="27">
        <v>149</v>
      </c>
    </row>
    <row r="3787" spans="1:1">
      <c r="A3787" s="27">
        <v>263</v>
      </c>
    </row>
    <row r="3788" spans="1:1">
      <c r="A3788" s="27">
        <v>62</v>
      </c>
    </row>
    <row r="3789" spans="1:1">
      <c r="A3789" s="27">
        <v>163</v>
      </c>
    </row>
    <row r="3790" spans="1:1">
      <c r="A3790" s="27">
        <v>0.45</v>
      </c>
    </row>
    <row r="3791" spans="1:1">
      <c r="A3791" s="27">
        <v>22</v>
      </c>
    </row>
    <row r="3792" spans="1:1">
      <c r="A3792" s="27">
        <v>47</v>
      </c>
    </row>
    <row r="3793" spans="1:1">
      <c r="A3793" s="27">
        <v>2</v>
      </c>
    </row>
    <row r="3794" spans="1:1">
      <c r="A3794" s="27">
        <v>3</v>
      </c>
    </row>
    <row r="3795" spans="1:1">
      <c r="A3795" s="27">
        <v>11</v>
      </c>
    </row>
    <row r="3796" spans="1:1">
      <c r="A3796" s="27">
        <v>1</v>
      </c>
    </row>
    <row r="3797" spans="1:1">
      <c r="A3797" s="27">
        <v>938</v>
      </c>
    </row>
    <row r="3798" spans="1:1">
      <c r="A3798" s="27">
        <v>12.2</v>
      </c>
    </row>
    <row r="3799" spans="1:1">
      <c r="A3799" s="29">
        <v>0.65208333333333335</v>
      </c>
    </row>
    <row r="3800" spans="1:1">
      <c r="A3800" s="27">
        <v>21.9</v>
      </c>
    </row>
    <row r="3801" spans="1:1">
      <c r="A3801" s="28">
        <v>49.5</v>
      </c>
    </row>
    <row r="3802" spans="1:1">
      <c r="A3802" s="25">
        <v>182</v>
      </c>
    </row>
    <row r="3803" spans="1:1" ht="30">
      <c r="A3803" s="26" t="s">
        <v>1145</v>
      </c>
    </row>
    <row r="3804" spans="1:1">
      <c r="A3804" s="27" t="s">
        <v>42</v>
      </c>
    </row>
    <row r="3805" spans="1:1">
      <c r="A3805" s="27">
        <v>500</v>
      </c>
    </row>
    <row r="3806" spans="1:1">
      <c r="A3806" s="27">
        <v>54</v>
      </c>
    </row>
    <row r="3807" spans="1:1">
      <c r="A3807" s="27">
        <v>209</v>
      </c>
    </row>
    <row r="3808" spans="1:1">
      <c r="A3808" s="27">
        <v>263</v>
      </c>
    </row>
    <row r="3809" spans="1:1">
      <c r="A3809" s="27">
        <v>-50</v>
      </c>
    </row>
    <row r="3810" spans="1:1">
      <c r="A3810" s="27">
        <v>121</v>
      </c>
    </row>
    <row r="3811" spans="1:1">
      <c r="A3811" s="27">
        <v>0.53</v>
      </c>
    </row>
    <row r="3812" spans="1:1">
      <c r="A3812" s="27">
        <v>9</v>
      </c>
    </row>
    <row r="3813" spans="1:1">
      <c r="A3813" s="27">
        <v>85</v>
      </c>
    </row>
    <row r="3814" spans="1:1">
      <c r="A3814" s="27">
        <v>1</v>
      </c>
    </row>
    <row r="3815" spans="1:1">
      <c r="A3815" s="27">
        <v>1</v>
      </c>
    </row>
    <row r="3816" spans="1:1">
      <c r="A3816" s="27">
        <v>8</v>
      </c>
    </row>
    <row r="3817" spans="1:1">
      <c r="A3817" s="27">
        <v>4</v>
      </c>
    </row>
    <row r="3818" spans="1:1">
      <c r="A3818" s="27">
        <v>1064</v>
      </c>
    </row>
    <row r="3819" spans="1:1">
      <c r="A3819" s="27">
        <v>5.0999999999999996</v>
      </c>
    </row>
    <row r="3820" spans="1:1">
      <c r="A3820" s="29">
        <v>0.90069444444444446</v>
      </c>
    </row>
    <row r="3821" spans="1:1">
      <c r="A3821" s="27">
        <v>28.1</v>
      </c>
    </row>
    <row r="3822" spans="1:1">
      <c r="A3822" s="28">
        <v>0</v>
      </c>
    </row>
    <row r="3823" spans="1:1">
      <c r="A3823" s="25">
        <v>183</v>
      </c>
    </row>
    <row r="3824" spans="1:1" ht="30">
      <c r="A3824" s="26" t="s">
        <v>199</v>
      </c>
    </row>
    <row r="3825" spans="1:1">
      <c r="A3825" s="27" t="s">
        <v>653</v>
      </c>
    </row>
    <row r="3826" spans="1:1">
      <c r="A3826" s="27">
        <v>506</v>
      </c>
    </row>
    <row r="3827" spans="1:1">
      <c r="A3827" s="27">
        <v>132</v>
      </c>
    </row>
    <row r="3828" spans="1:1">
      <c r="A3828" s="27">
        <v>129</v>
      </c>
    </row>
    <row r="3829" spans="1:1">
      <c r="A3829" s="27">
        <v>261</v>
      </c>
    </row>
    <row r="3830" spans="1:1">
      <c r="A3830" s="27">
        <v>1</v>
      </c>
    </row>
    <row r="3831" spans="1:1">
      <c r="A3831" s="27">
        <v>187</v>
      </c>
    </row>
    <row r="3832" spans="1:1">
      <c r="A3832" s="27">
        <v>0.52</v>
      </c>
    </row>
    <row r="3833" spans="1:1">
      <c r="A3833" s="27">
        <v>25</v>
      </c>
    </row>
    <row r="3834" spans="1:1">
      <c r="A3834" s="27">
        <v>53</v>
      </c>
    </row>
    <row r="3835" spans="1:1">
      <c r="A3835" s="27">
        <v>1</v>
      </c>
    </row>
    <row r="3836" spans="1:1">
      <c r="A3836" s="27">
        <v>2</v>
      </c>
    </row>
    <row r="3837" spans="1:1">
      <c r="A3837" s="27">
        <v>21</v>
      </c>
    </row>
    <row r="3838" spans="1:1">
      <c r="A3838" s="27">
        <v>6</v>
      </c>
    </row>
    <row r="3839" spans="1:1">
      <c r="A3839" s="27">
        <v>1062</v>
      </c>
    </row>
    <row r="3840" spans="1:1">
      <c r="A3840" s="27">
        <v>12.4</v>
      </c>
    </row>
    <row r="3841" spans="1:1">
      <c r="A3841" s="29">
        <v>0.66249999999999998</v>
      </c>
    </row>
    <row r="3842" spans="1:1">
      <c r="A3842" s="27">
        <v>20.8</v>
      </c>
    </row>
    <row r="3843" spans="1:1">
      <c r="A3843" s="28">
        <v>46.5</v>
      </c>
    </row>
    <row r="3844" spans="1:1">
      <c r="A3844" s="25">
        <v>184</v>
      </c>
    </row>
    <row r="3845" spans="1:1" ht="30">
      <c r="A3845" s="26" t="s">
        <v>569</v>
      </c>
    </row>
    <row r="3846" spans="1:1">
      <c r="A3846" s="27" t="s">
        <v>44</v>
      </c>
    </row>
    <row r="3847" spans="1:1">
      <c r="A3847" s="27">
        <v>410</v>
      </c>
    </row>
    <row r="3848" spans="1:1">
      <c r="A3848" s="27">
        <v>122</v>
      </c>
    </row>
    <row r="3849" spans="1:1">
      <c r="A3849" s="27">
        <v>138</v>
      </c>
    </row>
    <row r="3850" spans="1:1">
      <c r="A3850" s="27">
        <v>260</v>
      </c>
    </row>
    <row r="3851" spans="1:1">
      <c r="A3851" s="27">
        <v>8</v>
      </c>
    </row>
    <row r="3852" spans="1:1">
      <c r="A3852" s="27">
        <v>90</v>
      </c>
    </row>
    <row r="3853" spans="1:1">
      <c r="A3853" s="27">
        <v>0.63</v>
      </c>
    </row>
    <row r="3854" spans="1:1">
      <c r="A3854" s="27">
        <v>26</v>
      </c>
    </row>
    <row r="3855" spans="1:1">
      <c r="A3855" s="27">
        <v>65</v>
      </c>
    </row>
    <row r="3856" spans="1:1">
      <c r="A3856" s="27">
        <v>0</v>
      </c>
    </row>
    <row r="3857" spans="1:1">
      <c r="A3857" s="27">
        <v>3</v>
      </c>
    </row>
    <row r="3858" spans="1:1">
      <c r="A3858" s="27">
        <v>23</v>
      </c>
    </row>
    <row r="3859" spans="1:1">
      <c r="A3859" s="27">
        <v>5</v>
      </c>
    </row>
    <row r="3860" spans="1:1">
      <c r="A3860" s="27">
        <v>979</v>
      </c>
    </row>
    <row r="3861" spans="1:1">
      <c r="A3861" s="27">
        <v>12.5</v>
      </c>
    </row>
    <row r="3862" spans="1:1">
      <c r="A3862" s="29">
        <v>0.69097222222222221</v>
      </c>
    </row>
    <row r="3863" spans="1:1">
      <c r="A3863" s="27">
        <v>20.7</v>
      </c>
    </row>
    <row r="3864" spans="1:1">
      <c r="A3864" s="28">
        <v>45.5</v>
      </c>
    </row>
    <row r="3865" spans="1:1">
      <c r="A3865" s="25">
        <v>185</v>
      </c>
    </row>
    <row r="3866" spans="1:1" ht="30">
      <c r="A3866" s="26" t="s">
        <v>712</v>
      </c>
    </row>
    <row r="3867" spans="1:1">
      <c r="A3867" s="27" t="s">
        <v>653</v>
      </c>
    </row>
    <row r="3868" spans="1:1">
      <c r="A3868" s="27">
        <v>385</v>
      </c>
    </row>
    <row r="3869" spans="1:1">
      <c r="A3869" s="27">
        <v>105</v>
      </c>
    </row>
    <row r="3870" spans="1:1">
      <c r="A3870" s="27">
        <v>155</v>
      </c>
    </row>
    <row r="3871" spans="1:1">
      <c r="A3871" s="27">
        <v>260</v>
      </c>
    </row>
    <row r="3872" spans="1:1">
      <c r="A3872" s="27">
        <v>-21</v>
      </c>
    </row>
    <row r="3873" spans="1:1">
      <c r="A3873" s="27">
        <v>233</v>
      </c>
    </row>
    <row r="3874" spans="1:1">
      <c r="A3874" s="27">
        <v>0.68</v>
      </c>
    </row>
    <row r="3875" spans="1:1">
      <c r="A3875" s="27">
        <v>24</v>
      </c>
    </row>
    <row r="3876" spans="1:1">
      <c r="A3876" s="27">
        <v>69</v>
      </c>
    </row>
    <row r="3877" spans="1:1">
      <c r="A3877" s="27">
        <v>7</v>
      </c>
    </row>
    <row r="3878" spans="1:1">
      <c r="A3878" s="27">
        <v>9</v>
      </c>
    </row>
    <row r="3879" spans="1:1">
      <c r="A3879" s="27">
        <v>12</v>
      </c>
    </row>
    <row r="3880" spans="1:1">
      <c r="A3880" s="27">
        <v>1</v>
      </c>
    </row>
    <row r="3881" spans="1:1">
      <c r="A3881" s="27">
        <v>1026</v>
      </c>
    </row>
    <row r="3882" spans="1:1">
      <c r="A3882" s="27">
        <v>10.199999999999999</v>
      </c>
    </row>
    <row r="3883" spans="1:1">
      <c r="A3883" s="29">
        <v>0.79166666666666663</v>
      </c>
    </row>
    <row r="3884" spans="1:1">
      <c r="A3884" s="27">
        <v>23.5</v>
      </c>
    </row>
    <row r="3885" spans="1:1">
      <c r="A3885" s="28">
        <v>51.1</v>
      </c>
    </row>
    <row r="3886" spans="1:1">
      <c r="A3886" s="25">
        <v>186</v>
      </c>
    </row>
    <row r="3887" spans="1:1" ht="45">
      <c r="A3887" s="26" t="s">
        <v>494</v>
      </c>
    </row>
    <row r="3888" spans="1:1">
      <c r="A3888" s="27" t="s">
        <v>653</v>
      </c>
    </row>
    <row r="3889" spans="1:1">
      <c r="A3889" s="27">
        <v>511</v>
      </c>
    </row>
    <row r="3890" spans="1:1">
      <c r="A3890" s="27">
        <v>94</v>
      </c>
    </row>
    <row r="3891" spans="1:1">
      <c r="A3891" s="27">
        <v>166</v>
      </c>
    </row>
    <row r="3892" spans="1:1">
      <c r="A3892" s="27">
        <v>260</v>
      </c>
    </row>
    <row r="3893" spans="1:1">
      <c r="A3893" s="27">
        <v>-23</v>
      </c>
    </row>
    <row r="3894" spans="1:1">
      <c r="A3894" s="27">
        <v>182</v>
      </c>
    </row>
    <row r="3895" spans="1:1">
      <c r="A3895" s="27">
        <v>0.51</v>
      </c>
    </row>
    <row r="3896" spans="1:1">
      <c r="A3896" s="27">
        <v>22</v>
      </c>
    </row>
    <row r="3897" spans="1:1">
      <c r="A3897" s="27">
        <v>59</v>
      </c>
    </row>
    <row r="3898" spans="1:1">
      <c r="A3898" s="27">
        <v>4</v>
      </c>
    </row>
    <row r="3899" spans="1:1">
      <c r="A3899" s="27">
        <v>6</v>
      </c>
    </row>
    <row r="3900" spans="1:1">
      <c r="A3900" s="27">
        <v>11</v>
      </c>
    </row>
    <row r="3901" spans="1:1">
      <c r="A3901" s="27">
        <v>0</v>
      </c>
    </row>
    <row r="3902" spans="1:1">
      <c r="A3902" s="27">
        <v>971</v>
      </c>
    </row>
    <row r="3903" spans="1:1">
      <c r="A3903" s="27">
        <v>9.6999999999999993</v>
      </c>
    </row>
    <row r="3904" spans="1:1">
      <c r="A3904" s="29">
        <v>0.6777777777777777</v>
      </c>
    </row>
    <row r="3905" spans="1:1">
      <c r="A3905" s="27">
        <v>20.8</v>
      </c>
    </row>
    <row r="3906" spans="1:1">
      <c r="A3906" s="28">
        <v>47.6</v>
      </c>
    </row>
    <row r="3907" spans="1:1">
      <c r="A3907" s="25">
        <v>187</v>
      </c>
    </row>
    <row r="3908" spans="1:1">
      <c r="A3908" s="26" t="s">
        <v>1132</v>
      </c>
    </row>
    <row r="3909" spans="1:1">
      <c r="A3909" s="27" t="s">
        <v>42</v>
      </c>
    </row>
    <row r="3910" spans="1:1">
      <c r="A3910" s="27">
        <v>594</v>
      </c>
    </row>
    <row r="3911" spans="1:1">
      <c r="A3911" s="27">
        <v>45</v>
      </c>
    </row>
    <row r="3912" spans="1:1">
      <c r="A3912" s="27">
        <v>212</v>
      </c>
    </row>
    <row r="3913" spans="1:1">
      <c r="A3913" s="27">
        <v>257</v>
      </c>
    </row>
    <row r="3914" spans="1:1">
      <c r="A3914" s="27">
        <v>10</v>
      </c>
    </row>
    <row r="3915" spans="1:1">
      <c r="A3915" s="27">
        <v>174</v>
      </c>
    </row>
    <row r="3916" spans="1:1">
      <c r="A3916" s="27">
        <v>0.43</v>
      </c>
    </row>
    <row r="3917" spans="1:1">
      <c r="A3917" s="27">
        <v>10</v>
      </c>
    </row>
    <row r="3918" spans="1:1">
      <c r="A3918" s="27">
        <v>65</v>
      </c>
    </row>
    <row r="3919" spans="1:1">
      <c r="A3919" s="27">
        <v>3</v>
      </c>
    </row>
    <row r="3920" spans="1:1">
      <c r="A3920" s="27">
        <v>10</v>
      </c>
    </row>
    <row r="3921" spans="1:1">
      <c r="A3921" s="27">
        <v>11</v>
      </c>
    </row>
    <row r="3922" spans="1:1">
      <c r="A3922" s="27">
        <v>5</v>
      </c>
    </row>
    <row r="3923" spans="1:1">
      <c r="A3923" s="27">
        <v>729</v>
      </c>
    </row>
    <row r="3924" spans="1:1">
      <c r="A3924" s="27">
        <v>6.2</v>
      </c>
    </row>
    <row r="3925" spans="1:1">
      <c r="A3925" s="29">
        <v>0.94513888888888886</v>
      </c>
    </row>
    <row r="3926" spans="1:1">
      <c r="A3926" s="27">
        <v>28.2</v>
      </c>
    </row>
    <row r="3927" spans="1:1">
      <c r="A3927" s="28">
        <v>0</v>
      </c>
    </row>
    <row r="3928" spans="1:1">
      <c r="A3928" s="25">
        <v>188</v>
      </c>
    </row>
    <row r="3929" spans="1:1" ht="45">
      <c r="A3929" s="26" t="s">
        <v>149</v>
      </c>
    </row>
    <row r="3930" spans="1:1">
      <c r="A3930" s="27" t="s">
        <v>44</v>
      </c>
    </row>
    <row r="3931" spans="1:1">
      <c r="A3931" s="27">
        <v>706</v>
      </c>
    </row>
    <row r="3932" spans="1:1">
      <c r="A3932" s="27">
        <v>106</v>
      </c>
    </row>
    <row r="3933" spans="1:1">
      <c r="A3933" s="27">
        <v>146</v>
      </c>
    </row>
    <row r="3934" spans="1:1">
      <c r="A3934" s="27">
        <v>252</v>
      </c>
    </row>
    <row r="3935" spans="1:1">
      <c r="A3935" s="27">
        <v>-41</v>
      </c>
    </row>
    <row r="3936" spans="1:1">
      <c r="A3936" s="27">
        <v>587</v>
      </c>
    </row>
    <row r="3937" spans="1:1">
      <c r="A3937" s="27">
        <v>0.36</v>
      </c>
    </row>
    <row r="3938" spans="1:1">
      <c r="A3938" s="27">
        <v>25</v>
      </c>
    </row>
    <row r="3939" spans="1:1">
      <c r="A3939" s="27">
        <v>48</v>
      </c>
    </row>
    <row r="3940" spans="1:1">
      <c r="A3940" s="27">
        <v>1</v>
      </c>
    </row>
    <row r="3941" spans="1:1">
      <c r="A3941" s="27">
        <v>3</v>
      </c>
    </row>
    <row r="3942" spans="1:1">
      <c r="A3942" s="27">
        <v>15</v>
      </c>
    </row>
    <row r="3943" spans="1:1">
      <c r="A3943" s="27">
        <v>3</v>
      </c>
    </row>
    <row r="3944" spans="1:1">
      <c r="A3944" s="27">
        <v>1213</v>
      </c>
    </row>
    <row r="3945" spans="1:1">
      <c r="A3945" s="27">
        <v>8.6999999999999993</v>
      </c>
    </row>
    <row r="3946" spans="1:1">
      <c r="A3946" s="29">
        <v>0.62847222222222221</v>
      </c>
    </row>
    <row r="3947" spans="1:1">
      <c r="A3947" s="27">
        <v>20.399999999999999</v>
      </c>
    </row>
    <row r="3948" spans="1:1">
      <c r="A3948" s="28">
        <v>50.1</v>
      </c>
    </row>
    <row r="3949" spans="1:1">
      <c r="A3949" s="25">
        <v>189</v>
      </c>
    </row>
    <row r="3950" spans="1:1" ht="45">
      <c r="A3950" s="26" t="s">
        <v>249</v>
      </c>
    </row>
    <row r="3951" spans="1:1">
      <c r="A3951" s="27" t="s">
        <v>44</v>
      </c>
    </row>
    <row r="3952" spans="1:1">
      <c r="A3952" s="27">
        <v>388</v>
      </c>
    </row>
    <row r="3953" spans="1:1">
      <c r="A3953" s="27">
        <v>83</v>
      </c>
    </row>
    <row r="3954" spans="1:1">
      <c r="A3954" s="27">
        <v>169</v>
      </c>
    </row>
    <row r="3955" spans="1:1">
      <c r="A3955" s="27">
        <v>252</v>
      </c>
    </row>
    <row r="3956" spans="1:1">
      <c r="A3956" s="27">
        <v>42</v>
      </c>
    </row>
    <row r="3957" spans="1:1">
      <c r="A3957" s="27">
        <v>68</v>
      </c>
    </row>
    <row r="3958" spans="1:1">
      <c r="A3958" s="27">
        <v>0.65</v>
      </c>
    </row>
    <row r="3959" spans="1:1">
      <c r="A3959" s="27">
        <v>22</v>
      </c>
    </row>
    <row r="3960" spans="1:1">
      <c r="A3960" s="27">
        <v>80</v>
      </c>
    </row>
    <row r="3961" spans="1:1">
      <c r="A3961" s="27">
        <v>2</v>
      </c>
    </row>
    <row r="3962" spans="1:1">
      <c r="A3962" s="27">
        <v>8</v>
      </c>
    </row>
    <row r="3963" spans="1:1">
      <c r="A3963" s="27">
        <v>10</v>
      </c>
    </row>
    <row r="3964" spans="1:1">
      <c r="A3964" s="27">
        <v>2</v>
      </c>
    </row>
    <row r="3965" spans="1:1">
      <c r="A3965" s="27">
        <v>804</v>
      </c>
    </row>
    <row r="3966" spans="1:1">
      <c r="A3966" s="27">
        <v>10.3</v>
      </c>
    </row>
    <row r="3967" spans="1:1">
      <c r="A3967" s="29">
        <v>0.68611111111111101</v>
      </c>
    </row>
    <row r="3968" spans="1:1">
      <c r="A3968" s="27">
        <v>21.6</v>
      </c>
    </row>
    <row r="3969" spans="1:1">
      <c r="A3969" s="28">
        <v>43.8</v>
      </c>
    </row>
    <row r="3970" spans="1:1">
      <c r="A3970" s="25">
        <v>190</v>
      </c>
    </row>
    <row r="3971" spans="1:1" ht="30">
      <c r="A3971" s="26" t="s">
        <v>114</v>
      </c>
    </row>
    <row r="3972" spans="1:1">
      <c r="A3972" s="27" t="s">
        <v>42</v>
      </c>
    </row>
    <row r="3973" spans="1:1">
      <c r="A3973" s="27">
        <v>776</v>
      </c>
    </row>
    <row r="3974" spans="1:1">
      <c r="A3974" s="27">
        <v>49</v>
      </c>
    </row>
    <row r="3975" spans="1:1">
      <c r="A3975" s="27">
        <v>203</v>
      </c>
    </row>
    <row r="3976" spans="1:1">
      <c r="A3976" s="27">
        <v>252</v>
      </c>
    </row>
    <row r="3977" spans="1:1">
      <c r="A3977" s="27">
        <v>64</v>
      </c>
    </row>
    <row r="3978" spans="1:1">
      <c r="A3978" s="27">
        <v>255</v>
      </c>
    </row>
    <row r="3979" spans="1:1">
      <c r="A3979" s="27">
        <v>0.32</v>
      </c>
    </row>
    <row r="3980" spans="1:1">
      <c r="A3980" s="27">
        <v>9</v>
      </c>
    </row>
    <row r="3981" spans="1:1">
      <c r="A3981" s="27">
        <v>77</v>
      </c>
    </row>
    <row r="3982" spans="1:1">
      <c r="A3982" s="27">
        <v>0</v>
      </c>
    </row>
    <row r="3983" spans="1:1">
      <c r="A3983" s="27">
        <v>1</v>
      </c>
    </row>
    <row r="3984" spans="1:1">
      <c r="A3984" s="27">
        <v>3</v>
      </c>
    </row>
    <row r="3985" spans="1:1">
      <c r="A3985" s="27">
        <v>0</v>
      </c>
    </row>
    <row r="3986" spans="1:1">
      <c r="A3986" s="27">
        <v>1129</v>
      </c>
    </row>
    <row r="3987" spans="1:1">
      <c r="A3987" s="27">
        <v>4.3</v>
      </c>
    </row>
    <row r="3988" spans="1:1">
      <c r="A3988" s="29">
        <v>0.82777777777777783</v>
      </c>
    </row>
    <row r="3989" spans="1:1">
      <c r="A3989" s="27">
        <v>24.4</v>
      </c>
    </row>
    <row r="3990" spans="1:1">
      <c r="A3990" s="28">
        <v>50</v>
      </c>
    </row>
    <row r="3991" spans="1:1">
      <c r="A3991" s="25">
        <v>191</v>
      </c>
    </row>
    <row r="3992" spans="1:1" ht="30">
      <c r="A3992" s="26" t="s">
        <v>240</v>
      </c>
    </row>
    <row r="3993" spans="1:1">
      <c r="A3993" s="27" t="s">
        <v>42</v>
      </c>
    </row>
    <row r="3994" spans="1:1">
      <c r="A3994" s="27">
        <v>579</v>
      </c>
    </row>
    <row r="3995" spans="1:1">
      <c r="A3995" s="27">
        <v>46</v>
      </c>
    </row>
    <row r="3996" spans="1:1">
      <c r="A3996" s="27">
        <v>205</v>
      </c>
    </row>
    <row r="3997" spans="1:1">
      <c r="A3997" s="27">
        <v>251</v>
      </c>
    </row>
    <row r="3998" spans="1:1">
      <c r="A3998" s="27">
        <v>-9</v>
      </c>
    </row>
    <row r="3999" spans="1:1">
      <c r="A3999" s="27">
        <v>203</v>
      </c>
    </row>
    <row r="4000" spans="1:1">
      <c r="A4000" s="27">
        <v>0.43</v>
      </c>
    </row>
    <row r="4001" spans="1:1">
      <c r="A4001" s="27">
        <v>7</v>
      </c>
    </row>
    <row r="4002" spans="1:1">
      <c r="A4002" s="27">
        <v>75</v>
      </c>
    </row>
    <row r="4003" spans="1:1">
      <c r="A4003" s="27">
        <v>1</v>
      </c>
    </row>
    <row r="4004" spans="1:1">
      <c r="A4004" s="27">
        <v>2</v>
      </c>
    </row>
    <row r="4005" spans="1:1">
      <c r="A4005" s="27">
        <v>6</v>
      </c>
    </row>
    <row r="4006" spans="1:1">
      <c r="A4006" s="27">
        <v>4</v>
      </c>
    </row>
    <row r="4007" spans="1:1">
      <c r="A4007" s="27">
        <v>822</v>
      </c>
    </row>
    <row r="4008" spans="1:1">
      <c r="A4008" s="27">
        <v>5.6</v>
      </c>
    </row>
    <row r="4009" spans="1:1">
      <c r="A4009" s="29">
        <v>0.87986111111111109</v>
      </c>
    </row>
    <row r="4010" spans="1:1">
      <c r="A4010" s="27">
        <v>26.3</v>
      </c>
    </row>
    <row r="4011" spans="1:1">
      <c r="A4011" s="28">
        <v>66.7</v>
      </c>
    </row>
    <row r="4012" spans="1:1">
      <c r="A4012" s="25">
        <v>192</v>
      </c>
    </row>
    <row r="4013" spans="1:1" ht="30">
      <c r="A4013" s="26" t="s">
        <v>699</v>
      </c>
    </row>
    <row r="4014" spans="1:1">
      <c r="A4014" s="27" t="s">
        <v>653</v>
      </c>
    </row>
    <row r="4015" spans="1:1">
      <c r="A4015" s="27">
        <v>406</v>
      </c>
    </row>
    <row r="4016" spans="1:1">
      <c r="A4016" s="27">
        <v>106</v>
      </c>
    </row>
    <row r="4017" spans="1:1">
      <c r="A4017" s="27">
        <v>140</v>
      </c>
    </row>
    <row r="4018" spans="1:1">
      <c r="A4018" s="27">
        <v>246</v>
      </c>
    </row>
    <row r="4019" spans="1:1">
      <c r="A4019" s="27">
        <v>-58</v>
      </c>
    </row>
    <row r="4020" spans="1:1">
      <c r="A4020" s="27">
        <v>110</v>
      </c>
    </row>
    <row r="4021" spans="1:1">
      <c r="A4021" s="27">
        <v>0.61</v>
      </c>
    </row>
    <row r="4022" spans="1:1">
      <c r="A4022" s="27">
        <v>30</v>
      </c>
    </row>
    <row r="4023" spans="1:1">
      <c r="A4023" s="27">
        <v>63</v>
      </c>
    </row>
    <row r="4024" spans="1:1">
      <c r="A4024" s="27">
        <v>6</v>
      </c>
    </row>
    <row r="4025" spans="1:1">
      <c r="A4025" s="27">
        <v>7</v>
      </c>
    </row>
    <row r="4026" spans="1:1">
      <c r="A4026" s="27">
        <v>12</v>
      </c>
    </row>
    <row r="4027" spans="1:1">
      <c r="A4027" s="27">
        <v>3</v>
      </c>
    </row>
    <row r="4028" spans="1:1">
      <c r="A4028" s="27">
        <v>870</v>
      </c>
    </row>
    <row r="4029" spans="1:1">
      <c r="A4029" s="27">
        <v>12.2</v>
      </c>
    </row>
    <row r="4030" spans="1:1">
      <c r="A4030" s="29">
        <v>0.74375000000000002</v>
      </c>
    </row>
    <row r="4031" spans="1:1">
      <c r="A4031" s="27">
        <v>24.6</v>
      </c>
    </row>
    <row r="4032" spans="1:1">
      <c r="A4032" s="28">
        <v>52.5</v>
      </c>
    </row>
    <row r="4033" spans="1:1">
      <c r="A4033" s="25">
        <v>193</v>
      </c>
    </row>
    <row r="4034" spans="1:1" ht="30">
      <c r="A4034" s="26" t="s">
        <v>176</v>
      </c>
    </row>
    <row r="4035" spans="1:1">
      <c r="A4035" s="27" t="s">
        <v>44</v>
      </c>
    </row>
    <row r="4036" spans="1:1">
      <c r="A4036" s="27">
        <v>565</v>
      </c>
    </row>
    <row r="4037" spans="1:1">
      <c r="A4037" s="27">
        <v>93</v>
      </c>
    </row>
    <row r="4038" spans="1:1">
      <c r="A4038" s="27">
        <v>153</v>
      </c>
    </row>
    <row r="4039" spans="1:1">
      <c r="A4039" s="27">
        <v>246</v>
      </c>
    </row>
    <row r="4040" spans="1:1">
      <c r="A4040" s="27">
        <v>93</v>
      </c>
    </row>
    <row r="4041" spans="1:1">
      <c r="A4041" s="27">
        <v>240</v>
      </c>
    </row>
    <row r="4042" spans="1:1">
      <c r="A4042" s="27">
        <v>0.44</v>
      </c>
    </row>
    <row r="4043" spans="1:1">
      <c r="A4043" s="27">
        <v>2</v>
      </c>
    </row>
    <row r="4044" spans="1:1">
      <c r="A4044" s="27">
        <v>2</v>
      </c>
    </row>
    <row r="4045" spans="1:1">
      <c r="A4045" s="27">
        <v>4</v>
      </c>
    </row>
    <row r="4046" spans="1:1">
      <c r="A4046" s="27">
        <v>10</v>
      </c>
    </row>
    <row r="4047" spans="1:1">
      <c r="A4047" s="27">
        <v>24</v>
      </c>
    </row>
    <row r="4048" spans="1:1">
      <c r="A4048" s="27">
        <v>1</v>
      </c>
    </row>
    <row r="4049" spans="1:1">
      <c r="A4049" s="27">
        <v>1195</v>
      </c>
    </row>
    <row r="4050" spans="1:1">
      <c r="A4050" s="27">
        <v>7.8</v>
      </c>
    </row>
    <row r="4051" spans="1:1">
      <c r="A4051" s="29">
        <v>0.64722222222222225</v>
      </c>
    </row>
    <row r="4052" spans="1:1">
      <c r="A4052" s="27">
        <v>21.5</v>
      </c>
    </row>
    <row r="4053" spans="1:1">
      <c r="A4053" s="28">
        <v>36.200000000000003</v>
      </c>
    </row>
    <row r="4054" spans="1:1">
      <c r="A4054" s="25">
        <v>194</v>
      </c>
    </row>
    <row r="4055" spans="1:1" ht="30">
      <c r="A4055" s="26" t="s">
        <v>441</v>
      </c>
    </row>
    <row r="4056" spans="1:1">
      <c r="A4056" s="27" t="s">
        <v>43</v>
      </c>
    </row>
    <row r="4057" spans="1:1">
      <c r="A4057" s="27">
        <v>530</v>
      </c>
    </row>
    <row r="4058" spans="1:1">
      <c r="A4058" s="27">
        <v>114</v>
      </c>
    </row>
    <row r="4059" spans="1:1">
      <c r="A4059" s="27">
        <v>129</v>
      </c>
    </row>
    <row r="4060" spans="1:1">
      <c r="A4060" s="27">
        <v>243</v>
      </c>
    </row>
    <row r="4061" spans="1:1">
      <c r="A4061" s="27">
        <v>29</v>
      </c>
    </row>
    <row r="4062" spans="1:1">
      <c r="A4062" s="27">
        <v>567</v>
      </c>
    </row>
    <row r="4063" spans="1:1">
      <c r="A4063" s="27">
        <v>0.46</v>
      </c>
    </row>
    <row r="4064" spans="1:1">
      <c r="A4064" s="27">
        <v>26</v>
      </c>
    </row>
    <row r="4065" spans="1:1">
      <c r="A4065" s="27">
        <v>51</v>
      </c>
    </row>
    <row r="4066" spans="1:1">
      <c r="A4066" s="27">
        <v>0</v>
      </c>
    </row>
    <row r="4067" spans="1:1">
      <c r="A4067" s="27">
        <v>0</v>
      </c>
    </row>
    <row r="4068" spans="1:1">
      <c r="A4068" s="27">
        <v>14</v>
      </c>
    </row>
    <row r="4069" spans="1:1">
      <c r="A4069" s="27">
        <v>2</v>
      </c>
    </row>
    <row r="4070" spans="1:1">
      <c r="A4070" s="27">
        <v>988</v>
      </c>
    </row>
    <row r="4071" spans="1:1">
      <c r="A4071" s="27">
        <v>11.5</v>
      </c>
    </row>
    <row r="4072" spans="1:1">
      <c r="A4072" s="29">
        <v>0.63541666666666663</v>
      </c>
    </row>
    <row r="4073" spans="1:1">
      <c r="A4073" s="27">
        <v>19.5</v>
      </c>
    </row>
    <row r="4074" spans="1:1">
      <c r="A4074" s="28">
        <v>48</v>
      </c>
    </row>
    <row r="4075" spans="1:1">
      <c r="A4075" s="25">
        <v>195</v>
      </c>
    </row>
    <row r="4076" spans="1:1" ht="30">
      <c r="A4076" s="26" t="s">
        <v>802</v>
      </c>
    </row>
    <row r="4077" spans="1:1">
      <c r="A4077" s="27" t="s">
        <v>43</v>
      </c>
    </row>
    <row r="4078" spans="1:1">
      <c r="A4078" s="27">
        <v>409</v>
      </c>
    </row>
    <row r="4079" spans="1:1">
      <c r="A4079" s="27">
        <v>100</v>
      </c>
    </row>
    <row r="4080" spans="1:1">
      <c r="A4080" s="27">
        <v>143</v>
      </c>
    </row>
    <row r="4081" spans="1:1">
      <c r="A4081" s="27">
        <v>243</v>
      </c>
    </row>
    <row r="4082" spans="1:1">
      <c r="A4082" s="27">
        <v>25</v>
      </c>
    </row>
    <row r="4083" spans="1:1">
      <c r="A4083" s="27">
        <v>110</v>
      </c>
    </row>
    <row r="4084" spans="1:1">
      <c r="A4084" s="27">
        <v>0.59</v>
      </c>
    </row>
    <row r="4085" spans="1:1">
      <c r="A4085" s="27">
        <v>15</v>
      </c>
    </row>
    <row r="4086" spans="1:1">
      <c r="A4086" s="27">
        <v>38</v>
      </c>
    </row>
    <row r="4087" spans="1:1">
      <c r="A4087" s="27">
        <v>7</v>
      </c>
    </row>
    <row r="4088" spans="1:1">
      <c r="A4088" s="27">
        <v>14</v>
      </c>
    </row>
    <row r="4089" spans="1:1">
      <c r="A4089" s="27">
        <v>15</v>
      </c>
    </row>
    <row r="4090" spans="1:1">
      <c r="A4090" s="27">
        <v>1</v>
      </c>
    </row>
    <row r="4091" spans="1:1">
      <c r="A4091" s="27">
        <v>779</v>
      </c>
    </row>
    <row r="4092" spans="1:1">
      <c r="A4092" s="27">
        <v>12.8</v>
      </c>
    </row>
    <row r="4093" spans="1:1">
      <c r="A4093" s="29">
        <v>0.66111111111111109</v>
      </c>
    </row>
    <row r="4094" spans="1:1">
      <c r="A4094" s="27">
        <v>21.7</v>
      </c>
    </row>
    <row r="4095" spans="1:1">
      <c r="A4095" s="28">
        <v>45.6</v>
      </c>
    </row>
    <row r="4096" spans="1:1">
      <c r="A4096" s="25">
        <v>196</v>
      </c>
    </row>
    <row r="4097" spans="1:1" ht="30">
      <c r="A4097" s="26" t="s">
        <v>1154</v>
      </c>
    </row>
    <row r="4098" spans="1:1">
      <c r="A4098" s="27" t="s">
        <v>42</v>
      </c>
    </row>
    <row r="4099" spans="1:1">
      <c r="A4099" s="27">
        <v>495</v>
      </c>
    </row>
    <row r="4100" spans="1:1">
      <c r="A4100" s="27">
        <v>57</v>
      </c>
    </row>
    <row r="4101" spans="1:1">
      <c r="A4101" s="27">
        <v>186</v>
      </c>
    </row>
    <row r="4102" spans="1:1">
      <c r="A4102" s="27">
        <v>243</v>
      </c>
    </row>
    <row r="4103" spans="1:1">
      <c r="A4103" s="27">
        <v>-21</v>
      </c>
    </row>
    <row r="4104" spans="1:1">
      <c r="A4104" s="27">
        <v>160</v>
      </c>
    </row>
    <row r="4105" spans="1:1">
      <c r="A4105" s="27">
        <v>0.49</v>
      </c>
    </row>
    <row r="4106" spans="1:1">
      <c r="A4106" s="27">
        <v>14</v>
      </c>
    </row>
    <row r="4107" spans="1:1">
      <c r="A4107" s="27">
        <v>80</v>
      </c>
    </row>
    <row r="4108" spans="1:1">
      <c r="A4108" s="27">
        <v>1</v>
      </c>
    </row>
    <row r="4109" spans="1:1">
      <c r="A4109" s="27">
        <v>5</v>
      </c>
    </row>
    <row r="4110" spans="1:1">
      <c r="A4110" s="27">
        <v>13</v>
      </c>
    </row>
    <row r="4111" spans="1:1">
      <c r="A4111" s="27">
        <v>8</v>
      </c>
    </row>
    <row r="4112" spans="1:1">
      <c r="A4112" s="27">
        <v>1024</v>
      </c>
    </row>
    <row r="4113" spans="1:1">
      <c r="A4113" s="27">
        <v>5.6</v>
      </c>
    </row>
    <row r="4114" spans="1:1">
      <c r="A4114" s="29">
        <v>0.94374999999999998</v>
      </c>
    </row>
    <row r="4115" spans="1:1">
      <c r="A4115" s="27">
        <v>27.3</v>
      </c>
    </row>
    <row r="4116" spans="1:1">
      <c r="A4116" s="28">
        <v>0</v>
      </c>
    </row>
    <row r="4117" spans="1:1">
      <c r="A4117" s="25">
        <v>197</v>
      </c>
    </row>
    <row r="4118" spans="1:1" ht="30">
      <c r="A4118" s="26" t="s">
        <v>896</v>
      </c>
    </row>
    <row r="4119" spans="1:1">
      <c r="A4119" s="27" t="s">
        <v>43</v>
      </c>
    </row>
    <row r="4120" spans="1:1">
      <c r="A4120" s="27">
        <v>633</v>
      </c>
    </row>
    <row r="4121" spans="1:1">
      <c r="A4121" s="27">
        <v>132</v>
      </c>
    </row>
    <row r="4122" spans="1:1">
      <c r="A4122" s="27">
        <v>110</v>
      </c>
    </row>
    <row r="4123" spans="1:1">
      <c r="A4123" s="27">
        <v>242</v>
      </c>
    </row>
    <row r="4124" spans="1:1">
      <c r="A4124" s="27">
        <v>4</v>
      </c>
    </row>
    <row r="4125" spans="1:1">
      <c r="A4125" s="27">
        <v>210</v>
      </c>
    </row>
    <row r="4126" spans="1:1">
      <c r="A4126" s="27">
        <v>0.38</v>
      </c>
    </row>
    <row r="4127" spans="1:1">
      <c r="A4127" s="27">
        <v>38</v>
      </c>
    </row>
    <row r="4128" spans="1:1">
      <c r="A4128" s="27">
        <v>57</v>
      </c>
    </row>
    <row r="4129" spans="1:1">
      <c r="A4129" s="27">
        <v>5</v>
      </c>
    </row>
    <row r="4130" spans="1:1">
      <c r="A4130" s="27">
        <v>5</v>
      </c>
    </row>
    <row r="4131" spans="1:1">
      <c r="A4131" s="27">
        <v>17</v>
      </c>
    </row>
    <row r="4132" spans="1:1">
      <c r="A4132" s="27">
        <v>0</v>
      </c>
    </row>
    <row r="4133" spans="1:1">
      <c r="A4133" s="27">
        <v>1168</v>
      </c>
    </row>
    <row r="4134" spans="1:1">
      <c r="A4134" s="27">
        <v>11.3</v>
      </c>
    </row>
    <row r="4135" spans="1:1">
      <c r="A4135" s="29">
        <v>0.53819444444444442</v>
      </c>
    </row>
    <row r="4136" spans="1:1">
      <c r="A4136" s="27">
        <v>18.5</v>
      </c>
    </row>
    <row r="4137" spans="1:1">
      <c r="A4137" s="28">
        <v>35.1</v>
      </c>
    </row>
    <row r="4138" spans="1:1">
      <c r="A4138" s="25">
        <v>198</v>
      </c>
    </row>
    <row r="4139" spans="1:1" ht="30">
      <c r="A4139" s="26" t="s">
        <v>57</v>
      </c>
    </row>
    <row r="4140" spans="1:1">
      <c r="A4140" s="27" t="s">
        <v>43</v>
      </c>
    </row>
    <row r="4141" spans="1:1">
      <c r="A4141" s="27">
        <v>260</v>
      </c>
    </row>
    <row r="4142" spans="1:1">
      <c r="A4142" s="27">
        <v>71</v>
      </c>
    </row>
    <row r="4143" spans="1:1">
      <c r="A4143" s="27">
        <v>171</v>
      </c>
    </row>
    <row r="4144" spans="1:1">
      <c r="A4144" s="27">
        <v>242</v>
      </c>
    </row>
    <row r="4145" spans="1:1">
      <c r="A4145" s="27">
        <v>18</v>
      </c>
    </row>
    <row r="4146" spans="1:1">
      <c r="A4146" s="27">
        <v>90</v>
      </c>
    </row>
    <row r="4147" spans="1:1">
      <c r="A4147" s="27">
        <v>0.93</v>
      </c>
    </row>
    <row r="4148" spans="1:1">
      <c r="A4148" s="27">
        <v>17</v>
      </c>
    </row>
    <row r="4149" spans="1:1">
      <c r="A4149" s="27">
        <v>76</v>
      </c>
    </row>
    <row r="4150" spans="1:1">
      <c r="A4150" s="27">
        <v>1</v>
      </c>
    </row>
    <row r="4151" spans="1:1">
      <c r="A4151" s="27">
        <v>4</v>
      </c>
    </row>
    <row r="4152" spans="1:1">
      <c r="A4152" s="27">
        <v>12</v>
      </c>
    </row>
    <row r="4153" spans="1:1">
      <c r="A4153" s="27">
        <v>0</v>
      </c>
    </row>
    <row r="4154" spans="1:1">
      <c r="A4154" s="27">
        <v>653</v>
      </c>
    </row>
    <row r="4155" spans="1:1">
      <c r="A4155" s="27">
        <v>10.9</v>
      </c>
    </row>
    <row r="4156" spans="1:1">
      <c r="A4156" s="29">
        <v>0.74375000000000002</v>
      </c>
    </row>
    <row r="4157" spans="1:1">
      <c r="A4157" s="27">
        <v>23.4</v>
      </c>
    </row>
    <row r="4158" spans="1:1">
      <c r="A4158" s="28">
        <v>47.2</v>
      </c>
    </row>
    <row r="4159" spans="1:1">
      <c r="A4159" s="25">
        <v>199</v>
      </c>
    </row>
    <row r="4160" spans="1:1" ht="30">
      <c r="A4160" s="26" t="s">
        <v>59</v>
      </c>
    </row>
    <row r="4161" spans="1:1">
      <c r="A4161" s="27" t="s">
        <v>42</v>
      </c>
    </row>
    <row r="4162" spans="1:1">
      <c r="A4162" s="27">
        <v>555</v>
      </c>
    </row>
    <row r="4163" spans="1:1">
      <c r="A4163" s="27">
        <v>59</v>
      </c>
    </row>
    <row r="4164" spans="1:1">
      <c r="A4164" s="27">
        <v>183</v>
      </c>
    </row>
    <row r="4165" spans="1:1">
      <c r="A4165" s="27">
        <v>242</v>
      </c>
    </row>
    <row r="4166" spans="1:1">
      <c r="A4166" s="27">
        <v>40</v>
      </c>
    </row>
    <row r="4167" spans="1:1">
      <c r="A4167" s="27">
        <v>334</v>
      </c>
    </row>
    <row r="4168" spans="1:1">
      <c r="A4168" s="27">
        <v>0.44</v>
      </c>
    </row>
    <row r="4169" spans="1:1">
      <c r="A4169" s="27">
        <v>18</v>
      </c>
    </row>
    <row r="4170" spans="1:1">
      <c r="A4170" s="27">
        <v>68</v>
      </c>
    </row>
    <row r="4171" spans="1:1">
      <c r="A4171" s="27">
        <v>0</v>
      </c>
    </row>
    <row r="4172" spans="1:1">
      <c r="A4172" s="27">
        <v>5</v>
      </c>
    </row>
    <row r="4173" spans="1:1">
      <c r="A4173" s="27">
        <v>8</v>
      </c>
    </row>
    <row r="4174" spans="1:1">
      <c r="A4174" s="27">
        <v>0</v>
      </c>
    </row>
    <row r="4175" spans="1:1">
      <c r="A4175" s="27">
        <v>1174</v>
      </c>
    </row>
    <row r="4176" spans="1:1">
      <c r="A4176" s="27">
        <v>5</v>
      </c>
    </row>
    <row r="4177" spans="1:1">
      <c r="A4177" s="29">
        <v>0.88402777777777775</v>
      </c>
    </row>
    <row r="4178" spans="1:1">
      <c r="A4178" s="27">
        <v>28.1</v>
      </c>
    </row>
    <row r="4179" spans="1:1">
      <c r="A4179" s="28">
        <v>0</v>
      </c>
    </row>
    <row r="4180" spans="1:1">
      <c r="A4180" s="25">
        <v>200</v>
      </c>
    </row>
    <row r="4181" spans="1:1" ht="30">
      <c r="A4181" s="26" t="s">
        <v>1167</v>
      </c>
    </row>
    <row r="4182" spans="1:1">
      <c r="A4182" s="27" t="s">
        <v>42</v>
      </c>
    </row>
    <row r="4183" spans="1:1">
      <c r="A4183" s="27">
        <v>893</v>
      </c>
    </row>
    <row r="4184" spans="1:1">
      <c r="A4184" s="27">
        <v>47</v>
      </c>
    </row>
    <row r="4185" spans="1:1">
      <c r="A4185" s="27">
        <v>192</v>
      </c>
    </row>
    <row r="4186" spans="1:1">
      <c r="A4186" s="27">
        <v>239</v>
      </c>
    </row>
    <row r="4187" spans="1:1">
      <c r="A4187" s="27">
        <v>-20</v>
      </c>
    </row>
    <row r="4188" spans="1:1">
      <c r="A4188" s="27">
        <v>253</v>
      </c>
    </row>
    <row r="4189" spans="1:1">
      <c r="A4189" s="27">
        <v>0.27</v>
      </c>
    </row>
    <row r="4190" spans="1:1">
      <c r="A4190" s="27">
        <v>15</v>
      </c>
    </row>
    <row r="4191" spans="1:1">
      <c r="A4191" s="27">
        <v>57</v>
      </c>
    </row>
    <row r="4192" spans="1:1">
      <c r="A4192" s="27">
        <v>2</v>
      </c>
    </row>
    <row r="4193" spans="1:1">
      <c r="A4193" s="27">
        <v>11</v>
      </c>
    </row>
    <row r="4194" spans="1:1">
      <c r="A4194" s="27">
        <v>11</v>
      </c>
    </row>
    <row r="4195" spans="1:1">
      <c r="A4195" s="27">
        <v>3</v>
      </c>
    </row>
    <row r="4196" spans="1:1">
      <c r="A4196" s="27">
        <v>984</v>
      </c>
    </row>
    <row r="4197" spans="1:1">
      <c r="A4197" s="27">
        <v>4.8</v>
      </c>
    </row>
    <row r="4198" spans="1:1">
      <c r="A4198" s="29">
        <v>0.9</v>
      </c>
    </row>
    <row r="4199" spans="1:1">
      <c r="A4199" s="27">
        <v>27</v>
      </c>
    </row>
    <row r="4200" spans="1:1">
      <c r="A4200" s="28">
        <v>0</v>
      </c>
    </row>
    <row r="4201" spans="1:1">
      <c r="A4201" s="25">
        <v>201</v>
      </c>
    </row>
    <row r="4202" spans="1:1" ht="30">
      <c r="A4202" s="26" t="s">
        <v>411</v>
      </c>
    </row>
    <row r="4203" spans="1:1">
      <c r="A4203" s="27" t="s">
        <v>42</v>
      </c>
    </row>
    <row r="4204" spans="1:1">
      <c r="A4204" s="27">
        <v>732</v>
      </c>
    </row>
    <row r="4205" spans="1:1">
      <c r="A4205" s="27">
        <v>45</v>
      </c>
    </row>
    <row r="4206" spans="1:1">
      <c r="A4206" s="27">
        <v>194</v>
      </c>
    </row>
    <row r="4207" spans="1:1">
      <c r="A4207" s="27">
        <v>239</v>
      </c>
    </row>
    <row r="4208" spans="1:1">
      <c r="A4208" s="27">
        <v>-1</v>
      </c>
    </row>
    <row r="4209" spans="1:1">
      <c r="A4209" s="27">
        <v>184</v>
      </c>
    </row>
    <row r="4210" spans="1:1">
      <c r="A4210" s="27">
        <v>0.33</v>
      </c>
    </row>
    <row r="4211" spans="1:1">
      <c r="A4211" s="27">
        <v>10</v>
      </c>
    </row>
    <row r="4212" spans="1:1">
      <c r="A4212" s="27">
        <v>65</v>
      </c>
    </row>
    <row r="4213" spans="1:1">
      <c r="A4213" s="27">
        <v>2</v>
      </c>
    </row>
    <row r="4214" spans="1:1">
      <c r="A4214" s="27">
        <v>5</v>
      </c>
    </row>
    <row r="4215" spans="1:1">
      <c r="A4215" s="27">
        <v>6</v>
      </c>
    </row>
    <row r="4216" spans="1:1">
      <c r="A4216" s="27">
        <v>3</v>
      </c>
    </row>
    <row r="4217" spans="1:1">
      <c r="A4217" s="27">
        <v>995</v>
      </c>
    </row>
    <row r="4218" spans="1:1">
      <c r="A4218" s="27">
        <v>4.5</v>
      </c>
    </row>
    <row r="4219" spans="1:1">
      <c r="A4219" s="29">
        <v>0.85833333333333339</v>
      </c>
    </row>
    <row r="4220" spans="1:1">
      <c r="A4220" s="27">
        <v>26.4</v>
      </c>
    </row>
    <row r="4221" spans="1:1">
      <c r="A4221" s="28">
        <v>0</v>
      </c>
    </row>
    <row r="4222" spans="1:1">
      <c r="A4222" s="25">
        <v>202</v>
      </c>
    </row>
    <row r="4223" spans="1:1" ht="45">
      <c r="A4223" s="26" t="s">
        <v>58</v>
      </c>
    </row>
    <row r="4224" spans="1:1">
      <c r="A4224" s="27" t="s">
        <v>653</v>
      </c>
    </row>
    <row r="4225" spans="1:1">
      <c r="A4225" s="27">
        <v>242</v>
      </c>
    </row>
    <row r="4226" spans="1:1">
      <c r="A4226" s="27">
        <v>127</v>
      </c>
    </row>
    <row r="4227" spans="1:1">
      <c r="A4227" s="27">
        <v>109</v>
      </c>
    </row>
    <row r="4228" spans="1:1">
      <c r="A4228" s="27">
        <v>236</v>
      </c>
    </row>
    <row r="4229" spans="1:1">
      <c r="A4229" s="27">
        <v>21</v>
      </c>
    </row>
    <row r="4230" spans="1:1">
      <c r="A4230" s="27">
        <v>44</v>
      </c>
    </row>
    <row r="4231" spans="1:1">
      <c r="A4231" s="27">
        <v>0.98</v>
      </c>
    </row>
    <row r="4232" spans="1:1">
      <c r="A4232" s="27">
        <v>29</v>
      </c>
    </row>
    <row r="4233" spans="1:1">
      <c r="A4233" s="27">
        <v>63</v>
      </c>
    </row>
    <row r="4234" spans="1:1">
      <c r="A4234" s="27">
        <v>0</v>
      </c>
    </row>
    <row r="4235" spans="1:1">
      <c r="A4235" s="27">
        <v>0</v>
      </c>
    </row>
    <row r="4236" spans="1:1">
      <c r="A4236" s="27">
        <v>20</v>
      </c>
    </row>
    <row r="4237" spans="1:1">
      <c r="A4237" s="27">
        <v>5</v>
      </c>
    </row>
    <row r="4238" spans="1:1">
      <c r="A4238" s="27">
        <v>829</v>
      </c>
    </row>
    <row r="4239" spans="1:1">
      <c r="A4239" s="27">
        <v>15.3</v>
      </c>
    </row>
    <row r="4240" spans="1:1">
      <c r="A4240" s="29">
        <v>0.7631944444444444</v>
      </c>
    </row>
    <row r="4241" spans="1:1">
      <c r="A4241" s="27">
        <v>23.6</v>
      </c>
    </row>
    <row r="4242" spans="1:1">
      <c r="A4242" s="28">
        <v>51.4</v>
      </c>
    </row>
    <row r="4243" spans="1:1">
      <c r="A4243" s="25">
        <v>203</v>
      </c>
    </row>
    <row r="4244" spans="1:1" ht="45">
      <c r="A4244" s="26" t="s">
        <v>193</v>
      </c>
    </row>
    <row r="4245" spans="1:1">
      <c r="A4245" s="27" t="s">
        <v>43</v>
      </c>
    </row>
    <row r="4246" spans="1:1">
      <c r="A4246" s="27">
        <v>813</v>
      </c>
    </row>
    <row r="4247" spans="1:1">
      <c r="A4247" s="27">
        <v>119</v>
      </c>
    </row>
    <row r="4248" spans="1:1">
      <c r="A4248" s="27">
        <v>116</v>
      </c>
    </row>
    <row r="4249" spans="1:1">
      <c r="A4249" s="27">
        <v>235</v>
      </c>
    </row>
    <row r="4250" spans="1:1">
      <c r="A4250" s="27">
        <v>-18</v>
      </c>
    </row>
    <row r="4251" spans="1:1">
      <c r="A4251" s="27">
        <v>612</v>
      </c>
    </row>
    <row r="4252" spans="1:1">
      <c r="A4252" s="27">
        <v>0.28999999999999998</v>
      </c>
    </row>
    <row r="4253" spans="1:1">
      <c r="A4253" s="27">
        <v>12</v>
      </c>
    </row>
    <row r="4254" spans="1:1">
      <c r="A4254" s="27">
        <v>19</v>
      </c>
    </row>
    <row r="4255" spans="1:1">
      <c r="A4255" s="27">
        <v>15</v>
      </c>
    </row>
    <row r="4256" spans="1:1">
      <c r="A4256" s="27">
        <v>22</v>
      </c>
    </row>
    <row r="4257" spans="1:1">
      <c r="A4257" s="27">
        <v>22</v>
      </c>
    </row>
    <row r="4258" spans="1:1">
      <c r="A4258" s="27">
        <v>2</v>
      </c>
    </row>
    <row r="4259" spans="1:1">
      <c r="A4259" s="27">
        <v>1426</v>
      </c>
    </row>
    <row r="4260" spans="1:1">
      <c r="A4260" s="27">
        <v>8.3000000000000007</v>
      </c>
    </row>
    <row r="4261" spans="1:1">
      <c r="A4261" s="29">
        <v>0.57847222222222217</v>
      </c>
    </row>
    <row r="4262" spans="1:1">
      <c r="A4262" s="27">
        <v>20.5</v>
      </c>
    </row>
    <row r="4263" spans="1:1">
      <c r="A4263" s="28">
        <v>37.700000000000003</v>
      </c>
    </row>
    <row r="4264" spans="1:1">
      <c r="A4264" s="25">
        <v>204</v>
      </c>
    </row>
    <row r="4265" spans="1:1" ht="30">
      <c r="A4265" s="26" t="s">
        <v>342</v>
      </c>
    </row>
    <row r="4266" spans="1:1">
      <c r="A4266" s="27" t="s">
        <v>42</v>
      </c>
    </row>
    <row r="4267" spans="1:1">
      <c r="A4267" s="27">
        <v>505</v>
      </c>
    </row>
    <row r="4268" spans="1:1">
      <c r="A4268" s="27">
        <v>66</v>
      </c>
    </row>
    <row r="4269" spans="1:1">
      <c r="A4269" s="27">
        <v>168</v>
      </c>
    </row>
    <row r="4270" spans="1:1">
      <c r="A4270" s="27">
        <v>234</v>
      </c>
    </row>
    <row r="4271" spans="1:1">
      <c r="A4271" s="27">
        <v>105</v>
      </c>
    </row>
    <row r="4272" spans="1:1">
      <c r="A4272" s="27">
        <v>171</v>
      </c>
    </row>
    <row r="4273" spans="1:1">
      <c r="A4273" s="27">
        <v>0.46</v>
      </c>
    </row>
    <row r="4274" spans="1:1">
      <c r="A4274" s="27">
        <v>16</v>
      </c>
    </row>
    <row r="4275" spans="1:1">
      <c r="A4275" s="27">
        <v>50</v>
      </c>
    </row>
    <row r="4276" spans="1:1">
      <c r="A4276" s="27">
        <v>3</v>
      </c>
    </row>
    <row r="4277" spans="1:1">
      <c r="A4277" s="27">
        <v>8</v>
      </c>
    </row>
    <row r="4278" spans="1:1">
      <c r="A4278" s="27">
        <v>14</v>
      </c>
    </row>
    <row r="4279" spans="1:1">
      <c r="A4279" s="27">
        <v>1</v>
      </c>
    </row>
    <row r="4280" spans="1:1">
      <c r="A4280" s="27">
        <v>937</v>
      </c>
    </row>
    <row r="4281" spans="1:1">
      <c r="A4281" s="27">
        <v>7</v>
      </c>
    </row>
    <row r="4282" spans="1:1">
      <c r="A4282" s="29">
        <v>0.85555555555555562</v>
      </c>
    </row>
    <row r="4283" spans="1:1">
      <c r="A4283" s="27">
        <v>25.3</v>
      </c>
    </row>
    <row r="4284" spans="1:1">
      <c r="A4284" s="28">
        <v>0</v>
      </c>
    </row>
    <row r="4285" spans="1:1">
      <c r="A4285" s="25">
        <v>205</v>
      </c>
    </row>
    <row r="4286" spans="1:1" ht="30">
      <c r="A4286" s="26" t="s">
        <v>458</v>
      </c>
    </row>
    <row r="4287" spans="1:1">
      <c r="A4287" s="27" t="s">
        <v>44</v>
      </c>
    </row>
    <row r="4288" spans="1:1">
      <c r="A4288" s="27">
        <v>439</v>
      </c>
    </row>
    <row r="4289" spans="1:1">
      <c r="A4289" s="27">
        <v>128</v>
      </c>
    </row>
    <row r="4290" spans="1:1">
      <c r="A4290" s="27">
        <v>105</v>
      </c>
    </row>
    <row r="4291" spans="1:1">
      <c r="A4291" s="27">
        <v>233</v>
      </c>
    </row>
    <row r="4292" spans="1:1">
      <c r="A4292" s="27">
        <v>18</v>
      </c>
    </row>
    <row r="4293" spans="1:1">
      <c r="A4293" s="27">
        <v>162</v>
      </c>
    </row>
    <row r="4294" spans="1:1">
      <c r="A4294" s="27">
        <v>0.53</v>
      </c>
    </row>
    <row r="4295" spans="1:1">
      <c r="A4295" s="27">
        <v>21</v>
      </c>
    </row>
    <row r="4296" spans="1:1">
      <c r="A4296" s="27">
        <v>42</v>
      </c>
    </row>
    <row r="4297" spans="1:1">
      <c r="A4297" s="27">
        <v>3</v>
      </c>
    </row>
    <row r="4298" spans="1:1">
      <c r="A4298" s="27">
        <v>5</v>
      </c>
    </row>
    <row r="4299" spans="1:1">
      <c r="A4299" s="27">
        <v>21</v>
      </c>
    </row>
    <row r="4300" spans="1:1">
      <c r="A4300" s="27">
        <v>2</v>
      </c>
    </row>
    <row r="4301" spans="1:1">
      <c r="A4301" s="27">
        <v>1025</v>
      </c>
    </row>
    <row r="4302" spans="1:1">
      <c r="A4302" s="27">
        <v>12.5</v>
      </c>
    </row>
    <row r="4303" spans="1:1">
      <c r="A4303" s="29">
        <v>0.65208333333333335</v>
      </c>
    </row>
    <row r="4304" spans="1:1">
      <c r="A4304" s="27">
        <v>19.7</v>
      </c>
    </row>
    <row r="4305" spans="1:1">
      <c r="A4305" s="28">
        <v>28.2</v>
      </c>
    </row>
    <row r="4306" spans="1:1">
      <c r="A4306" s="25">
        <v>206</v>
      </c>
    </row>
    <row r="4307" spans="1:1" ht="30">
      <c r="A4307" s="26" t="s">
        <v>159</v>
      </c>
    </row>
    <row r="4308" spans="1:1">
      <c r="A4308" s="27" t="s">
        <v>44</v>
      </c>
    </row>
    <row r="4309" spans="1:1">
      <c r="A4309" s="27">
        <v>658</v>
      </c>
    </row>
    <row r="4310" spans="1:1">
      <c r="A4310" s="27">
        <v>104</v>
      </c>
    </row>
    <row r="4311" spans="1:1">
      <c r="A4311" s="27">
        <v>129</v>
      </c>
    </row>
    <row r="4312" spans="1:1">
      <c r="A4312" s="27">
        <v>233</v>
      </c>
    </row>
    <row r="4313" spans="1:1">
      <c r="A4313" s="27">
        <v>1</v>
      </c>
    </row>
    <row r="4314" spans="1:1">
      <c r="A4314" s="27">
        <v>216</v>
      </c>
    </row>
    <row r="4315" spans="1:1">
      <c r="A4315" s="27">
        <v>0.35</v>
      </c>
    </row>
    <row r="4316" spans="1:1">
      <c r="A4316" s="27">
        <v>6</v>
      </c>
    </row>
    <row r="4317" spans="1:1">
      <c r="A4317" s="27">
        <v>12</v>
      </c>
    </row>
    <row r="4318" spans="1:1">
      <c r="A4318" s="27">
        <v>12</v>
      </c>
    </row>
    <row r="4319" spans="1:1">
      <c r="A4319" s="27">
        <v>20</v>
      </c>
    </row>
    <row r="4320" spans="1:1">
      <c r="A4320" s="27">
        <v>15</v>
      </c>
    </row>
    <row r="4321" spans="1:1">
      <c r="A4321" s="27">
        <v>2</v>
      </c>
    </row>
    <row r="4322" spans="1:1">
      <c r="A4322" s="27">
        <v>1299</v>
      </c>
    </row>
    <row r="4323" spans="1:1">
      <c r="A4323" s="27">
        <v>8</v>
      </c>
    </row>
    <row r="4324" spans="1:1">
      <c r="A4324" s="29">
        <v>0.6069444444444444</v>
      </c>
    </row>
    <row r="4325" spans="1:1">
      <c r="A4325" s="27">
        <v>21.1</v>
      </c>
    </row>
    <row r="4326" spans="1:1">
      <c r="A4326" s="28">
        <v>51.2</v>
      </c>
    </row>
    <row r="4327" spans="1:1">
      <c r="A4327" s="25">
        <v>207</v>
      </c>
    </row>
    <row r="4328" spans="1:1" ht="45">
      <c r="A4328" s="26" t="s">
        <v>493</v>
      </c>
    </row>
    <row r="4329" spans="1:1">
      <c r="A4329" s="27" t="s">
        <v>653</v>
      </c>
    </row>
    <row r="4330" spans="1:1">
      <c r="A4330" s="27">
        <v>771</v>
      </c>
    </row>
    <row r="4331" spans="1:1">
      <c r="A4331" s="27">
        <v>100</v>
      </c>
    </row>
    <row r="4332" spans="1:1">
      <c r="A4332" s="27">
        <v>133</v>
      </c>
    </row>
    <row r="4333" spans="1:1">
      <c r="A4333" s="27">
        <v>233</v>
      </c>
    </row>
    <row r="4334" spans="1:1">
      <c r="A4334" s="27">
        <v>-22</v>
      </c>
    </row>
    <row r="4335" spans="1:1">
      <c r="A4335" s="27">
        <v>392</v>
      </c>
    </row>
    <row r="4336" spans="1:1">
      <c r="A4336" s="27">
        <v>0.3</v>
      </c>
    </row>
    <row r="4337" spans="1:1">
      <c r="A4337" s="27">
        <v>2</v>
      </c>
    </row>
    <row r="4338" spans="1:1">
      <c r="A4338" s="27">
        <v>3</v>
      </c>
    </row>
    <row r="4339" spans="1:1">
      <c r="A4339" s="27">
        <v>14</v>
      </c>
    </row>
    <row r="4340" spans="1:1">
      <c r="A4340" s="27">
        <v>20</v>
      </c>
    </row>
    <row r="4341" spans="1:1">
      <c r="A4341" s="27">
        <v>17</v>
      </c>
    </row>
    <row r="4342" spans="1:1">
      <c r="A4342" s="27">
        <v>2</v>
      </c>
    </row>
    <row r="4343" spans="1:1">
      <c r="A4343" s="27">
        <v>1175</v>
      </c>
    </row>
    <row r="4344" spans="1:1">
      <c r="A4344" s="27">
        <v>8.5</v>
      </c>
    </row>
    <row r="4345" spans="1:1">
      <c r="A4345" s="29">
        <v>0.5708333333333333</v>
      </c>
    </row>
    <row r="4346" spans="1:1">
      <c r="A4346" s="27">
        <v>19.8</v>
      </c>
    </row>
    <row r="4347" spans="1:1">
      <c r="A4347" s="28">
        <v>51.6</v>
      </c>
    </row>
    <row r="4348" spans="1:1">
      <c r="A4348" s="25">
        <v>208</v>
      </c>
    </row>
    <row r="4349" spans="1:1" ht="30">
      <c r="A4349" s="26" t="s">
        <v>160</v>
      </c>
    </row>
    <row r="4350" spans="1:1">
      <c r="A4350" s="27" t="s">
        <v>653</v>
      </c>
    </row>
    <row r="4351" spans="1:1">
      <c r="A4351" s="27">
        <v>348</v>
      </c>
    </row>
    <row r="4352" spans="1:1">
      <c r="A4352" s="27">
        <v>95</v>
      </c>
    </row>
    <row r="4353" spans="1:1">
      <c r="A4353" s="27">
        <v>136</v>
      </c>
    </row>
    <row r="4354" spans="1:1">
      <c r="A4354" s="27">
        <v>231</v>
      </c>
    </row>
    <row r="4355" spans="1:1">
      <c r="A4355" s="27">
        <v>-39</v>
      </c>
    </row>
    <row r="4356" spans="1:1">
      <c r="A4356" s="27">
        <v>226</v>
      </c>
    </row>
    <row r="4357" spans="1:1">
      <c r="A4357" s="27">
        <v>0.66</v>
      </c>
    </row>
    <row r="4358" spans="1:1">
      <c r="A4358" s="27">
        <v>20</v>
      </c>
    </row>
    <row r="4359" spans="1:1">
      <c r="A4359" s="27">
        <v>39</v>
      </c>
    </row>
    <row r="4360" spans="1:1">
      <c r="A4360" s="27">
        <v>5</v>
      </c>
    </row>
    <row r="4361" spans="1:1">
      <c r="A4361" s="27">
        <v>7</v>
      </c>
    </row>
    <row r="4362" spans="1:1">
      <c r="A4362" s="27">
        <v>14</v>
      </c>
    </row>
    <row r="4363" spans="1:1">
      <c r="A4363" s="27">
        <v>4</v>
      </c>
    </row>
    <row r="4364" spans="1:1">
      <c r="A4364" s="27">
        <v>1015</v>
      </c>
    </row>
    <row r="4365" spans="1:1">
      <c r="A4365" s="27">
        <v>9.3000000000000007</v>
      </c>
    </row>
    <row r="4366" spans="1:1">
      <c r="A4366" s="29">
        <v>0.78263888888888899</v>
      </c>
    </row>
    <row r="4367" spans="1:1">
      <c r="A4367" s="27">
        <v>23.7</v>
      </c>
    </row>
    <row r="4368" spans="1:1">
      <c r="A4368" s="28">
        <v>51.3</v>
      </c>
    </row>
    <row r="4369" spans="1:1">
      <c r="A4369" s="25">
        <v>209</v>
      </c>
    </row>
    <row r="4370" spans="1:1" ht="30">
      <c r="A4370" s="26" t="s">
        <v>475</v>
      </c>
    </row>
    <row r="4371" spans="1:1">
      <c r="A4371" s="27" t="s">
        <v>42</v>
      </c>
    </row>
    <row r="4372" spans="1:1">
      <c r="A4372" s="27">
        <v>820</v>
      </c>
    </row>
    <row r="4373" spans="1:1">
      <c r="A4373" s="27">
        <v>46</v>
      </c>
    </row>
    <row r="4374" spans="1:1">
      <c r="A4374" s="27">
        <v>185</v>
      </c>
    </row>
    <row r="4375" spans="1:1">
      <c r="A4375" s="27">
        <v>231</v>
      </c>
    </row>
    <row r="4376" spans="1:1">
      <c r="A4376" s="27">
        <v>-1</v>
      </c>
    </row>
    <row r="4377" spans="1:1">
      <c r="A4377" s="27">
        <v>253</v>
      </c>
    </row>
    <row r="4378" spans="1:1">
      <c r="A4378" s="27">
        <v>0.28000000000000003</v>
      </c>
    </row>
    <row r="4379" spans="1:1">
      <c r="A4379" s="27">
        <v>11</v>
      </c>
    </row>
    <row r="4380" spans="1:1">
      <c r="A4380" s="27">
        <v>64</v>
      </c>
    </row>
    <row r="4381" spans="1:1">
      <c r="A4381" s="27">
        <v>0</v>
      </c>
    </row>
    <row r="4382" spans="1:1">
      <c r="A4382" s="27">
        <v>3</v>
      </c>
    </row>
    <row r="4383" spans="1:1">
      <c r="A4383" s="27">
        <v>7</v>
      </c>
    </row>
    <row r="4384" spans="1:1">
      <c r="A4384" s="27">
        <v>3</v>
      </c>
    </row>
    <row r="4385" spans="1:1">
      <c r="A4385" s="27">
        <v>1005</v>
      </c>
    </row>
    <row r="4386" spans="1:1">
      <c r="A4386" s="27">
        <v>4.5999999999999996</v>
      </c>
    </row>
    <row r="4387" spans="1:1">
      <c r="A4387" s="29">
        <v>0.80972222222222223</v>
      </c>
    </row>
    <row r="4388" spans="1:1">
      <c r="A4388" s="27">
        <v>25.4</v>
      </c>
    </row>
    <row r="4389" spans="1:1">
      <c r="A4389" s="28">
        <v>0</v>
      </c>
    </row>
    <row r="4390" spans="1:1">
      <c r="A4390" s="25">
        <v>210</v>
      </c>
    </row>
    <row r="4391" spans="1:1" ht="30">
      <c r="A4391" s="26" t="s">
        <v>512</v>
      </c>
    </row>
    <row r="4392" spans="1:1">
      <c r="A4392" s="27" t="s">
        <v>653</v>
      </c>
    </row>
    <row r="4393" spans="1:1">
      <c r="A4393" s="27">
        <v>561</v>
      </c>
    </row>
    <row r="4394" spans="1:1">
      <c r="A4394" s="27">
        <v>101</v>
      </c>
    </row>
    <row r="4395" spans="1:1">
      <c r="A4395" s="27">
        <v>128</v>
      </c>
    </row>
    <row r="4396" spans="1:1">
      <c r="A4396" s="27">
        <v>229</v>
      </c>
    </row>
    <row r="4397" spans="1:1">
      <c r="A4397" s="27">
        <v>-4</v>
      </c>
    </row>
    <row r="4398" spans="1:1">
      <c r="A4398" s="27">
        <v>238</v>
      </c>
    </row>
    <row r="4399" spans="1:1">
      <c r="A4399" s="27">
        <v>0.41</v>
      </c>
    </row>
    <row r="4400" spans="1:1">
      <c r="A4400" s="27">
        <v>11</v>
      </c>
    </row>
    <row r="4401" spans="1:1">
      <c r="A4401" s="27">
        <v>24</v>
      </c>
    </row>
    <row r="4402" spans="1:1">
      <c r="A4402" s="27">
        <v>10</v>
      </c>
    </row>
    <row r="4403" spans="1:1">
      <c r="A4403" s="27">
        <v>14</v>
      </c>
    </row>
    <row r="4404" spans="1:1">
      <c r="A4404" s="27">
        <v>16</v>
      </c>
    </row>
    <row r="4405" spans="1:1">
      <c r="A4405" s="27">
        <v>2</v>
      </c>
    </row>
    <row r="4406" spans="1:1">
      <c r="A4406" s="27">
        <v>880</v>
      </c>
    </row>
    <row r="4407" spans="1:1">
      <c r="A4407" s="27">
        <v>11.5</v>
      </c>
    </row>
    <row r="4408" spans="1:1">
      <c r="A4408" s="29">
        <v>0.65486111111111112</v>
      </c>
    </row>
    <row r="4409" spans="1:1">
      <c r="A4409" s="27">
        <v>21.2</v>
      </c>
    </row>
    <row r="4410" spans="1:1">
      <c r="A4410" s="28">
        <v>49.8</v>
      </c>
    </row>
    <row r="4411" spans="1:1">
      <c r="A4411" s="25">
        <v>211</v>
      </c>
    </row>
    <row r="4412" spans="1:1" ht="30">
      <c r="A4412" s="26" t="s">
        <v>124</v>
      </c>
    </row>
    <row r="4413" spans="1:1">
      <c r="A4413" s="27" t="s">
        <v>42</v>
      </c>
    </row>
    <row r="4414" spans="1:1">
      <c r="A4414" s="27">
        <v>941</v>
      </c>
    </row>
    <row r="4415" spans="1:1">
      <c r="A4415" s="27">
        <v>49</v>
      </c>
    </row>
    <row r="4416" spans="1:1">
      <c r="A4416" s="27">
        <v>180</v>
      </c>
    </row>
    <row r="4417" spans="1:1">
      <c r="A4417" s="27">
        <v>229</v>
      </c>
    </row>
    <row r="4418" spans="1:1">
      <c r="A4418" s="27">
        <v>46</v>
      </c>
    </row>
    <row r="4419" spans="1:1">
      <c r="A4419" s="27">
        <v>694</v>
      </c>
    </row>
    <row r="4420" spans="1:1">
      <c r="A4420" s="27">
        <v>0.24</v>
      </c>
    </row>
    <row r="4421" spans="1:1">
      <c r="A4421" s="27">
        <v>10</v>
      </c>
    </row>
    <row r="4422" spans="1:1">
      <c r="A4422" s="27">
        <v>34</v>
      </c>
    </row>
    <row r="4423" spans="1:1">
      <c r="A4423" s="27">
        <v>2</v>
      </c>
    </row>
    <row r="4424" spans="1:1">
      <c r="A4424" s="27">
        <v>9</v>
      </c>
    </row>
    <row r="4425" spans="1:1">
      <c r="A4425" s="27">
        <v>4</v>
      </c>
    </row>
    <row r="4426" spans="1:1">
      <c r="A4426" s="27">
        <v>0</v>
      </c>
    </row>
    <row r="4427" spans="1:1">
      <c r="A4427" s="27">
        <v>1257</v>
      </c>
    </row>
    <row r="4428" spans="1:1">
      <c r="A4428" s="27">
        <v>3.9</v>
      </c>
    </row>
    <row r="4429" spans="1:1">
      <c r="A4429" s="29">
        <v>0.81388888888888899</v>
      </c>
    </row>
    <row r="4430" spans="1:1">
      <c r="A4430" s="27">
        <v>25.5</v>
      </c>
    </row>
    <row r="4431" spans="1:1">
      <c r="A4431" s="28">
        <v>0</v>
      </c>
    </row>
    <row r="4432" spans="1:1">
      <c r="A4432" s="25">
        <v>212</v>
      </c>
    </row>
    <row r="4433" spans="1:1" ht="30">
      <c r="A4433" s="26" t="s">
        <v>94</v>
      </c>
    </row>
    <row r="4434" spans="1:1">
      <c r="A4434" s="27" t="s">
        <v>42</v>
      </c>
    </row>
    <row r="4435" spans="1:1">
      <c r="A4435" s="27">
        <v>637</v>
      </c>
    </row>
    <row r="4436" spans="1:1">
      <c r="A4436" s="27">
        <v>61</v>
      </c>
    </row>
    <row r="4437" spans="1:1">
      <c r="A4437" s="27">
        <v>167</v>
      </c>
    </row>
    <row r="4438" spans="1:1">
      <c r="A4438" s="27">
        <v>228</v>
      </c>
    </row>
    <row r="4439" spans="1:1">
      <c r="A4439" s="27">
        <v>-110</v>
      </c>
    </row>
    <row r="4440" spans="1:1">
      <c r="A4440" s="27">
        <v>257</v>
      </c>
    </row>
    <row r="4441" spans="1:1">
      <c r="A4441" s="27">
        <v>0.36</v>
      </c>
    </row>
    <row r="4442" spans="1:1">
      <c r="A4442" s="27">
        <v>17</v>
      </c>
    </row>
    <row r="4443" spans="1:1">
      <c r="A4443" s="27">
        <v>66</v>
      </c>
    </row>
    <row r="4444" spans="1:1">
      <c r="A4444" s="27">
        <v>1</v>
      </c>
    </row>
    <row r="4445" spans="1:1">
      <c r="A4445" s="27">
        <v>6</v>
      </c>
    </row>
    <row r="4446" spans="1:1">
      <c r="A4446" s="27">
        <v>11</v>
      </c>
    </row>
    <row r="4447" spans="1:1">
      <c r="A4447" s="27">
        <v>2</v>
      </c>
    </row>
    <row r="4448" spans="1:1">
      <c r="A4448" s="27">
        <v>1117</v>
      </c>
    </row>
    <row r="4449" spans="1:1">
      <c r="A4449" s="27">
        <v>5.5</v>
      </c>
    </row>
    <row r="4450" spans="1:1">
      <c r="A4450" s="29">
        <v>0.92152777777777783</v>
      </c>
    </row>
    <row r="4451" spans="1:1">
      <c r="A4451" s="27">
        <v>27.3</v>
      </c>
    </row>
    <row r="4452" spans="1:1">
      <c r="A4452" s="28">
        <v>25</v>
      </c>
    </row>
    <row r="4453" spans="1:1">
      <c r="A4453" s="25">
        <v>213</v>
      </c>
    </row>
    <row r="4454" spans="1:1" ht="45">
      <c r="A4454" s="26" t="s">
        <v>723</v>
      </c>
    </row>
    <row r="4455" spans="1:1">
      <c r="A4455" s="27" t="s">
        <v>43</v>
      </c>
    </row>
    <row r="4456" spans="1:1">
      <c r="A4456" s="27">
        <v>250</v>
      </c>
    </row>
    <row r="4457" spans="1:1">
      <c r="A4457" s="27">
        <v>86</v>
      </c>
    </row>
    <row r="4458" spans="1:1">
      <c r="A4458" s="27">
        <v>140</v>
      </c>
    </row>
    <row r="4459" spans="1:1">
      <c r="A4459" s="27">
        <v>226</v>
      </c>
    </row>
    <row r="4460" spans="1:1">
      <c r="A4460" s="27">
        <v>-17</v>
      </c>
    </row>
    <row r="4461" spans="1:1">
      <c r="A4461" s="27">
        <v>114</v>
      </c>
    </row>
    <row r="4462" spans="1:1">
      <c r="A4462" s="27">
        <v>0.9</v>
      </c>
    </row>
    <row r="4463" spans="1:1">
      <c r="A4463" s="27">
        <v>35</v>
      </c>
    </row>
    <row r="4464" spans="1:1">
      <c r="A4464" s="27">
        <v>84</v>
      </c>
    </row>
    <row r="4465" spans="1:1">
      <c r="A4465" s="27">
        <v>0</v>
      </c>
    </row>
    <row r="4466" spans="1:1">
      <c r="A4466" s="27">
        <v>0</v>
      </c>
    </row>
    <row r="4467" spans="1:1">
      <c r="A4467" s="27">
        <v>11</v>
      </c>
    </row>
    <row r="4468" spans="1:1">
      <c r="A4468" s="27">
        <v>2</v>
      </c>
    </row>
    <row r="4469" spans="1:1">
      <c r="A4469" s="27">
        <v>540</v>
      </c>
    </row>
    <row r="4470" spans="1:1">
      <c r="A4470" s="27">
        <v>15.9</v>
      </c>
    </row>
    <row r="4471" spans="1:1">
      <c r="A4471" s="29">
        <v>0.78541666666666676</v>
      </c>
    </row>
    <row r="4472" spans="1:1">
      <c r="A4472" s="27">
        <v>22.2</v>
      </c>
    </row>
    <row r="4473" spans="1:1">
      <c r="A4473" s="28">
        <v>50.4</v>
      </c>
    </row>
    <row r="4474" spans="1:1">
      <c r="A4474" s="25">
        <v>214</v>
      </c>
    </row>
    <row r="4475" spans="1:1" ht="30">
      <c r="A4475" s="26" t="s">
        <v>557</v>
      </c>
    </row>
    <row r="4476" spans="1:1">
      <c r="A4476" s="27" t="s">
        <v>42</v>
      </c>
    </row>
    <row r="4477" spans="1:1">
      <c r="A4477" s="27">
        <v>626</v>
      </c>
    </row>
    <row r="4478" spans="1:1">
      <c r="A4478" s="27">
        <v>55</v>
      </c>
    </row>
    <row r="4479" spans="1:1">
      <c r="A4479" s="27">
        <v>171</v>
      </c>
    </row>
    <row r="4480" spans="1:1">
      <c r="A4480" s="27">
        <v>226</v>
      </c>
    </row>
    <row r="4481" spans="1:1">
      <c r="A4481" s="27">
        <v>-30</v>
      </c>
    </row>
    <row r="4482" spans="1:1">
      <c r="A4482" s="27">
        <v>262</v>
      </c>
    </row>
    <row r="4483" spans="1:1">
      <c r="A4483" s="27">
        <v>0.36</v>
      </c>
    </row>
    <row r="4484" spans="1:1">
      <c r="A4484" s="27">
        <v>9</v>
      </c>
    </row>
    <row r="4485" spans="1:1">
      <c r="A4485" s="27">
        <v>72</v>
      </c>
    </row>
    <row r="4486" spans="1:1">
      <c r="A4486" s="27">
        <v>3</v>
      </c>
    </row>
    <row r="4487" spans="1:1">
      <c r="A4487" s="27">
        <v>6</v>
      </c>
    </row>
    <row r="4488" spans="1:1">
      <c r="A4488" s="27">
        <v>8</v>
      </c>
    </row>
    <row r="4489" spans="1:1">
      <c r="A4489" s="27">
        <v>1</v>
      </c>
    </row>
    <row r="4490" spans="1:1">
      <c r="A4490" s="27">
        <v>922</v>
      </c>
    </row>
    <row r="4491" spans="1:1">
      <c r="A4491" s="27">
        <v>6</v>
      </c>
    </row>
    <row r="4492" spans="1:1">
      <c r="A4492" s="29">
        <v>0.85</v>
      </c>
    </row>
    <row r="4493" spans="1:1">
      <c r="A4493" s="27">
        <v>25.1</v>
      </c>
    </row>
    <row r="4494" spans="1:1">
      <c r="A4494" s="28">
        <v>0</v>
      </c>
    </row>
    <row r="4495" spans="1:1">
      <c r="A4495" s="25">
        <v>215</v>
      </c>
    </row>
    <row r="4496" spans="1:1" ht="45">
      <c r="A4496" s="26" t="s">
        <v>835</v>
      </c>
    </row>
    <row r="4497" spans="1:1">
      <c r="A4497" s="27" t="s">
        <v>653</v>
      </c>
    </row>
    <row r="4498" spans="1:1">
      <c r="A4498" s="27">
        <v>313</v>
      </c>
    </row>
    <row r="4499" spans="1:1">
      <c r="A4499" s="27">
        <v>98</v>
      </c>
    </row>
    <row r="4500" spans="1:1">
      <c r="A4500" s="27">
        <v>127</v>
      </c>
    </row>
    <row r="4501" spans="1:1">
      <c r="A4501" s="27">
        <v>225</v>
      </c>
    </row>
    <row r="4502" spans="1:1">
      <c r="A4502" s="27">
        <v>3</v>
      </c>
    </row>
    <row r="4503" spans="1:1">
      <c r="A4503" s="27">
        <v>157</v>
      </c>
    </row>
    <row r="4504" spans="1:1">
      <c r="A4504" s="27">
        <v>0.72</v>
      </c>
    </row>
    <row r="4505" spans="1:1">
      <c r="A4505" s="27">
        <v>26</v>
      </c>
    </row>
    <row r="4506" spans="1:1">
      <c r="A4506" s="27">
        <v>65</v>
      </c>
    </row>
    <row r="4507" spans="1:1">
      <c r="A4507" s="27">
        <v>0</v>
      </c>
    </row>
    <row r="4508" spans="1:1">
      <c r="A4508" s="27">
        <v>0</v>
      </c>
    </row>
    <row r="4509" spans="1:1">
      <c r="A4509" s="27">
        <v>21</v>
      </c>
    </row>
    <row r="4510" spans="1:1">
      <c r="A4510" s="27">
        <v>4</v>
      </c>
    </row>
    <row r="4511" spans="1:1">
      <c r="A4511" s="27">
        <v>927</v>
      </c>
    </row>
    <row r="4512" spans="1:1">
      <c r="A4512" s="27">
        <v>10.6</v>
      </c>
    </row>
    <row r="4513" spans="1:1">
      <c r="A4513" s="29">
        <v>0.69513888888888886</v>
      </c>
    </row>
    <row r="4514" spans="1:1">
      <c r="A4514" s="27">
        <v>19.600000000000001</v>
      </c>
    </row>
    <row r="4515" spans="1:1">
      <c r="A4515" s="28">
        <v>43</v>
      </c>
    </row>
    <row r="4516" spans="1:1">
      <c r="A4516" s="25">
        <v>216</v>
      </c>
    </row>
    <row r="4517" spans="1:1" ht="30">
      <c r="A4517" s="26" t="s">
        <v>81</v>
      </c>
    </row>
    <row r="4518" spans="1:1">
      <c r="A4518" s="27" t="s">
        <v>653</v>
      </c>
    </row>
    <row r="4519" spans="1:1">
      <c r="A4519" s="27">
        <v>359</v>
      </c>
    </row>
    <row r="4520" spans="1:1">
      <c r="A4520" s="27">
        <v>96</v>
      </c>
    </row>
    <row r="4521" spans="1:1">
      <c r="A4521" s="27">
        <v>129</v>
      </c>
    </row>
    <row r="4522" spans="1:1">
      <c r="A4522" s="27">
        <v>225</v>
      </c>
    </row>
    <row r="4523" spans="1:1">
      <c r="A4523" s="27">
        <v>-57</v>
      </c>
    </row>
    <row r="4524" spans="1:1">
      <c r="A4524" s="27">
        <v>74</v>
      </c>
    </row>
    <row r="4525" spans="1:1">
      <c r="A4525" s="27">
        <v>0.63</v>
      </c>
    </row>
    <row r="4526" spans="1:1">
      <c r="A4526" s="27">
        <v>32</v>
      </c>
    </row>
    <row r="4527" spans="1:1">
      <c r="A4527" s="27">
        <v>68</v>
      </c>
    </row>
    <row r="4528" spans="1:1">
      <c r="A4528" s="27">
        <v>0</v>
      </c>
    </row>
    <row r="4529" spans="1:1">
      <c r="A4529" s="27">
        <v>0</v>
      </c>
    </row>
    <row r="4530" spans="1:1">
      <c r="A4530" s="27">
        <v>12</v>
      </c>
    </row>
    <row r="4531" spans="1:1">
      <c r="A4531" s="27">
        <v>0</v>
      </c>
    </row>
    <row r="4532" spans="1:1">
      <c r="A4532" s="27">
        <v>767</v>
      </c>
    </row>
    <row r="4533" spans="1:1">
      <c r="A4533" s="27">
        <v>12.5</v>
      </c>
    </row>
    <row r="4534" spans="1:1">
      <c r="A4534" s="29">
        <v>0.7319444444444444</v>
      </c>
    </row>
    <row r="4535" spans="1:1">
      <c r="A4535" s="27">
        <v>20.6</v>
      </c>
    </row>
    <row r="4536" spans="1:1">
      <c r="A4536" s="28">
        <v>36.5</v>
      </c>
    </row>
    <row r="4537" spans="1:1">
      <c r="A4537" s="25">
        <v>217</v>
      </c>
    </row>
    <row r="4538" spans="1:1" ht="30">
      <c r="A4538" s="26" t="s">
        <v>120</v>
      </c>
    </row>
    <row r="4539" spans="1:1">
      <c r="A4539" s="27" t="s">
        <v>653</v>
      </c>
    </row>
    <row r="4540" spans="1:1">
      <c r="A4540" s="27">
        <v>785</v>
      </c>
    </row>
    <row r="4541" spans="1:1">
      <c r="A4541" s="27">
        <v>128</v>
      </c>
    </row>
    <row r="4542" spans="1:1">
      <c r="A4542" s="27">
        <v>96</v>
      </c>
    </row>
    <row r="4543" spans="1:1">
      <c r="A4543" s="27">
        <v>224</v>
      </c>
    </row>
    <row r="4544" spans="1:1">
      <c r="A4544" s="27">
        <v>-45</v>
      </c>
    </row>
    <row r="4545" spans="1:1">
      <c r="A4545" s="27">
        <v>577</v>
      </c>
    </row>
    <row r="4546" spans="1:1">
      <c r="A4546" s="27">
        <v>0.28999999999999998</v>
      </c>
    </row>
    <row r="4547" spans="1:1">
      <c r="A4547" s="27">
        <v>22</v>
      </c>
    </row>
    <row r="4548" spans="1:1">
      <c r="A4548" s="27">
        <v>34</v>
      </c>
    </row>
    <row r="4549" spans="1:1">
      <c r="A4549" s="27">
        <v>7</v>
      </c>
    </row>
    <row r="4550" spans="1:1">
      <c r="A4550" s="27">
        <v>14</v>
      </c>
    </row>
    <row r="4551" spans="1:1">
      <c r="A4551" s="27">
        <v>25</v>
      </c>
    </row>
    <row r="4552" spans="1:1">
      <c r="A4552" s="27">
        <v>0</v>
      </c>
    </row>
    <row r="4553" spans="1:1">
      <c r="A4553" s="27">
        <v>1363</v>
      </c>
    </row>
    <row r="4554" spans="1:1">
      <c r="A4554" s="27">
        <v>9.4</v>
      </c>
    </row>
    <row r="4555" spans="1:1">
      <c r="A4555" s="29">
        <v>0.54583333333333328</v>
      </c>
    </row>
    <row r="4556" spans="1:1">
      <c r="A4556" s="27">
        <v>17.8</v>
      </c>
    </row>
    <row r="4557" spans="1:1">
      <c r="A4557" s="28">
        <v>50.5</v>
      </c>
    </row>
    <row r="4558" spans="1:1">
      <c r="A4558" s="25">
        <v>218</v>
      </c>
    </row>
    <row r="4559" spans="1:1" ht="30">
      <c r="A4559" s="26" t="s">
        <v>89</v>
      </c>
    </row>
    <row r="4560" spans="1:1">
      <c r="A4560" s="27" t="s">
        <v>653</v>
      </c>
    </row>
    <row r="4561" spans="1:1">
      <c r="A4561" s="27">
        <v>332</v>
      </c>
    </row>
    <row r="4562" spans="1:1">
      <c r="A4562" s="27">
        <v>70</v>
      </c>
    </row>
    <row r="4563" spans="1:1">
      <c r="A4563" s="27">
        <v>154</v>
      </c>
    </row>
    <row r="4564" spans="1:1">
      <c r="A4564" s="27">
        <v>224</v>
      </c>
    </row>
    <row r="4565" spans="1:1">
      <c r="A4565" s="27">
        <v>10</v>
      </c>
    </row>
    <row r="4566" spans="1:1">
      <c r="A4566" s="27">
        <v>277</v>
      </c>
    </row>
    <row r="4567" spans="1:1">
      <c r="A4567" s="27">
        <v>0.67</v>
      </c>
    </row>
    <row r="4568" spans="1:1">
      <c r="A4568" s="27">
        <v>10</v>
      </c>
    </row>
    <row r="4569" spans="1:1">
      <c r="A4569" s="27">
        <v>49</v>
      </c>
    </row>
    <row r="4570" spans="1:1">
      <c r="A4570" s="27">
        <v>0</v>
      </c>
    </row>
    <row r="4571" spans="1:1">
      <c r="A4571" s="27">
        <v>1</v>
      </c>
    </row>
    <row r="4572" spans="1:1">
      <c r="A4572" s="27">
        <v>4</v>
      </c>
    </row>
    <row r="4573" spans="1:1">
      <c r="A4573" s="27">
        <v>1</v>
      </c>
    </row>
    <row r="4574" spans="1:1">
      <c r="A4574" s="27">
        <v>689</v>
      </c>
    </row>
    <row r="4575" spans="1:1">
      <c r="A4575" s="27">
        <v>10.199999999999999</v>
      </c>
    </row>
    <row r="4576" spans="1:1">
      <c r="A4576" s="29">
        <v>0.70277777777777783</v>
      </c>
    </row>
    <row r="4577" spans="1:1">
      <c r="A4577" s="27">
        <v>21.7</v>
      </c>
    </row>
    <row r="4578" spans="1:1">
      <c r="A4578" s="28">
        <v>44.8</v>
      </c>
    </row>
    <row r="4579" spans="1:1">
      <c r="A4579" s="25">
        <v>219</v>
      </c>
    </row>
    <row r="4580" spans="1:1" ht="30">
      <c r="A4580" s="26" t="s">
        <v>417</v>
      </c>
    </row>
    <row r="4581" spans="1:1">
      <c r="A4581" s="27" t="s">
        <v>44</v>
      </c>
    </row>
    <row r="4582" spans="1:1">
      <c r="A4582" s="27">
        <v>326</v>
      </c>
    </row>
    <row r="4583" spans="1:1">
      <c r="A4583" s="27">
        <v>103</v>
      </c>
    </row>
    <row r="4584" spans="1:1">
      <c r="A4584" s="27">
        <v>118</v>
      </c>
    </row>
    <row r="4585" spans="1:1">
      <c r="A4585" s="27">
        <v>221</v>
      </c>
    </row>
    <row r="4586" spans="1:1">
      <c r="A4586" s="27">
        <v>24</v>
      </c>
    </row>
    <row r="4587" spans="1:1">
      <c r="A4587" s="27">
        <v>110</v>
      </c>
    </row>
    <row r="4588" spans="1:1">
      <c r="A4588" s="27">
        <v>0.68</v>
      </c>
    </row>
    <row r="4589" spans="1:1">
      <c r="A4589" s="27">
        <v>21</v>
      </c>
    </row>
    <row r="4590" spans="1:1">
      <c r="A4590" s="27">
        <v>46</v>
      </c>
    </row>
    <row r="4591" spans="1:1">
      <c r="A4591" s="27">
        <v>0</v>
      </c>
    </row>
    <row r="4592" spans="1:1">
      <c r="A4592" s="27">
        <v>0</v>
      </c>
    </row>
    <row r="4593" spans="1:1">
      <c r="A4593" s="27">
        <v>18</v>
      </c>
    </row>
    <row r="4594" spans="1:1">
      <c r="A4594" s="27">
        <v>0</v>
      </c>
    </row>
    <row r="4595" spans="1:1">
      <c r="A4595" s="27">
        <v>844</v>
      </c>
    </row>
    <row r="4596" spans="1:1">
      <c r="A4596" s="27">
        <v>12.2</v>
      </c>
    </row>
    <row r="4597" spans="1:1">
      <c r="A4597" s="29">
        <v>0.68611111111111101</v>
      </c>
    </row>
    <row r="4598" spans="1:1">
      <c r="A4598" s="27">
        <v>21.2</v>
      </c>
    </row>
    <row r="4599" spans="1:1">
      <c r="A4599" s="28">
        <v>31.6</v>
      </c>
    </row>
    <row r="4600" spans="1:1">
      <c r="A4600" s="25">
        <v>220</v>
      </c>
    </row>
    <row r="4601" spans="1:1" ht="30">
      <c r="A4601" s="26" t="s">
        <v>235</v>
      </c>
    </row>
    <row r="4602" spans="1:1">
      <c r="A4602" s="27" t="s">
        <v>653</v>
      </c>
    </row>
    <row r="4603" spans="1:1">
      <c r="A4603" s="27">
        <v>270</v>
      </c>
    </row>
    <row r="4604" spans="1:1">
      <c r="A4604" s="27">
        <v>96</v>
      </c>
    </row>
    <row r="4605" spans="1:1">
      <c r="A4605" s="27">
        <v>123</v>
      </c>
    </row>
    <row r="4606" spans="1:1">
      <c r="A4606" s="27">
        <v>219</v>
      </c>
    </row>
    <row r="4607" spans="1:1">
      <c r="A4607" s="27">
        <v>36</v>
      </c>
    </row>
    <row r="4608" spans="1:1">
      <c r="A4608" s="27">
        <v>84</v>
      </c>
    </row>
    <row r="4609" spans="1:1">
      <c r="A4609" s="27">
        <v>0.81</v>
      </c>
    </row>
    <row r="4610" spans="1:1">
      <c r="A4610" s="27">
        <v>19</v>
      </c>
    </row>
    <row r="4611" spans="1:1">
      <c r="A4611" s="27">
        <v>61</v>
      </c>
    </row>
    <row r="4612" spans="1:1">
      <c r="A4612" s="27">
        <v>7</v>
      </c>
    </row>
    <row r="4613" spans="1:1">
      <c r="A4613" s="27">
        <v>10</v>
      </c>
    </row>
    <row r="4614" spans="1:1">
      <c r="A4614" s="27">
        <v>17</v>
      </c>
    </row>
    <row r="4615" spans="1:1">
      <c r="A4615" s="27">
        <v>4</v>
      </c>
    </row>
    <row r="4616" spans="1:1">
      <c r="A4616" s="27">
        <v>739</v>
      </c>
    </row>
    <row r="4617" spans="1:1">
      <c r="A4617" s="27">
        <v>13</v>
      </c>
    </row>
    <row r="4618" spans="1:1">
      <c r="A4618" s="29">
        <v>0.76736111111111116</v>
      </c>
    </row>
    <row r="4619" spans="1:1">
      <c r="A4619" s="27">
        <v>23</v>
      </c>
    </row>
    <row r="4620" spans="1:1">
      <c r="A4620" s="28">
        <v>48.1</v>
      </c>
    </row>
    <row r="4621" spans="1:1">
      <c r="A4621" s="25">
        <v>221</v>
      </c>
    </row>
    <row r="4622" spans="1:1" ht="30">
      <c r="A4622" s="26" t="s">
        <v>130</v>
      </c>
    </row>
    <row r="4623" spans="1:1">
      <c r="A4623" s="27" t="s">
        <v>653</v>
      </c>
    </row>
    <row r="4624" spans="1:1">
      <c r="A4624" s="27">
        <v>251</v>
      </c>
    </row>
    <row r="4625" spans="1:1">
      <c r="A4625" s="27">
        <v>101</v>
      </c>
    </row>
    <row r="4626" spans="1:1">
      <c r="A4626" s="27">
        <v>117</v>
      </c>
    </row>
    <row r="4627" spans="1:1">
      <c r="A4627" s="27">
        <v>218</v>
      </c>
    </row>
    <row r="4628" spans="1:1">
      <c r="A4628" s="27">
        <v>52</v>
      </c>
    </row>
    <row r="4629" spans="1:1">
      <c r="A4629" s="27">
        <v>71</v>
      </c>
    </row>
    <row r="4630" spans="1:1">
      <c r="A4630" s="27">
        <v>0.87</v>
      </c>
    </row>
    <row r="4631" spans="1:1">
      <c r="A4631" s="27">
        <v>34</v>
      </c>
    </row>
    <row r="4632" spans="1:1">
      <c r="A4632" s="27">
        <v>63</v>
      </c>
    </row>
    <row r="4633" spans="1:1">
      <c r="A4633" s="27">
        <v>3</v>
      </c>
    </row>
    <row r="4634" spans="1:1">
      <c r="A4634" s="27">
        <v>5</v>
      </c>
    </row>
    <row r="4635" spans="1:1">
      <c r="A4635" s="27">
        <v>23</v>
      </c>
    </row>
    <row r="4636" spans="1:1">
      <c r="A4636" s="27">
        <v>6</v>
      </c>
    </row>
    <row r="4637" spans="1:1">
      <c r="A4637" s="27">
        <v>577</v>
      </c>
    </row>
    <row r="4638" spans="1:1">
      <c r="A4638" s="27">
        <v>17.5</v>
      </c>
    </row>
    <row r="4639" spans="1:1">
      <c r="A4639" s="29">
        <v>0.77708333333333324</v>
      </c>
    </row>
    <row r="4640" spans="1:1">
      <c r="A4640" s="27">
        <v>22.4</v>
      </c>
    </row>
    <row r="4641" spans="1:1">
      <c r="A4641" s="28">
        <v>48.4</v>
      </c>
    </row>
    <row r="4642" spans="1:1">
      <c r="A4642" s="25">
        <v>222</v>
      </c>
    </row>
    <row r="4643" spans="1:1" ht="30">
      <c r="A4643" s="26" t="s">
        <v>799</v>
      </c>
    </row>
    <row r="4644" spans="1:1">
      <c r="A4644" s="27" t="s">
        <v>653</v>
      </c>
    </row>
    <row r="4645" spans="1:1">
      <c r="A4645" s="27">
        <v>447</v>
      </c>
    </row>
    <row r="4646" spans="1:1">
      <c r="A4646" s="27">
        <v>83</v>
      </c>
    </row>
    <row r="4647" spans="1:1">
      <c r="A4647" s="27">
        <v>135</v>
      </c>
    </row>
    <row r="4648" spans="1:1">
      <c r="A4648" s="27">
        <v>218</v>
      </c>
    </row>
    <row r="4649" spans="1:1">
      <c r="A4649" s="27">
        <v>6</v>
      </c>
    </row>
    <row r="4650" spans="1:1">
      <c r="A4650" s="27">
        <v>242</v>
      </c>
    </row>
    <row r="4651" spans="1:1">
      <c r="A4651" s="27">
        <v>0.49</v>
      </c>
    </row>
    <row r="4652" spans="1:1">
      <c r="A4652" s="27">
        <v>15</v>
      </c>
    </row>
    <row r="4653" spans="1:1">
      <c r="A4653" s="27">
        <v>46</v>
      </c>
    </row>
    <row r="4654" spans="1:1">
      <c r="A4654" s="27">
        <v>1</v>
      </c>
    </row>
    <row r="4655" spans="1:1">
      <c r="A4655" s="27">
        <v>2</v>
      </c>
    </row>
    <row r="4656" spans="1:1">
      <c r="A4656" s="27">
        <v>12</v>
      </c>
    </row>
    <row r="4657" spans="1:1">
      <c r="A4657" s="27">
        <v>2</v>
      </c>
    </row>
    <row r="4658" spans="1:1">
      <c r="A4658" s="27">
        <v>810</v>
      </c>
    </row>
    <row r="4659" spans="1:1">
      <c r="A4659" s="27">
        <v>10.199999999999999</v>
      </c>
    </row>
    <row r="4660" spans="1:1">
      <c r="A4660" s="29">
        <v>0.64722222222222225</v>
      </c>
    </row>
    <row r="4661" spans="1:1">
      <c r="A4661" s="27">
        <v>19.899999999999999</v>
      </c>
    </row>
    <row r="4662" spans="1:1">
      <c r="A4662" s="28">
        <v>45.8</v>
      </c>
    </row>
    <row r="4663" spans="1:1">
      <c r="A4663" s="25">
        <v>223</v>
      </c>
    </row>
    <row r="4664" spans="1:1" ht="30">
      <c r="A4664" s="26" t="s">
        <v>128</v>
      </c>
    </row>
    <row r="4665" spans="1:1">
      <c r="A4665" s="27" t="s">
        <v>44</v>
      </c>
    </row>
    <row r="4666" spans="1:1">
      <c r="A4666" s="27">
        <v>472</v>
      </c>
    </row>
    <row r="4667" spans="1:1">
      <c r="A4667" s="27">
        <v>93</v>
      </c>
    </row>
    <row r="4668" spans="1:1">
      <c r="A4668" s="27">
        <v>123</v>
      </c>
    </row>
    <row r="4669" spans="1:1">
      <c r="A4669" s="27">
        <v>216</v>
      </c>
    </row>
    <row r="4670" spans="1:1">
      <c r="A4670" s="27">
        <v>10</v>
      </c>
    </row>
    <row r="4671" spans="1:1">
      <c r="A4671" s="27">
        <v>546</v>
      </c>
    </row>
    <row r="4672" spans="1:1">
      <c r="A4672" s="27">
        <v>0.46</v>
      </c>
    </row>
    <row r="4673" spans="1:1">
      <c r="A4673" s="27">
        <v>14</v>
      </c>
    </row>
    <row r="4674" spans="1:1">
      <c r="A4674" s="27">
        <v>45</v>
      </c>
    </row>
    <row r="4675" spans="1:1">
      <c r="A4675" s="27">
        <v>0</v>
      </c>
    </row>
    <row r="4676" spans="1:1">
      <c r="A4676" s="27">
        <v>0</v>
      </c>
    </row>
    <row r="4677" spans="1:1">
      <c r="A4677" s="27">
        <v>17</v>
      </c>
    </row>
    <row r="4678" spans="1:1">
      <c r="A4678" s="27">
        <v>0</v>
      </c>
    </row>
    <row r="4679" spans="1:1">
      <c r="A4679" s="27">
        <v>814</v>
      </c>
    </row>
    <row r="4680" spans="1:1">
      <c r="A4680" s="27">
        <v>11.4</v>
      </c>
    </row>
    <row r="4681" spans="1:1">
      <c r="A4681" s="29">
        <v>0.59513888888888888</v>
      </c>
    </row>
    <row r="4682" spans="1:1">
      <c r="A4682" s="27">
        <v>18</v>
      </c>
    </row>
    <row r="4683" spans="1:1">
      <c r="A4683" s="28">
        <v>38.1</v>
      </c>
    </row>
    <row r="4684" spans="1:1">
      <c r="A4684" s="25">
        <v>224</v>
      </c>
    </row>
    <row r="4685" spans="1:1" ht="30">
      <c r="A4685" s="26" t="s">
        <v>420</v>
      </c>
    </row>
    <row r="4686" spans="1:1">
      <c r="A4686" s="27" t="s">
        <v>43</v>
      </c>
    </row>
    <row r="4687" spans="1:1">
      <c r="A4687" s="27">
        <v>263</v>
      </c>
    </row>
    <row r="4688" spans="1:1">
      <c r="A4688" s="27">
        <v>118</v>
      </c>
    </row>
    <row r="4689" spans="1:1">
      <c r="A4689" s="27">
        <v>93</v>
      </c>
    </row>
    <row r="4690" spans="1:1">
      <c r="A4690" s="27">
        <v>211</v>
      </c>
    </row>
    <row r="4691" spans="1:1">
      <c r="A4691" s="27">
        <v>-3</v>
      </c>
    </row>
    <row r="4692" spans="1:1">
      <c r="A4692" s="27">
        <v>96</v>
      </c>
    </row>
    <row r="4693" spans="1:1">
      <c r="A4693" s="27">
        <v>0.8</v>
      </c>
    </row>
    <row r="4694" spans="1:1">
      <c r="A4694" s="27">
        <v>46</v>
      </c>
    </row>
    <row r="4695" spans="1:1">
      <c r="A4695" s="27">
        <v>75</v>
      </c>
    </row>
    <row r="4696" spans="1:1">
      <c r="A4696" s="27">
        <v>0</v>
      </c>
    </row>
    <row r="4697" spans="1:1">
      <c r="A4697" s="27">
        <v>0</v>
      </c>
    </row>
    <row r="4698" spans="1:1">
      <c r="A4698" s="27">
        <v>16</v>
      </c>
    </row>
    <row r="4699" spans="1:1">
      <c r="A4699" s="27">
        <v>1</v>
      </c>
    </row>
    <row r="4700" spans="1:1">
      <c r="A4700" s="27">
        <v>772</v>
      </c>
    </row>
    <row r="4701" spans="1:1">
      <c r="A4701" s="27">
        <v>15.3</v>
      </c>
    </row>
    <row r="4702" spans="1:1">
      <c r="A4702" s="29">
        <v>0.72430555555555554</v>
      </c>
    </row>
    <row r="4703" spans="1:1">
      <c r="A4703" s="27">
        <v>20.9</v>
      </c>
    </row>
    <row r="4704" spans="1:1">
      <c r="A4704" s="28">
        <v>29.1</v>
      </c>
    </row>
    <row r="4705" spans="1:1">
      <c r="A4705" s="25">
        <v>225</v>
      </c>
    </row>
    <row r="4706" spans="1:1" ht="30">
      <c r="A4706" s="26" t="s">
        <v>703</v>
      </c>
    </row>
    <row r="4707" spans="1:1">
      <c r="A4707" s="27" t="s">
        <v>653</v>
      </c>
    </row>
    <row r="4708" spans="1:1">
      <c r="A4708" s="27">
        <v>567</v>
      </c>
    </row>
    <row r="4709" spans="1:1">
      <c r="A4709" s="27">
        <v>93</v>
      </c>
    </row>
    <row r="4710" spans="1:1">
      <c r="A4710" s="27">
        <v>117</v>
      </c>
    </row>
    <row r="4711" spans="1:1">
      <c r="A4711" s="27">
        <v>210</v>
      </c>
    </row>
    <row r="4712" spans="1:1">
      <c r="A4712" s="27">
        <v>-49</v>
      </c>
    </row>
    <row r="4713" spans="1:1">
      <c r="A4713" s="27">
        <v>90</v>
      </c>
    </row>
    <row r="4714" spans="1:1">
      <c r="A4714" s="27">
        <v>0.37</v>
      </c>
    </row>
    <row r="4715" spans="1:1">
      <c r="A4715" s="27">
        <v>33</v>
      </c>
    </row>
    <row r="4716" spans="1:1">
      <c r="A4716" s="27">
        <v>63</v>
      </c>
    </row>
    <row r="4717" spans="1:1">
      <c r="A4717" s="27">
        <v>10</v>
      </c>
    </row>
    <row r="4718" spans="1:1">
      <c r="A4718" s="27">
        <v>15</v>
      </c>
    </row>
    <row r="4719" spans="1:1">
      <c r="A4719" s="27">
        <v>14</v>
      </c>
    </row>
    <row r="4720" spans="1:1">
      <c r="A4720" s="27">
        <v>3</v>
      </c>
    </row>
    <row r="4721" spans="1:1">
      <c r="A4721" s="27">
        <v>872</v>
      </c>
    </row>
    <row r="4722" spans="1:1">
      <c r="A4722" s="27">
        <v>10.7</v>
      </c>
    </row>
    <row r="4723" spans="1:1">
      <c r="A4723" s="29">
        <v>0.6020833333333333</v>
      </c>
    </row>
    <row r="4724" spans="1:1">
      <c r="A4724" s="27">
        <v>20</v>
      </c>
    </row>
    <row r="4725" spans="1:1">
      <c r="A4725" s="28">
        <v>52.2</v>
      </c>
    </row>
    <row r="4726" spans="1:1">
      <c r="A4726" s="25">
        <v>226</v>
      </c>
    </row>
    <row r="4727" spans="1:1" ht="30">
      <c r="A4727" s="26" t="s">
        <v>217</v>
      </c>
    </row>
    <row r="4728" spans="1:1">
      <c r="A4728" s="27" t="s">
        <v>42</v>
      </c>
    </row>
    <row r="4729" spans="1:1">
      <c r="A4729" s="27">
        <v>457</v>
      </c>
    </row>
    <row r="4730" spans="1:1">
      <c r="A4730" s="27">
        <v>49</v>
      </c>
    </row>
    <row r="4731" spans="1:1">
      <c r="A4731" s="27">
        <v>161</v>
      </c>
    </row>
    <row r="4732" spans="1:1">
      <c r="A4732" s="27">
        <v>210</v>
      </c>
    </row>
    <row r="4733" spans="1:1">
      <c r="A4733" s="27">
        <v>-27</v>
      </c>
    </row>
    <row r="4734" spans="1:1">
      <c r="A4734" s="27">
        <v>104</v>
      </c>
    </row>
    <row r="4735" spans="1:1">
      <c r="A4735" s="27">
        <v>0.46</v>
      </c>
    </row>
    <row r="4736" spans="1:1">
      <c r="A4736" s="27">
        <v>11</v>
      </c>
    </row>
    <row r="4737" spans="1:1">
      <c r="A4737" s="27">
        <v>86</v>
      </c>
    </row>
    <row r="4738" spans="1:1">
      <c r="A4738" s="27">
        <v>0</v>
      </c>
    </row>
    <row r="4739" spans="1:1">
      <c r="A4739" s="27">
        <v>0</v>
      </c>
    </row>
    <row r="4740" spans="1:1">
      <c r="A4740" s="27">
        <v>9</v>
      </c>
    </row>
    <row r="4741" spans="1:1">
      <c r="A4741" s="27">
        <v>1</v>
      </c>
    </row>
    <row r="4742" spans="1:1">
      <c r="A4742" s="27">
        <v>763</v>
      </c>
    </row>
    <row r="4743" spans="1:1">
      <c r="A4743" s="27">
        <v>6.4</v>
      </c>
    </row>
    <row r="4744" spans="1:1">
      <c r="A4744" s="29">
        <v>0.87638888888888899</v>
      </c>
    </row>
    <row r="4745" spans="1:1">
      <c r="A4745" s="27">
        <v>26</v>
      </c>
    </row>
    <row r="4746" spans="1:1">
      <c r="A4746" s="28">
        <v>20</v>
      </c>
    </row>
    <row r="4747" spans="1:1">
      <c r="A4747" s="25">
        <v>227</v>
      </c>
    </row>
    <row r="4748" spans="1:1" ht="30">
      <c r="A4748" s="26" t="s">
        <v>516</v>
      </c>
    </row>
    <row r="4749" spans="1:1">
      <c r="A4749" s="27" t="s">
        <v>653</v>
      </c>
    </row>
    <row r="4750" spans="1:1">
      <c r="A4750" s="27">
        <v>377</v>
      </c>
    </row>
    <row r="4751" spans="1:1">
      <c r="A4751" s="27">
        <v>93</v>
      </c>
    </row>
    <row r="4752" spans="1:1">
      <c r="A4752" s="27">
        <v>116</v>
      </c>
    </row>
    <row r="4753" spans="1:1">
      <c r="A4753" s="27">
        <v>209</v>
      </c>
    </row>
    <row r="4754" spans="1:1">
      <c r="A4754" s="27">
        <v>61</v>
      </c>
    </row>
    <row r="4755" spans="1:1">
      <c r="A4755" s="27">
        <v>60</v>
      </c>
    </row>
    <row r="4756" spans="1:1">
      <c r="A4756" s="27">
        <v>0.55000000000000004</v>
      </c>
    </row>
    <row r="4757" spans="1:1">
      <c r="A4757" s="27">
        <v>18</v>
      </c>
    </row>
    <row r="4758" spans="1:1">
      <c r="A4758" s="27">
        <v>37</v>
      </c>
    </row>
    <row r="4759" spans="1:1">
      <c r="A4759" s="27">
        <v>6</v>
      </c>
    </row>
    <row r="4760" spans="1:1">
      <c r="A4760" s="27">
        <v>14</v>
      </c>
    </row>
    <row r="4761" spans="1:1">
      <c r="A4761" s="27">
        <v>17</v>
      </c>
    </row>
    <row r="4762" spans="1:1">
      <c r="A4762" s="27">
        <v>1</v>
      </c>
    </row>
    <row r="4763" spans="1:1">
      <c r="A4763" s="27">
        <v>654</v>
      </c>
    </row>
    <row r="4764" spans="1:1">
      <c r="A4764" s="27">
        <v>14.2</v>
      </c>
    </row>
    <row r="4765" spans="1:1">
      <c r="A4765" s="29">
        <v>0.68194444444444446</v>
      </c>
    </row>
    <row r="4766" spans="1:1">
      <c r="A4766" s="27">
        <v>20.5</v>
      </c>
    </row>
    <row r="4767" spans="1:1">
      <c r="A4767" s="28">
        <v>47.5</v>
      </c>
    </row>
    <row r="4768" spans="1:1">
      <c r="A4768" s="25">
        <v>228</v>
      </c>
    </row>
    <row r="4769" spans="1:1" ht="30">
      <c r="A4769" s="26" t="s">
        <v>840</v>
      </c>
    </row>
    <row r="4770" spans="1:1">
      <c r="A4770" s="27" t="s">
        <v>44</v>
      </c>
    </row>
    <row r="4771" spans="1:1">
      <c r="A4771" s="27">
        <v>341</v>
      </c>
    </row>
    <row r="4772" spans="1:1">
      <c r="A4772" s="27">
        <v>67</v>
      </c>
    </row>
    <row r="4773" spans="1:1">
      <c r="A4773" s="27">
        <v>142</v>
      </c>
    </row>
    <row r="4774" spans="1:1">
      <c r="A4774" s="27">
        <v>209</v>
      </c>
    </row>
    <row r="4775" spans="1:1">
      <c r="A4775" s="27">
        <v>-41</v>
      </c>
    </row>
    <row r="4776" spans="1:1">
      <c r="A4776" s="27">
        <v>116</v>
      </c>
    </row>
    <row r="4777" spans="1:1">
      <c r="A4777" s="27">
        <v>0.61</v>
      </c>
    </row>
    <row r="4778" spans="1:1">
      <c r="A4778" s="27">
        <v>20</v>
      </c>
    </row>
    <row r="4779" spans="1:1">
      <c r="A4779" s="27">
        <v>76</v>
      </c>
    </row>
    <row r="4780" spans="1:1">
      <c r="A4780" s="27">
        <v>0</v>
      </c>
    </row>
    <row r="4781" spans="1:1">
      <c r="A4781" s="27">
        <v>0</v>
      </c>
    </row>
    <row r="4782" spans="1:1">
      <c r="A4782" s="27">
        <v>15</v>
      </c>
    </row>
    <row r="4783" spans="1:1">
      <c r="A4783" s="27">
        <v>2</v>
      </c>
    </row>
    <row r="4784" spans="1:1">
      <c r="A4784" s="27">
        <v>682</v>
      </c>
    </row>
    <row r="4785" spans="1:1">
      <c r="A4785" s="27">
        <v>9.8000000000000007</v>
      </c>
    </row>
    <row r="4786" spans="1:1">
      <c r="A4786" s="29">
        <v>0.67986111111111114</v>
      </c>
    </row>
    <row r="4787" spans="1:1">
      <c r="A4787" s="27">
        <v>19.899999999999999</v>
      </c>
    </row>
    <row r="4788" spans="1:1">
      <c r="A4788" s="28">
        <v>42.8</v>
      </c>
    </row>
    <row r="4789" spans="1:1">
      <c r="A4789" s="25">
        <v>229</v>
      </c>
    </row>
    <row r="4790" spans="1:1" ht="30">
      <c r="A4790" s="26" t="s">
        <v>258</v>
      </c>
    </row>
    <row r="4791" spans="1:1">
      <c r="A4791" s="27" t="s">
        <v>653</v>
      </c>
    </row>
    <row r="4792" spans="1:1">
      <c r="A4792" s="27">
        <v>446</v>
      </c>
    </row>
    <row r="4793" spans="1:1">
      <c r="A4793" s="27">
        <v>108</v>
      </c>
    </row>
    <row r="4794" spans="1:1">
      <c r="A4794" s="27">
        <v>100</v>
      </c>
    </row>
    <row r="4795" spans="1:1">
      <c r="A4795" s="27">
        <v>208</v>
      </c>
    </row>
    <row r="4796" spans="1:1">
      <c r="A4796" s="27">
        <v>-6</v>
      </c>
    </row>
    <row r="4797" spans="1:1">
      <c r="A4797" s="27">
        <v>287</v>
      </c>
    </row>
    <row r="4798" spans="1:1">
      <c r="A4798" s="27">
        <v>0.47</v>
      </c>
    </row>
    <row r="4799" spans="1:1">
      <c r="A4799" s="27">
        <v>19</v>
      </c>
    </row>
    <row r="4800" spans="1:1">
      <c r="A4800" s="27">
        <v>35</v>
      </c>
    </row>
    <row r="4801" spans="1:1">
      <c r="A4801" s="27">
        <v>4</v>
      </c>
    </row>
    <row r="4802" spans="1:1">
      <c r="A4802" s="27">
        <v>4</v>
      </c>
    </row>
    <row r="4803" spans="1:1">
      <c r="A4803" s="27">
        <v>19</v>
      </c>
    </row>
    <row r="4804" spans="1:1">
      <c r="A4804" s="27">
        <v>0</v>
      </c>
    </row>
    <row r="4805" spans="1:1">
      <c r="A4805" s="27">
        <v>1063</v>
      </c>
    </row>
    <row r="4806" spans="1:1">
      <c r="A4806" s="27">
        <v>10.199999999999999</v>
      </c>
    </row>
    <row r="4807" spans="1:1">
      <c r="A4807" s="29">
        <v>0.67708333333333337</v>
      </c>
    </row>
    <row r="4808" spans="1:1">
      <c r="A4808" s="27">
        <v>21.3</v>
      </c>
    </row>
    <row r="4809" spans="1:1">
      <c r="A4809" s="28">
        <v>53.2</v>
      </c>
    </row>
    <row r="4810" spans="1:1">
      <c r="A4810" s="25">
        <v>230</v>
      </c>
    </row>
    <row r="4811" spans="1:1" ht="30">
      <c r="A4811" s="26" t="s">
        <v>205</v>
      </c>
    </row>
    <row r="4812" spans="1:1">
      <c r="A4812" s="27" t="s">
        <v>653</v>
      </c>
    </row>
    <row r="4813" spans="1:1">
      <c r="A4813" s="27">
        <v>436</v>
      </c>
    </row>
    <row r="4814" spans="1:1">
      <c r="A4814" s="27">
        <v>97</v>
      </c>
    </row>
    <row r="4815" spans="1:1">
      <c r="A4815" s="27">
        <v>109</v>
      </c>
    </row>
    <row r="4816" spans="1:1">
      <c r="A4816" s="27">
        <v>206</v>
      </c>
    </row>
    <row r="4817" spans="1:1">
      <c r="A4817" s="27">
        <v>-43</v>
      </c>
    </row>
    <row r="4818" spans="1:1">
      <c r="A4818" s="27">
        <v>198</v>
      </c>
    </row>
    <row r="4819" spans="1:1">
      <c r="A4819" s="27">
        <v>0.47</v>
      </c>
    </row>
    <row r="4820" spans="1:1">
      <c r="A4820" s="27">
        <v>17</v>
      </c>
    </row>
    <row r="4821" spans="1:1">
      <c r="A4821" s="27">
        <v>46</v>
      </c>
    </row>
    <row r="4822" spans="1:1">
      <c r="A4822" s="27">
        <v>1</v>
      </c>
    </row>
    <row r="4823" spans="1:1">
      <c r="A4823" s="27">
        <v>2</v>
      </c>
    </row>
    <row r="4824" spans="1:1">
      <c r="A4824" s="27">
        <v>14</v>
      </c>
    </row>
    <row r="4825" spans="1:1">
      <c r="A4825" s="27">
        <v>0</v>
      </c>
    </row>
    <row r="4826" spans="1:1">
      <c r="A4826" s="27">
        <v>1071</v>
      </c>
    </row>
    <row r="4827" spans="1:1">
      <c r="A4827" s="27">
        <v>9</v>
      </c>
    </row>
    <row r="4828" spans="1:1">
      <c r="A4828" s="29">
        <v>0.63888888888888895</v>
      </c>
    </row>
    <row r="4829" spans="1:1">
      <c r="A4829" s="27">
        <v>20.6</v>
      </c>
    </row>
    <row r="4830" spans="1:1">
      <c r="A4830" s="28">
        <v>49.1</v>
      </c>
    </row>
    <row r="4831" spans="1:1">
      <c r="A4831" s="25">
        <v>231</v>
      </c>
    </row>
    <row r="4832" spans="1:1" ht="45">
      <c r="A4832" s="26" t="s">
        <v>82</v>
      </c>
    </row>
    <row r="4833" spans="1:1">
      <c r="A4833" s="27" t="s">
        <v>42</v>
      </c>
    </row>
    <row r="4834" spans="1:1">
      <c r="A4834" s="27">
        <v>452</v>
      </c>
    </row>
    <row r="4835" spans="1:1">
      <c r="A4835" s="27">
        <v>38</v>
      </c>
    </row>
    <row r="4836" spans="1:1">
      <c r="A4836" s="27">
        <v>167</v>
      </c>
    </row>
    <row r="4837" spans="1:1">
      <c r="A4837" s="27">
        <v>205</v>
      </c>
    </row>
    <row r="4838" spans="1:1">
      <c r="A4838" s="27">
        <v>-141</v>
      </c>
    </row>
    <row r="4839" spans="1:1">
      <c r="A4839" s="27">
        <v>235</v>
      </c>
    </row>
    <row r="4840" spans="1:1">
      <c r="A4840" s="27">
        <v>0.45</v>
      </c>
    </row>
    <row r="4841" spans="1:1">
      <c r="A4841" s="27">
        <v>12</v>
      </c>
    </row>
    <row r="4842" spans="1:1">
      <c r="A4842" s="27">
        <v>97</v>
      </c>
    </row>
    <row r="4843" spans="1:1">
      <c r="A4843" s="27">
        <v>0</v>
      </c>
    </row>
    <row r="4844" spans="1:1">
      <c r="A4844" s="27">
        <v>1</v>
      </c>
    </row>
    <row r="4845" spans="1:1">
      <c r="A4845" s="27">
        <v>6</v>
      </c>
    </row>
    <row r="4846" spans="1:1">
      <c r="A4846" s="27">
        <v>4</v>
      </c>
    </row>
    <row r="4847" spans="1:1">
      <c r="A4847" s="27">
        <v>983</v>
      </c>
    </row>
    <row r="4848" spans="1:1">
      <c r="A4848" s="27">
        <v>3.9</v>
      </c>
    </row>
    <row r="4849" spans="1:1">
      <c r="A4849" s="30">
        <v>1.0069444444444444</v>
      </c>
    </row>
    <row r="4850" spans="1:1">
      <c r="A4850" s="27">
        <v>28</v>
      </c>
    </row>
    <row r="4851" spans="1:1">
      <c r="A4851" s="28">
        <v>50</v>
      </c>
    </row>
    <row r="4852" spans="1:1">
      <c r="A4852" s="25">
        <v>232</v>
      </c>
    </row>
    <row r="4853" spans="1:1" ht="30">
      <c r="A4853" s="26" t="s">
        <v>481</v>
      </c>
    </row>
    <row r="4854" spans="1:1">
      <c r="A4854" s="27" t="s">
        <v>42</v>
      </c>
    </row>
    <row r="4855" spans="1:1">
      <c r="A4855" s="27">
        <v>635</v>
      </c>
    </row>
    <row r="4856" spans="1:1">
      <c r="A4856" s="27">
        <v>45</v>
      </c>
    </row>
    <row r="4857" spans="1:1">
      <c r="A4857" s="27">
        <v>159</v>
      </c>
    </row>
    <row r="4858" spans="1:1">
      <c r="A4858" s="27">
        <v>204</v>
      </c>
    </row>
    <row r="4859" spans="1:1">
      <c r="A4859" s="27">
        <v>34</v>
      </c>
    </row>
    <row r="4860" spans="1:1">
      <c r="A4860" s="27">
        <v>366</v>
      </c>
    </row>
    <row r="4861" spans="1:1">
      <c r="A4861" s="27">
        <v>0.32</v>
      </c>
    </row>
    <row r="4862" spans="1:1">
      <c r="A4862" s="27">
        <v>11</v>
      </c>
    </row>
    <row r="4863" spans="1:1">
      <c r="A4863" s="27">
        <v>50</v>
      </c>
    </row>
    <row r="4864" spans="1:1">
      <c r="A4864" s="27">
        <v>1</v>
      </c>
    </row>
    <row r="4865" spans="1:1">
      <c r="A4865" s="27">
        <v>5</v>
      </c>
    </row>
    <row r="4866" spans="1:1">
      <c r="A4866" s="27">
        <v>11</v>
      </c>
    </row>
    <row r="4867" spans="1:1">
      <c r="A4867" s="27">
        <v>0</v>
      </c>
    </row>
    <row r="4868" spans="1:1">
      <c r="A4868" s="27">
        <v>815</v>
      </c>
    </row>
    <row r="4869" spans="1:1">
      <c r="A4869" s="27">
        <v>5.5</v>
      </c>
    </row>
    <row r="4870" spans="1:1">
      <c r="A4870" s="29">
        <v>0.8041666666666667</v>
      </c>
    </row>
    <row r="4871" spans="1:1">
      <c r="A4871" s="27">
        <v>25.4</v>
      </c>
    </row>
    <row r="4872" spans="1:1">
      <c r="A4872" s="28">
        <v>0</v>
      </c>
    </row>
    <row r="4873" spans="1:1">
      <c r="A4873" s="25">
        <v>233</v>
      </c>
    </row>
    <row r="4874" spans="1:1" ht="30">
      <c r="A4874" s="26" t="s">
        <v>203</v>
      </c>
    </row>
    <row r="4875" spans="1:1">
      <c r="A4875" s="27" t="s">
        <v>42</v>
      </c>
    </row>
    <row r="4876" spans="1:1">
      <c r="A4876" s="27">
        <v>686</v>
      </c>
    </row>
    <row r="4877" spans="1:1">
      <c r="A4877" s="27">
        <v>53</v>
      </c>
    </row>
    <row r="4878" spans="1:1">
      <c r="A4878" s="27">
        <v>149</v>
      </c>
    </row>
    <row r="4879" spans="1:1">
      <c r="A4879" s="27">
        <v>202</v>
      </c>
    </row>
    <row r="4880" spans="1:1">
      <c r="A4880" s="27">
        <v>136</v>
      </c>
    </row>
    <row r="4881" spans="1:1">
      <c r="A4881" s="27">
        <v>325</v>
      </c>
    </row>
    <row r="4882" spans="1:1">
      <c r="A4882" s="27">
        <v>0.28999999999999998</v>
      </c>
    </row>
    <row r="4883" spans="1:1">
      <c r="A4883" s="27">
        <v>12</v>
      </c>
    </row>
    <row r="4884" spans="1:1">
      <c r="A4884" s="27">
        <v>35</v>
      </c>
    </row>
    <row r="4885" spans="1:1">
      <c r="A4885" s="27">
        <v>1</v>
      </c>
    </row>
    <row r="4886" spans="1:1">
      <c r="A4886" s="27">
        <v>8</v>
      </c>
    </row>
    <row r="4887" spans="1:1">
      <c r="A4887" s="27">
        <v>12</v>
      </c>
    </row>
    <row r="4888" spans="1:1">
      <c r="A4888" s="27">
        <v>1</v>
      </c>
    </row>
    <row r="4889" spans="1:1">
      <c r="A4889" s="27">
        <v>1486</v>
      </c>
    </row>
    <row r="4890" spans="1:1">
      <c r="A4890" s="27">
        <v>3.6</v>
      </c>
    </row>
    <row r="4891" spans="1:1">
      <c r="A4891" s="29">
        <v>0.84236111111111101</v>
      </c>
    </row>
    <row r="4892" spans="1:1">
      <c r="A4892" s="27">
        <v>24.8</v>
      </c>
    </row>
    <row r="4893" spans="1:1">
      <c r="A4893" s="28">
        <v>75</v>
      </c>
    </row>
    <row r="4894" spans="1:1">
      <c r="A4894" s="25">
        <v>234</v>
      </c>
    </row>
    <row r="4895" spans="1:1" ht="45">
      <c r="A4895" s="26" t="s">
        <v>338</v>
      </c>
    </row>
    <row r="4896" spans="1:1">
      <c r="A4896" s="27" t="s">
        <v>43</v>
      </c>
    </row>
    <row r="4897" spans="1:1">
      <c r="A4897" s="27">
        <v>300</v>
      </c>
    </row>
    <row r="4898" spans="1:1">
      <c r="A4898" s="27">
        <v>108</v>
      </c>
    </row>
    <row r="4899" spans="1:1">
      <c r="A4899" s="27">
        <v>93</v>
      </c>
    </row>
    <row r="4900" spans="1:1">
      <c r="A4900" s="27">
        <v>201</v>
      </c>
    </row>
    <row r="4901" spans="1:1">
      <c r="A4901" s="27">
        <v>41</v>
      </c>
    </row>
    <row r="4902" spans="1:1">
      <c r="A4902" s="27">
        <v>129</v>
      </c>
    </row>
    <row r="4903" spans="1:1">
      <c r="A4903" s="27">
        <v>0.67</v>
      </c>
    </row>
    <row r="4904" spans="1:1">
      <c r="A4904" s="27">
        <v>13</v>
      </c>
    </row>
    <row r="4905" spans="1:1">
      <c r="A4905" s="27">
        <v>26</v>
      </c>
    </row>
    <row r="4906" spans="1:1">
      <c r="A4906" s="27">
        <v>10</v>
      </c>
    </row>
    <row r="4907" spans="1:1">
      <c r="A4907" s="27">
        <v>13</v>
      </c>
    </row>
    <row r="4908" spans="1:1">
      <c r="A4908" s="27">
        <v>22</v>
      </c>
    </row>
    <row r="4909" spans="1:1">
      <c r="A4909" s="27">
        <v>2</v>
      </c>
    </row>
    <row r="4910" spans="1:1">
      <c r="A4910" s="27">
        <v>886</v>
      </c>
    </row>
    <row r="4911" spans="1:1">
      <c r="A4911" s="27">
        <v>12.2</v>
      </c>
    </row>
    <row r="4912" spans="1:1">
      <c r="A4912" s="29">
        <v>0.69444444444444453</v>
      </c>
    </row>
    <row r="4913" spans="1:1">
      <c r="A4913" s="27">
        <v>22.3</v>
      </c>
    </row>
    <row r="4914" spans="1:1">
      <c r="A4914" s="28">
        <v>26.5</v>
      </c>
    </row>
    <row r="4915" spans="1:1">
      <c r="A4915" s="25">
        <v>235</v>
      </c>
    </row>
    <row r="4916" spans="1:1" ht="30">
      <c r="A4916" s="26" t="s">
        <v>873</v>
      </c>
    </row>
    <row r="4917" spans="1:1">
      <c r="A4917" s="27" t="s">
        <v>43</v>
      </c>
    </row>
    <row r="4918" spans="1:1">
      <c r="A4918" s="27">
        <v>570</v>
      </c>
    </row>
    <row r="4919" spans="1:1">
      <c r="A4919" s="27">
        <v>114</v>
      </c>
    </row>
    <row r="4920" spans="1:1">
      <c r="A4920" s="27">
        <v>86</v>
      </c>
    </row>
    <row r="4921" spans="1:1">
      <c r="A4921" s="27">
        <v>200</v>
      </c>
    </row>
    <row r="4922" spans="1:1">
      <c r="A4922" s="27">
        <v>-66</v>
      </c>
    </row>
    <row r="4923" spans="1:1">
      <c r="A4923" s="27">
        <v>992</v>
      </c>
    </row>
    <row r="4924" spans="1:1">
      <c r="A4924" s="27">
        <v>0.35</v>
      </c>
    </row>
    <row r="4925" spans="1:1">
      <c r="A4925" s="27">
        <v>26</v>
      </c>
    </row>
    <row r="4926" spans="1:1">
      <c r="A4926" s="27">
        <v>45</v>
      </c>
    </row>
    <row r="4927" spans="1:1">
      <c r="A4927" s="27">
        <v>0</v>
      </c>
    </row>
    <row r="4928" spans="1:1">
      <c r="A4928" s="27">
        <v>0</v>
      </c>
    </row>
    <row r="4929" spans="1:1">
      <c r="A4929" s="27">
        <v>23</v>
      </c>
    </row>
    <row r="4930" spans="1:1">
      <c r="A4930" s="27">
        <v>1</v>
      </c>
    </row>
    <row r="4931" spans="1:1">
      <c r="A4931" s="27">
        <v>1254</v>
      </c>
    </row>
    <row r="4932" spans="1:1">
      <c r="A4932" s="27">
        <v>9.1</v>
      </c>
    </row>
    <row r="4933" spans="1:1">
      <c r="A4933" s="29">
        <v>0.58333333333333337</v>
      </c>
    </row>
    <row r="4934" spans="1:1">
      <c r="A4934" s="27">
        <v>18.399999999999999</v>
      </c>
    </row>
    <row r="4935" spans="1:1">
      <c r="A4935" s="28">
        <v>38.1</v>
      </c>
    </row>
    <row r="4936" spans="1:1">
      <c r="A4936" s="25">
        <v>236</v>
      </c>
    </row>
    <row r="4937" spans="1:1" ht="30">
      <c r="A4937" s="26" t="s">
        <v>442</v>
      </c>
    </row>
    <row r="4938" spans="1:1">
      <c r="A4938" s="27" t="s">
        <v>653</v>
      </c>
    </row>
    <row r="4939" spans="1:1">
      <c r="A4939" s="27">
        <v>632</v>
      </c>
    </row>
    <row r="4940" spans="1:1">
      <c r="A4940" s="27">
        <v>95</v>
      </c>
    </row>
    <row r="4941" spans="1:1">
      <c r="A4941" s="27">
        <v>103</v>
      </c>
    </row>
    <row r="4942" spans="1:1">
      <c r="A4942" s="27">
        <v>198</v>
      </c>
    </row>
    <row r="4943" spans="1:1">
      <c r="A4943" s="27">
        <v>-48</v>
      </c>
    </row>
    <row r="4944" spans="1:1">
      <c r="A4944" s="27">
        <v>697</v>
      </c>
    </row>
    <row r="4945" spans="1:1">
      <c r="A4945" s="27">
        <v>0.31</v>
      </c>
    </row>
    <row r="4946" spans="1:1">
      <c r="A4946" s="27">
        <v>6</v>
      </c>
    </row>
    <row r="4947" spans="1:1">
      <c r="A4947" s="27">
        <v>13</v>
      </c>
    </row>
    <row r="4948" spans="1:1">
      <c r="A4948" s="27">
        <v>14</v>
      </c>
    </row>
    <row r="4949" spans="1:1">
      <c r="A4949" s="27">
        <v>21</v>
      </c>
    </row>
    <row r="4950" spans="1:1">
      <c r="A4950" s="27">
        <v>14</v>
      </c>
    </row>
    <row r="4951" spans="1:1">
      <c r="A4951" s="27">
        <v>0</v>
      </c>
    </row>
    <row r="4952" spans="1:1">
      <c r="A4952" s="27">
        <v>1013</v>
      </c>
    </row>
    <row r="4953" spans="1:1">
      <c r="A4953" s="27">
        <v>9.4</v>
      </c>
    </row>
    <row r="4954" spans="1:1">
      <c r="A4954" s="29">
        <v>0.61875000000000002</v>
      </c>
    </row>
    <row r="4955" spans="1:1">
      <c r="A4955" s="27">
        <v>20.6</v>
      </c>
    </row>
    <row r="4956" spans="1:1">
      <c r="A4956" s="28">
        <v>50.7</v>
      </c>
    </row>
    <row r="4957" spans="1:1">
      <c r="A4957" s="25">
        <v>237</v>
      </c>
    </row>
    <row r="4958" spans="1:1" ht="30">
      <c r="A4958" s="26" t="s">
        <v>538</v>
      </c>
    </row>
    <row r="4959" spans="1:1">
      <c r="A4959" s="27" t="s">
        <v>44</v>
      </c>
    </row>
    <row r="4960" spans="1:1">
      <c r="A4960" s="27">
        <v>253</v>
      </c>
    </row>
    <row r="4961" spans="1:1">
      <c r="A4961" s="27">
        <v>82</v>
      </c>
    </row>
    <row r="4962" spans="1:1">
      <c r="A4962" s="27">
        <v>116</v>
      </c>
    </row>
    <row r="4963" spans="1:1">
      <c r="A4963" s="27">
        <v>198</v>
      </c>
    </row>
    <row r="4964" spans="1:1">
      <c r="A4964" s="27">
        <v>26</v>
      </c>
    </row>
    <row r="4965" spans="1:1">
      <c r="A4965" s="27">
        <v>256</v>
      </c>
    </row>
    <row r="4966" spans="1:1">
      <c r="A4966" s="27">
        <v>0.78</v>
      </c>
    </row>
    <row r="4967" spans="1:1">
      <c r="A4967" s="27">
        <v>25</v>
      </c>
    </row>
    <row r="4968" spans="1:1">
      <c r="A4968" s="27">
        <v>61</v>
      </c>
    </row>
    <row r="4969" spans="1:1">
      <c r="A4969" s="27">
        <v>0</v>
      </c>
    </row>
    <row r="4970" spans="1:1">
      <c r="A4970" s="27">
        <v>0</v>
      </c>
    </row>
    <row r="4971" spans="1:1">
      <c r="A4971" s="27">
        <v>8</v>
      </c>
    </row>
    <row r="4972" spans="1:1">
      <c r="A4972" s="27">
        <v>2</v>
      </c>
    </row>
    <row r="4973" spans="1:1">
      <c r="A4973" s="27">
        <v>618</v>
      </c>
    </row>
    <row r="4974" spans="1:1">
      <c r="A4974" s="27">
        <v>13.3</v>
      </c>
    </row>
    <row r="4975" spans="1:1">
      <c r="A4975" s="29">
        <v>0.69652777777777775</v>
      </c>
    </row>
    <row r="4976" spans="1:1">
      <c r="A4976" s="27">
        <v>20.399999999999999</v>
      </c>
    </row>
    <row r="4977" spans="1:1">
      <c r="A4977" s="28">
        <v>38.200000000000003</v>
      </c>
    </row>
    <row r="4978" spans="1:1">
      <c r="A4978" s="25">
        <v>238</v>
      </c>
    </row>
    <row r="4979" spans="1:1" ht="45">
      <c r="A4979" s="26" t="s">
        <v>662</v>
      </c>
    </row>
    <row r="4980" spans="1:1">
      <c r="A4980" s="27" t="s">
        <v>42</v>
      </c>
    </row>
    <row r="4981" spans="1:1">
      <c r="A4981" s="27">
        <v>323</v>
      </c>
    </row>
    <row r="4982" spans="1:1">
      <c r="A4982" s="27">
        <v>49</v>
      </c>
    </row>
    <row r="4983" spans="1:1">
      <c r="A4983" s="27">
        <v>147</v>
      </c>
    </row>
    <row r="4984" spans="1:1">
      <c r="A4984" s="27">
        <v>196</v>
      </c>
    </row>
    <row r="4985" spans="1:1">
      <c r="A4985" s="27">
        <v>-27</v>
      </c>
    </row>
    <row r="4986" spans="1:1">
      <c r="A4986" s="27">
        <v>115</v>
      </c>
    </row>
    <row r="4987" spans="1:1">
      <c r="A4987" s="27">
        <v>0.61</v>
      </c>
    </row>
    <row r="4988" spans="1:1">
      <c r="A4988" s="27">
        <v>22</v>
      </c>
    </row>
    <row r="4989" spans="1:1">
      <c r="A4989" s="27">
        <v>97</v>
      </c>
    </row>
    <row r="4990" spans="1:1">
      <c r="A4990" s="27">
        <v>0</v>
      </c>
    </row>
    <row r="4991" spans="1:1">
      <c r="A4991" s="27">
        <v>0</v>
      </c>
    </row>
    <row r="4992" spans="1:1">
      <c r="A4992" s="27">
        <v>11</v>
      </c>
    </row>
    <row r="4993" spans="1:1">
      <c r="A4993" s="27">
        <v>6</v>
      </c>
    </row>
    <row r="4994" spans="1:1">
      <c r="A4994" s="27">
        <v>795</v>
      </c>
    </row>
    <row r="4995" spans="1:1">
      <c r="A4995" s="27">
        <v>6.2</v>
      </c>
    </row>
    <row r="4996" spans="1:1">
      <c r="A4996" s="29">
        <v>0.83472222222222225</v>
      </c>
    </row>
    <row r="4997" spans="1:1">
      <c r="A4997" s="27">
        <v>24.1</v>
      </c>
    </row>
    <row r="4998" spans="1:1">
      <c r="A4998" s="28">
        <v>100</v>
      </c>
    </row>
    <row r="4999" spans="1:1">
      <c r="A4999" s="25">
        <v>239</v>
      </c>
    </row>
    <row r="5000" spans="1:1" ht="30">
      <c r="A5000" s="26" t="s">
        <v>586</v>
      </c>
    </row>
    <row r="5001" spans="1:1">
      <c r="A5001" s="27" t="s">
        <v>42</v>
      </c>
    </row>
    <row r="5002" spans="1:1">
      <c r="A5002" s="27">
        <v>580</v>
      </c>
    </row>
    <row r="5003" spans="1:1">
      <c r="A5003" s="27">
        <v>61</v>
      </c>
    </row>
    <row r="5004" spans="1:1">
      <c r="A5004" s="27">
        <v>134</v>
      </c>
    </row>
    <row r="5005" spans="1:1">
      <c r="A5005" s="27">
        <v>195</v>
      </c>
    </row>
    <row r="5006" spans="1:1">
      <c r="A5006" s="27">
        <v>31</v>
      </c>
    </row>
    <row r="5007" spans="1:1">
      <c r="A5007" s="27">
        <v>178</v>
      </c>
    </row>
    <row r="5008" spans="1:1">
      <c r="A5008" s="27">
        <v>0.34</v>
      </c>
    </row>
    <row r="5009" spans="1:1">
      <c r="A5009" s="27">
        <v>16</v>
      </c>
    </row>
    <row r="5010" spans="1:1">
      <c r="A5010" s="27">
        <v>67</v>
      </c>
    </row>
    <row r="5011" spans="1:1">
      <c r="A5011" s="27">
        <v>1</v>
      </c>
    </row>
    <row r="5012" spans="1:1">
      <c r="A5012" s="27">
        <v>3</v>
      </c>
    </row>
    <row r="5013" spans="1:1">
      <c r="A5013" s="27">
        <v>12</v>
      </c>
    </row>
    <row r="5014" spans="1:1">
      <c r="A5014" s="27">
        <v>3</v>
      </c>
    </row>
    <row r="5015" spans="1:1">
      <c r="A5015" s="27">
        <v>863</v>
      </c>
    </row>
    <row r="5016" spans="1:1">
      <c r="A5016" s="27">
        <v>7.1</v>
      </c>
    </row>
    <row r="5017" spans="1:1">
      <c r="A5017" s="29">
        <v>0.80486111111111114</v>
      </c>
    </row>
    <row r="5018" spans="1:1">
      <c r="A5018" s="27">
        <v>25.6</v>
      </c>
    </row>
    <row r="5019" spans="1:1">
      <c r="A5019" s="28">
        <v>0</v>
      </c>
    </row>
    <row r="5020" spans="1:1">
      <c r="A5020" s="25">
        <v>240</v>
      </c>
    </row>
    <row r="5021" spans="1:1" ht="30">
      <c r="A5021" s="26" t="s">
        <v>1165</v>
      </c>
    </row>
    <row r="5022" spans="1:1">
      <c r="A5022" s="27" t="s">
        <v>42</v>
      </c>
    </row>
    <row r="5023" spans="1:1">
      <c r="A5023" s="27">
        <v>434</v>
      </c>
    </row>
    <row r="5024" spans="1:1">
      <c r="A5024" s="27">
        <v>45</v>
      </c>
    </row>
    <row r="5025" spans="1:1">
      <c r="A5025" s="27">
        <v>148</v>
      </c>
    </row>
    <row r="5026" spans="1:1">
      <c r="A5026" s="27">
        <v>193</v>
      </c>
    </row>
    <row r="5027" spans="1:1">
      <c r="A5027" s="27">
        <v>38</v>
      </c>
    </row>
    <row r="5028" spans="1:1">
      <c r="A5028" s="27">
        <v>311</v>
      </c>
    </row>
    <row r="5029" spans="1:1">
      <c r="A5029" s="27">
        <v>0.44</v>
      </c>
    </row>
    <row r="5030" spans="1:1">
      <c r="A5030" s="27">
        <v>6</v>
      </c>
    </row>
    <row r="5031" spans="1:1">
      <c r="A5031" s="27">
        <v>42</v>
      </c>
    </row>
    <row r="5032" spans="1:1">
      <c r="A5032" s="27">
        <v>3</v>
      </c>
    </row>
    <row r="5033" spans="1:1">
      <c r="A5033" s="27">
        <v>10</v>
      </c>
    </row>
    <row r="5034" spans="1:1">
      <c r="A5034" s="27">
        <v>6</v>
      </c>
    </row>
    <row r="5035" spans="1:1">
      <c r="A5035" s="27">
        <v>2</v>
      </c>
    </row>
    <row r="5036" spans="1:1">
      <c r="A5036" s="27">
        <v>922</v>
      </c>
    </row>
    <row r="5037" spans="1:1">
      <c r="A5037" s="27">
        <v>4.9000000000000004</v>
      </c>
    </row>
    <row r="5038" spans="1:1">
      <c r="A5038" s="29">
        <v>0.95347222222222217</v>
      </c>
    </row>
    <row r="5039" spans="1:1">
      <c r="A5039" s="27">
        <v>26.8</v>
      </c>
    </row>
    <row r="5040" spans="1:1">
      <c r="A5040" s="28">
        <v>0</v>
      </c>
    </row>
    <row r="5041" spans="1:1">
      <c r="A5041" s="25">
        <v>241</v>
      </c>
    </row>
    <row r="5042" spans="1:1" ht="30">
      <c r="A5042" s="26" t="s">
        <v>1173</v>
      </c>
    </row>
    <row r="5043" spans="1:1">
      <c r="A5043" s="27" t="s">
        <v>42</v>
      </c>
    </row>
    <row r="5044" spans="1:1">
      <c r="A5044" s="27">
        <v>623</v>
      </c>
    </row>
    <row r="5045" spans="1:1">
      <c r="A5045" s="27">
        <v>52</v>
      </c>
    </row>
    <row r="5046" spans="1:1">
      <c r="A5046" s="27">
        <v>139</v>
      </c>
    </row>
    <row r="5047" spans="1:1">
      <c r="A5047" s="27">
        <v>191</v>
      </c>
    </row>
    <row r="5048" spans="1:1">
      <c r="A5048" s="27">
        <v>-82</v>
      </c>
    </row>
    <row r="5049" spans="1:1">
      <c r="A5049" s="27">
        <v>549</v>
      </c>
    </row>
    <row r="5050" spans="1:1">
      <c r="A5050" s="27">
        <v>0.31</v>
      </c>
    </row>
    <row r="5051" spans="1:1">
      <c r="A5051" s="27">
        <v>9</v>
      </c>
    </row>
    <row r="5052" spans="1:1">
      <c r="A5052" s="27">
        <v>36</v>
      </c>
    </row>
    <row r="5053" spans="1:1">
      <c r="A5053" s="27">
        <v>3</v>
      </c>
    </row>
    <row r="5054" spans="1:1">
      <c r="A5054" s="27">
        <v>5</v>
      </c>
    </row>
    <row r="5055" spans="1:1">
      <c r="A5055" s="27">
        <v>4</v>
      </c>
    </row>
    <row r="5056" spans="1:1">
      <c r="A5056" s="27">
        <v>2</v>
      </c>
    </row>
    <row r="5057" spans="1:1">
      <c r="A5057" s="27">
        <v>1217</v>
      </c>
    </row>
    <row r="5058" spans="1:1">
      <c r="A5058" s="27">
        <v>4.3</v>
      </c>
    </row>
    <row r="5059" spans="1:1">
      <c r="A5059" s="29">
        <v>0.90972222222222221</v>
      </c>
    </row>
    <row r="5060" spans="1:1">
      <c r="A5060" s="27">
        <v>26</v>
      </c>
    </row>
    <row r="5061" spans="1:1">
      <c r="A5061" s="28">
        <v>0</v>
      </c>
    </row>
    <row r="5062" spans="1:1">
      <c r="A5062" s="25">
        <v>242</v>
      </c>
    </row>
    <row r="5063" spans="1:1" ht="30">
      <c r="A5063" s="26" t="s">
        <v>506</v>
      </c>
    </row>
    <row r="5064" spans="1:1">
      <c r="A5064" s="27" t="s">
        <v>44</v>
      </c>
    </row>
    <row r="5065" spans="1:1">
      <c r="A5065" s="27">
        <v>417</v>
      </c>
    </row>
    <row r="5066" spans="1:1">
      <c r="A5066" s="27">
        <v>95</v>
      </c>
    </row>
    <row r="5067" spans="1:1">
      <c r="A5067" s="27">
        <v>93</v>
      </c>
    </row>
    <row r="5068" spans="1:1">
      <c r="A5068" s="27">
        <v>188</v>
      </c>
    </row>
    <row r="5069" spans="1:1">
      <c r="A5069" s="27">
        <v>29</v>
      </c>
    </row>
    <row r="5070" spans="1:1">
      <c r="A5070" s="27">
        <v>113</v>
      </c>
    </row>
    <row r="5071" spans="1:1">
      <c r="A5071" s="27">
        <v>0.45</v>
      </c>
    </row>
    <row r="5072" spans="1:1">
      <c r="A5072" s="27">
        <v>13</v>
      </c>
    </row>
    <row r="5073" spans="1:1">
      <c r="A5073" s="27">
        <v>29</v>
      </c>
    </row>
    <row r="5074" spans="1:1">
      <c r="A5074" s="27">
        <v>3</v>
      </c>
    </row>
    <row r="5075" spans="1:1">
      <c r="A5075" s="27">
        <v>4</v>
      </c>
    </row>
    <row r="5076" spans="1:1">
      <c r="A5076" s="27">
        <v>19</v>
      </c>
    </row>
    <row r="5077" spans="1:1">
      <c r="A5077" s="27">
        <v>6</v>
      </c>
    </row>
    <row r="5078" spans="1:1">
      <c r="A5078" s="27">
        <v>828</v>
      </c>
    </row>
    <row r="5079" spans="1:1">
      <c r="A5079" s="27">
        <v>11.5</v>
      </c>
    </row>
    <row r="5080" spans="1:1">
      <c r="A5080" s="29">
        <v>0.61805555555555558</v>
      </c>
    </row>
    <row r="5081" spans="1:1">
      <c r="A5081" s="27">
        <v>20.9</v>
      </c>
    </row>
    <row r="5082" spans="1:1">
      <c r="A5082" s="28">
        <v>41.1</v>
      </c>
    </row>
    <row r="5083" spans="1:1">
      <c r="A5083" s="25">
        <v>243</v>
      </c>
    </row>
    <row r="5084" spans="1:1" ht="30">
      <c r="A5084" s="26" t="s">
        <v>324</v>
      </c>
    </row>
    <row r="5085" spans="1:1">
      <c r="A5085" s="27" t="s">
        <v>44</v>
      </c>
    </row>
    <row r="5086" spans="1:1">
      <c r="A5086" s="27">
        <v>519</v>
      </c>
    </row>
    <row r="5087" spans="1:1">
      <c r="A5087" s="27">
        <v>87</v>
      </c>
    </row>
    <row r="5088" spans="1:1">
      <c r="A5088" s="27">
        <v>101</v>
      </c>
    </row>
    <row r="5089" spans="1:1">
      <c r="A5089" s="27">
        <v>188</v>
      </c>
    </row>
    <row r="5090" spans="1:1">
      <c r="A5090" s="27">
        <v>-28</v>
      </c>
    </row>
    <row r="5091" spans="1:1">
      <c r="A5091" s="27">
        <v>352</v>
      </c>
    </row>
    <row r="5092" spans="1:1">
      <c r="A5092" s="27">
        <v>0.36</v>
      </c>
    </row>
    <row r="5093" spans="1:1">
      <c r="A5093" s="27">
        <v>8</v>
      </c>
    </row>
    <row r="5094" spans="1:1">
      <c r="A5094" s="27">
        <v>12</v>
      </c>
    </row>
    <row r="5095" spans="1:1">
      <c r="A5095" s="27">
        <v>7</v>
      </c>
    </row>
    <row r="5096" spans="1:1">
      <c r="A5096" s="27">
        <v>11</v>
      </c>
    </row>
    <row r="5097" spans="1:1">
      <c r="A5097" s="27">
        <v>9</v>
      </c>
    </row>
    <row r="5098" spans="1:1">
      <c r="A5098" s="27">
        <v>1</v>
      </c>
    </row>
    <row r="5099" spans="1:1">
      <c r="A5099" s="27">
        <v>791</v>
      </c>
    </row>
    <row r="5100" spans="1:1">
      <c r="A5100" s="27">
        <v>11</v>
      </c>
    </row>
    <row r="5101" spans="1:1">
      <c r="A5101" s="29">
        <v>0.58888888888888891</v>
      </c>
    </row>
    <row r="5102" spans="1:1">
      <c r="A5102" s="27">
        <v>19.600000000000001</v>
      </c>
    </row>
    <row r="5103" spans="1:1">
      <c r="A5103" s="28">
        <v>39.9</v>
      </c>
    </row>
    <row r="5104" spans="1:1">
      <c r="A5104" s="25">
        <v>244</v>
      </c>
    </row>
    <row r="5105" spans="1:1" ht="60">
      <c r="A5105" s="26" t="s">
        <v>264</v>
      </c>
    </row>
    <row r="5106" spans="1:1">
      <c r="A5106" s="27" t="s">
        <v>653</v>
      </c>
    </row>
    <row r="5107" spans="1:1">
      <c r="A5107" s="27">
        <v>385</v>
      </c>
    </row>
    <row r="5108" spans="1:1">
      <c r="A5108" s="27">
        <v>37</v>
      </c>
    </row>
    <row r="5109" spans="1:1">
      <c r="A5109" s="27">
        <v>151</v>
      </c>
    </row>
    <row r="5110" spans="1:1">
      <c r="A5110" s="27">
        <v>188</v>
      </c>
    </row>
    <row r="5111" spans="1:1">
      <c r="A5111" s="27">
        <v>7</v>
      </c>
    </row>
    <row r="5112" spans="1:1">
      <c r="A5112" s="27">
        <v>75</v>
      </c>
    </row>
    <row r="5113" spans="1:1">
      <c r="A5113" s="27">
        <v>0.49</v>
      </c>
    </row>
    <row r="5114" spans="1:1">
      <c r="A5114" s="27">
        <v>9</v>
      </c>
    </row>
    <row r="5115" spans="1:1">
      <c r="A5115" s="27">
        <v>54</v>
      </c>
    </row>
    <row r="5116" spans="1:1">
      <c r="A5116" s="27">
        <v>1</v>
      </c>
    </row>
    <row r="5117" spans="1:1">
      <c r="A5117" s="27">
        <v>4</v>
      </c>
    </row>
    <row r="5118" spans="1:1">
      <c r="A5118" s="27">
        <v>8</v>
      </c>
    </row>
    <row r="5119" spans="1:1">
      <c r="A5119" s="27">
        <v>1</v>
      </c>
    </row>
    <row r="5120" spans="1:1">
      <c r="A5120" s="27">
        <v>468</v>
      </c>
    </row>
    <row r="5121" spans="1:1">
      <c r="A5121" s="27">
        <v>7.9</v>
      </c>
    </row>
    <row r="5122" spans="1:1">
      <c r="A5122" s="29">
        <v>0.6958333333333333</v>
      </c>
    </row>
    <row r="5123" spans="1:1">
      <c r="A5123" s="27">
        <v>21.9</v>
      </c>
    </row>
    <row r="5124" spans="1:1">
      <c r="A5124" s="28">
        <v>46</v>
      </c>
    </row>
    <row r="5125" spans="1:1">
      <c r="A5125" s="25">
        <v>245</v>
      </c>
    </row>
    <row r="5126" spans="1:1" ht="30">
      <c r="A5126" s="26" t="s">
        <v>106</v>
      </c>
    </row>
    <row r="5127" spans="1:1">
      <c r="A5127" s="27" t="s">
        <v>42</v>
      </c>
    </row>
    <row r="5128" spans="1:1">
      <c r="A5128" s="27">
        <v>417</v>
      </c>
    </row>
    <row r="5129" spans="1:1">
      <c r="A5129" s="27">
        <v>71</v>
      </c>
    </row>
    <row r="5130" spans="1:1">
      <c r="A5130" s="27">
        <v>115</v>
      </c>
    </row>
    <row r="5131" spans="1:1">
      <c r="A5131" s="27">
        <v>186</v>
      </c>
    </row>
    <row r="5132" spans="1:1">
      <c r="A5132" s="27">
        <v>23</v>
      </c>
    </row>
    <row r="5133" spans="1:1">
      <c r="A5133" s="27">
        <v>257</v>
      </c>
    </row>
    <row r="5134" spans="1:1">
      <c r="A5134" s="27">
        <v>0.45</v>
      </c>
    </row>
    <row r="5135" spans="1:1">
      <c r="A5135" s="27">
        <v>23</v>
      </c>
    </row>
    <row r="5136" spans="1:1">
      <c r="A5136" s="27">
        <v>52</v>
      </c>
    </row>
    <row r="5137" spans="1:1">
      <c r="A5137" s="27">
        <v>1</v>
      </c>
    </row>
    <row r="5138" spans="1:1">
      <c r="A5138" s="27">
        <v>2</v>
      </c>
    </row>
    <row r="5139" spans="1:1">
      <c r="A5139" s="27">
        <v>16</v>
      </c>
    </row>
    <row r="5140" spans="1:1">
      <c r="A5140" s="27">
        <v>4</v>
      </c>
    </row>
    <row r="5141" spans="1:1">
      <c r="A5141" s="27">
        <v>1013</v>
      </c>
    </row>
    <row r="5142" spans="1:1">
      <c r="A5142" s="27">
        <v>7</v>
      </c>
    </row>
    <row r="5143" spans="1:1">
      <c r="A5143" s="29">
        <v>0.93958333333333333</v>
      </c>
    </row>
    <row r="5144" spans="1:1">
      <c r="A5144" s="27">
        <v>26.5</v>
      </c>
    </row>
    <row r="5145" spans="1:1">
      <c r="A5145" s="28">
        <v>0</v>
      </c>
    </row>
    <row r="5146" spans="1:1">
      <c r="A5146" s="25">
        <v>246</v>
      </c>
    </row>
    <row r="5147" spans="1:1" ht="30">
      <c r="A5147" s="26" t="s">
        <v>209</v>
      </c>
    </row>
    <row r="5148" spans="1:1">
      <c r="A5148" s="27" t="s">
        <v>44</v>
      </c>
    </row>
    <row r="5149" spans="1:1">
      <c r="A5149" s="27">
        <v>232</v>
      </c>
    </row>
    <row r="5150" spans="1:1">
      <c r="A5150" s="27">
        <v>93</v>
      </c>
    </row>
    <row r="5151" spans="1:1">
      <c r="A5151" s="27">
        <v>91</v>
      </c>
    </row>
    <row r="5152" spans="1:1">
      <c r="A5152" s="27">
        <v>184</v>
      </c>
    </row>
    <row r="5153" spans="1:1">
      <c r="A5153" s="27">
        <v>14</v>
      </c>
    </row>
    <row r="5154" spans="1:1">
      <c r="A5154" s="27">
        <v>88</v>
      </c>
    </row>
    <row r="5155" spans="1:1">
      <c r="A5155" s="27">
        <v>0.79</v>
      </c>
    </row>
    <row r="5156" spans="1:1">
      <c r="A5156" s="27">
        <v>18</v>
      </c>
    </row>
    <row r="5157" spans="1:1">
      <c r="A5157" s="27">
        <v>32</v>
      </c>
    </row>
    <row r="5158" spans="1:1">
      <c r="A5158" s="27">
        <v>1</v>
      </c>
    </row>
    <row r="5159" spans="1:1">
      <c r="A5159" s="27">
        <v>1</v>
      </c>
    </row>
    <row r="5160" spans="1:1">
      <c r="A5160" s="27">
        <v>8</v>
      </c>
    </row>
    <row r="5161" spans="1:1">
      <c r="A5161" s="27">
        <v>2</v>
      </c>
    </row>
    <row r="5162" spans="1:1">
      <c r="A5162" s="27">
        <v>576</v>
      </c>
    </row>
    <row r="5163" spans="1:1">
      <c r="A5163" s="27">
        <v>16.100000000000001</v>
      </c>
    </row>
    <row r="5164" spans="1:1">
      <c r="A5164" s="29">
        <v>0.74652777777777779</v>
      </c>
    </row>
    <row r="5165" spans="1:1">
      <c r="A5165" s="27">
        <v>22.9</v>
      </c>
    </row>
    <row r="5166" spans="1:1">
      <c r="A5166" s="28">
        <v>46</v>
      </c>
    </row>
    <row r="5167" spans="1:1">
      <c r="A5167" s="25">
        <v>247</v>
      </c>
    </row>
    <row r="5168" spans="1:1" ht="30">
      <c r="A5168" s="26" t="s">
        <v>60</v>
      </c>
    </row>
    <row r="5169" spans="1:1">
      <c r="A5169" s="27" t="s">
        <v>43</v>
      </c>
    </row>
    <row r="5170" spans="1:1">
      <c r="A5170" s="27">
        <v>269</v>
      </c>
    </row>
    <row r="5171" spans="1:1">
      <c r="A5171" s="27">
        <v>66</v>
      </c>
    </row>
    <row r="5172" spans="1:1">
      <c r="A5172" s="27">
        <v>118</v>
      </c>
    </row>
    <row r="5173" spans="1:1">
      <c r="A5173" s="27">
        <v>184</v>
      </c>
    </row>
    <row r="5174" spans="1:1">
      <c r="A5174" s="27">
        <v>12</v>
      </c>
    </row>
    <row r="5175" spans="1:1">
      <c r="A5175" s="27">
        <v>70</v>
      </c>
    </row>
    <row r="5176" spans="1:1">
      <c r="A5176" s="27">
        <v>0.68</v>
      </c>
    </row>
    <row r="5177" spans="1:1">
      <c r="A5177" s="27">
        <v>18</v>
      </c>
    </row>
    <row r="5178" spans="1:1">
      <c r="A5178" s="27">
        <v>52</v>
      </c>
    </row>
    <row r="5179" spans="1:1">
      <c r="A5179" s="27">
        <v>0</v>
      </c>
    </row>
    <row r="5180" spans="1:1">
      <c r="A5180" s="27">
        <v>0</v>
      </c>
    </row>
    <row r="5181" spans="1:1">
      <c r="A5181" s="27">
        <v>11</v>
      </c>
    </row>
    <row r="5182" spans="1:1">
      <c r="A5182" s="27">
        <v>2</v>
      </c>
    </row>
    <row r="5183" spans="1:1">
      <c r="A5183" s="27">
        <v>648</v>
      </c>
    </row>
    <row r="5184" spans="1:1">
      <c r="A5184" s="27">
        <v>10.199999999999999</v>
      </c>
    </row>
    <row r="5185" spans="1:1">
      <c r="A5185" s="29">
        <v>0.68194444444444446</v>
      </c>
    </row>
    <row r="5186" spans="1:1">
      <c r="A5186" s="27">
        <v>22.1</v>
      </c>
    </row>
    <row r="5187" spans="1:1">
      <c r="A5187" s="28">
        <v>51</v>
      </c>
    </row>
    <row r="5188" spans="1:1">
      <c r="A5188" s="25">
        <v>248</v>
      </c>
    </row>
    <row r="5189" spans="1:1" ht="45">
      <c r="A5189" s="26" t="s">
        <v>567</v>
      </c>
    </row>
    <row r="5190" spans="1:1">
      <c r="A5190" s="27" t="s">
        <v>42</v>
      </c>
    </row>
    <row r="5191" spans="1:1">
      <c r="A5191" s="27">
        <v>467</v>
      </c>
    </row>
    <row r="5192" spans="1:1">
      <c r="A5192" s="27">
        <v>48</v>
      </c>
    </row>
    <row r="5193" spans="1:1">
      <c r="A5193" s="27">
        <v>135</v>
      </c>
    </row>
    <row r="5194" spans="1:1">
      <c r="A5194" s="27">
        <v>183</v>
      </c>
    </row>
    <row r="5195" spans="1:1">
      <c r="A5195" s="27">
        <v>88</v>
      </c>
    </row>
    <row r="5196" spans="1:1">
      <c r="A5196" s="27">
        <v>238</v>
      </c>
    </row>
    <row r="5197" spans="1:1">
      <c r="A5197" s="27">
        <v>0.39</v>
      </c>
    </row>
    <row r="5198" spans="1:1">
      <c r="A5198" s="27">
        <v>10</v>
      </c>
    </row>
    <row r="5199" spans="1:1">
      <c r="A5199" s="27">
        <v>46</v>
      </c>
    </row>
    <row r="5200" spans="1:1">
      <c r="A5200" s="27">
        <v>1</v>
      </c>
    </row>
    <row r="5201" spans="1:1">
      <c r="A5201" s="27">
        <v>4</v>
      </c>
    </row>
    <row r="5202" spans="1:1">
      <c r="A5202" s="27">
        <v>8</v>
      </c>
    </row>
    <row r="5203" spans="1:1">
      <c r="A5203" s="27">
        <v>2</v>
      </c>
    </row>
    <row r="5204" spans="1:1">
      <c r="A5204" s="27">
        <v>751</v>
      </c>
    </row>
    <row r="5205" spans="1:1">
      <c r="A5205" s="27">
        <v>6.4</v>
      </c>
    </row>
    <row r="5206" spans="1:1">
      <c r="A5206" s="29">
        <v>0.91736111111111107</v>
      </c>
    </row>
    <row r="5207" spans="1:1">
      <c r="A5207" s="27">
        <v>26.8</v>
      </c>
    </row>
    <row r="5208" spans="1:1">
      <c r="A5208" s="28">
        <v>25</v>
      </c>
    </row>
    <row r="5209" spans="1:1">
      <c r="A5209" s="25">
        <v>249</v>
      </c>
    </row>
    <row r="5210" spans="1:1" ht="30">
      <c r="A5210" s="26" t="s">
        <v>295</v>
      </c>
    </row>
    <row r="5211" spans="1:1">
      <c r="A5211" s="27" t="s">
        <v>42</v>
      </c>
    </row>
    <row r="5212" spans="1:1">
      <c r="A5212" s="27">
        <v>410</v>
      </c>
    </row>
    <row r="5213" spans="1:1">
      <c r="A5213" s="27">
        <v>44</v>
      </c>
    </row>
    <row r="5214" spans="1:1">
      <c r="A5214" s="27">
        <v>137</v>
      </c>
    </row>
    <row r="5215" spans="1:1">
      <c r="A5215" s="27">
        <v>181</v>
      </c>
    </row>
    <row r="5216" spans="1:1">
      <c r="A5216" s="27">
        <v>4</v>
      </c>
    </row>
    <row r="5217" spans="1:1">
      <c r="A5217" s="27">
        <v>176</v>
      </c>
    </row>
    <row r="5218" spans="1:1">
      <c r="A5218" s="27">
        <v>0.44</v>
      </c>
    </row>
    <row r="5219" spans="1:1">
      <c r="A5219" s="27">
        <v>21</v>
      </c>
    </row>
    <row r="5220" spans="1:1">
      <c r="A5220" s="27">
        <v>80</v>
      </c>
    </row>
    <row r="5221" spans="1:1">
      <c r="A5221" s="27">
        <v>1</v>
      </c>
    </row>
    <row r="5222" spans="1:1">
      <c r="A5222" s="27">
        <v>2</v>
      </c>
    </row>
    <row r="5223" spans="1:1">
      <c r="A5223" s="27">
        <v>3</v>
      </c>
    </row>
    <row r="5224" spans="1:1">
      <c r="A5224" s="27">
        <v>0</v>
      </c>
    </row>
    <row r="5225" spans="1:1">
      <c r="A5225" s="27">
        <v>757</v>
      </c>
    </row>
    <row r="5226" spans="1:1">
      <c r="A5226" s="27">
        <v>5.8</v>
      </c>
    </row>
    <row r="5227" spans="1:1">
      <c r="A5227" s="29">
        <v>0.87986111111111109</v>
      </c>
    </row>
    <row r="5228" spans="1:1">
      <c r="A5228" s="27">
        <v>25.8</v>
      </c>
    </row>
    <row r="5229" spans="1:1">
      <c r="A5229" s="28">
        <v>50</v>
      </c>
    </row>
    <row r="5230" spans="1:1">
      <c r="A5230" s="25">
        <v>250</v>
      </c>
    </row>
    <row r="5231" spans="1:1" ht="30">
      <c r="A5231" s="26" t="s">
        <v>530</v>
      </c>
    </row>
    <row r="5232" spans="1:1">
      <c r="A5232" s="27" t="s">
        <v>42</v>
      </c>
    </row>
    <row r="5233" spans="1:1">
      <c r="A5233" s="27">
        <v>610</v>
      </c>
    </row>
    <row r="5234" spans="1:1">
      <c r="A5234" s="27">
        <v>35</v>
      </c>
    </row>
    <row r="5235" spans="1:1">
      <c r="A5235" s="27">
        <v>145</v>
      </c>
    </row>
    <row r="5236" spans="1:1">
      <c r="A5236" s="27">
        <v>180</v>
      </c>
    </row>
    <row r="5237" spans="1:1">
      <c r="A5237" s="27">
        <v>-2</v>
      </c>
    </row>
    <row r="5238" spans="1:1">
      <c r="A5238" s="27">
        <v>581</v>
      </c>
    </row>
    <row r="5239" spans="1:1">
      <c r="A5239" s="27">
        <v>0.28999999999999998</v>
      </c>
    </row>
    <row r="5240" spans="1:1">
      <c r="A5240" s="27">
        <v>6</v>
      </c>
    </row>
    <row r="5241" spans="1:1">
      <c r="A5241" s="27">
        <v>25</v>
      </c>
    </row>
    <row r="5242" spans="1:1">
      <c r="A5242" s="27">
        <v>2</v>
      </c>
    </row>
    <row r="5243" spans="1:1">
      <c r="A5243" s="27">
        <v>6</v>
      </c>
    </row>
    <row r="5244" spans="1:1">
      <c r="A5244" s="27">
        <v>3</v>
      </c>
    </row>
    <row r="5245" spans="1:1">
      <c r="A5245" s="27">
        <v>0</v>
      </c>
    </row>
    <row r="5246" spans="1:1">
      <c r="A5246" s="27">
        <v>1080</v>
      </c>
    </row>
    <row r="5247" spans="1:1">
      <c r="A5247" s="27">
        <v>3.2</v>
      </c>
    </row>
    <row r="5248" spans="1:1">
      <c r="A5248" s="29">
        <v>0.92291666666666661</v>
      </c>
    </row>
    <row r="5249" spans="1:1">
      <c r="A5249" s="27">
        <v>25.7</v>
      </c>
    </row>
    <row r="5250" spans="1:1">
      <c r="A5250" s="28">
        <v>0</v>
      </c>
    </row>
    <row r="5251" spans="1:1">
      <c r="A5251" s="25">
        <v>251</v>
      </c>
    </row>
    <row r="5252" spans="1:1" ht="30">
      <c r="A5252" s="26" t="s">
        <v>101</v>
      </c>
    </row>
    <row r="5253" spans="1:1">
      <c r="A5253" s="27" t="s">
        <v>44</v>
      </c>
    </row>
    <row r="5254" spans="1:1">
      <c r="A5254" s="27">
        <v>438</v>
      </c>
    </row>
    <row r="5255" spans="1:1">
      <c r="A5255" s="27">
        <v>86</v>
      </c>
    </row>
    <row r="5256" spans="1:1">
      <c r="A5256" s="27">
        <v>93</v>
      </c>
    </row>
    <row r="5257" spans="1:1">
      <c r="A5257" s="27">
        <v>179</v>
      </c>
    </row>
    <row r="5258" spans="1:1">
      <c r="A5258" s="27">
        <v>32</v>
      </c>
    </row>
    <row r="5259" spans="1:1">
      <c r="A5259" s="27">
        <v>125</v>
      </c>
    </row>
    <row r="5260" spans="1:1">
      <c r="A5260" s="27">
        <v>0.41</v>
      </c>
    </row>
    <row r="5261" spans="1:1">
      <c r="A5261" s="27">
        <v>5</v>
      </c>
    </row>
    <row r="5262" spans="1:1">
      <c r="A5262" s="27">
        <v>13</v>
      </c>
    </row>
    <row r="5263" spans="1:1">
      <c r="A5263" s="27">
        <v>8</v>
      </c>
    </row>
    <row r="5264" spans="1:1">
      <c r="A5264" s="27">
        <v>17</v>
      </c>
    </row>
    <row r="5265" spans="1:1">
      <c r="A5265" s="27">
        <v>14</v>
      </c>
    </row>
    <row r="5266" spans="1:1">
      <c r="A5266" s="27">
        <v>3</v>
      </c>
    </row>
    <row r="5267" spans="1:1">
      <c r="A5267" s="27">
        <v>493</v>
      </c>
    </row>
    <row r="5268" spans="1:1">
      <c r="A5268" s="27">
        <v>17.399999999999999</v>
      </c>
    </row>
    <row r="5269" spans="1:1">
      <c r="A5269" s="29">
        <v>0.6020833333333333</v>
      </c>
    </row>
    <row r="5270" spans="1:1">
      <c r="A5270" s="27">
        <v>21.6</v>
      </c>
    </row>
    <row r="5271" spans="1:1">
      <c r="A5271" s="28">
        <v>37.1</v>
      </c>
    </row>
    <row r="5272" spans="1:1">
      <c r="A5272" s="25">
        <v>252</v>
      </c>
    </row>
    <row r="5273" spans="1:1" ht="30">
      <c r="A5273" s="26" t="s">
        <v>281</v>
      </c>
    </row>
    <row r="5274" spans="1:1">
      <c r="A5274" s="27" t="s">
        <v>42</v>
      </c>
    </row>
    <row r="5275" spans="1:1">
      <c r="A5275" s="27">
        <v>851</v>
      </c>
    </row>
    <row r="5276" spans="1:1">
      <c r="A5276" s="27">
        <v>42</v>
      </c>
    </row>
    <row r="5277" spans="1:1">
      <c r="A5277" s="27">
        <v>137</v>
      </c>
    </row>
    <row r="5278" spans="1:1">
      <c r="A5278" s="27">
        <v>179</v>
      </c>
    </row>
    <row r="5279" spans="1:1">
      <c r="A5279" s="27">
        <v>43</v>
      </c>
    </row>
    <row r="5280" spans="1:1">
      <c r="A5280" s="27">
        <v>424</v>
      </c>
    </row>
    <row r="5281" spans="1:1">
      <c r="A5281" s="27">
        <v>0.21</v>
      </c>
    </row>
    <row r="5282" spans="1:1">
      <c r="A5282" s="27">
        <v>7</v>
      </c>
    </row>
    <row r="5283" spans="1:1">
      <c r="A5283" s="27">
        <v>18</v>
      </c>
    </row>
    <row r="5284" spans="1:1">
      <c r="A5284" s="27">
        <v>2</v>
      </c>
    </row>
    <row r="5285" spans="1:1">
      <c r="A5285" s="27">
        <v>11</v>
      </c>
    </row>
    <row r="5286" spans="1:1">
      <c r="A5286" s="27">
        <v>6</v>
      </c>
    </row>
    <row r="5287" spans="1:1">
      <c r="A5287" s="27">
        <v>0</v>
      </c>
    </row>
    <row r="5288" spans="1:1">
      <c r="A5288" s="27">
        <v>936</v>
      </c>
    </row>
    <row r="5289" spans="1:1">
      <c r="A5289" s="27">
        <v>4.5</v>
      </c>
    </row>
    <row r="5290" spans="1:1">
      <c r="A5290" s="29">
        <v>0.86597222222222225</v>
      </c>
    </row>
    <row r="5291" spans="1:1">
      <c r="A5291" s="27">
        <v>27</v>
      </c>
    </row>
    <row r="5292" spans="1:1">
      <c r="A5292" s="28">
        <v>37.5</v>
      </c>
    </row>
    <row r="5293" spans="1:1">
      <c r="A5293" s="25">
        <v>253</v>
      </c>
    </row>
    <row r="5294" spans="1:1" ht="30">
      <c r="A5294" s="26" t="s">
        <v>105</v>
      </c>
    </row>
    <row r="5295" spans="1:1">
      <c r="A5295" s="27" t="s">
        <v>43</v>
      </c>
    </row>
    <row r="5296" spans="1:1">
      <c r="A5296" s="27">
        <v>238</v>
      </c>
    </row>
    <row r="5297" spans="1:1">
      <c r="A5297" s="27">
        <v>76</v>
      </c>
    </row>
    <row r="5298" spans="1:1">
      <c r="A5298" s="27">
        <v>100</v>
      </c>
    </row>
    <row r="5299" spans="1:1">
      <c r="A5299" s="27">
        <v>176</v>
      </c>
    </row>
    <row r="5300" spans="1:1">
      <c r="A5300" s="27">
        <v>-2</v>
      </c>
    </row>
    <row r="5301" spans="1:1">
      <c r="A5301" s="27">
        <v>34</v>
      </c>
    </row>
    <row r="5302" spans="1:1">
      <c r="A5302" s="27">
        <v>0.74</v>
      </c>
    </row>
    <row r="5303" spans="1:1">
      <c r="A5303" s="27">
        <v>20</v>
      </c>
    </row>
    <row r="5304" spans="1:1">
      <c r="A5304" s="27">
        <v>37</v>
      </c>
    </row>
    <row r="5305" spans="1:1">
      <c r="A5305" s="27">
        <v>0</v>
      </c>
    </row>
    <row r="5306" spans="1:1">
      <c r="A5306" s="27">
        <v>0</v>
      </c>
    </row>
    <row r="5307" spans="1:1">
      <c r="A5307" s="27">
        <v>11</v>
      </c>
    </row>
    <row r="5308" spans="1:1">
      <c r="A5308" s="27">
        <v>0</v>
      </c>
    </row>
    <row r="5309" spans="1:1">
      <c r="A5309" s="27">
        <v>536</v>
      </c>
    </row>
    <row r="5310" spans="1:1">
      <c r="A5310" s="27">
        <v>14.2</v>
      </c>
    </row>
    <row r="5311" spans="1:1">
      <c r="A5311" s="29">
        <v>0.71527777777777779</v>
      </c>
    </row>
    <row r="5312" spans="1:1">
      <c r="A5312" s="27">
        <v>21.2</v>
      </c>
    </row>
    <row r="5313" spans="1:1">
      <c r="A5313" s="28">
        <v>18.8</v>
      </c>
    </row>
    <row r="5314" spans="1:1">
      <c r="A5314" s="25">
        <v>254</v>
      </c>
    </row>
    <row r="5315" spans="1:1" ht="30">
      <c r="A5315" s="26" t="s">
        <v>341</v>
      </c>
    </row>
    <row r="5316" spans="1:1">
      <c r="A5316" s="27" t="s">
        <v>42</v>
      </c>
    </row>
    <row r="5317" spans="1:1">
      <c r="A5317" s="27">
        <v>497</v>
      </c>
    </row>
    <row r="5318" spans="1:1">
      <c r="A5318" s="27">
        <v>41</v>
      </c>
    </row>
    <row r="5319" spans="1:1">
      <c r="A5319" s="27">
        <v>135</v>
      </c>
    </row>
    <row r="5320" spans="1:1">
      <c r="A5320" s="27">
        <v>176</v>
      </c>
    </row>
    <row r="5321" spans="1:1">
      <c r="A5321" s="27">
        <v>75</v>
      </c>
    </row>
    <row r="5322" spans="1:1">
      <c r="A5322" s="27">
        <v>243</v>
      </c>
    </row>
    <row r="5323" spans="1:1">
      <c r="A5323" s="27">
        <v>0.35</v>
      </c>
    </row>
    <row r="5324" spans="1:1">
      <c r="A5324" s="27">
        <v>9</v>
      </c>
    </row>
    <row r="5325" spans="1:1">
      <c r="A5325" s="27">
        <v>31</v>
      </c>
    </row>
    <row r="5326" spans="1:1">
      <c r="A5326" s="27">
        <v>3</v>
      </c>
    </row>
    <row r="5327" spans="1:1">
      <c r="A5327" s="27">
        <v>9</v>
      </c>
    </row>
    <row r="5328" spans="1:1">
      <c r="A5328" s="27">
        <v>10</v>
      </c>
    </row>
    <row r="5329" spans="1:1">
      <c r="A5329" s="27">
        <v>3</v>
      </c>
    </row>
    <row r="5330" spans="1:1">
      <c r="A5330" s="27">
        <v>730</v>
      </c>
    </row>
    <row r="5331" spans="1:1">
      <c r="A5331" s="27">
        <v>5.6</v>
      </c>
    </row>
    <row r="5332" spans="1:1">
      <c r="A5332" s="29">
        <v>0.88750000000000007</v>
      </c>
    </row>
    <row r="5333" spans="1:1">
      <c r="A5333" s="27">
        <v>26.6</v>
      </c>
    </row>
    <row r="5334" spans="1:1">
      <c r="A5334" s="28">
        <v>0</v>
      </c>
    </row>
    <row r="5335" spans="1:1">
      <c r="A5335" s="25">
        <v>255</v>
      </c>
    </row>
    <row r="5336" spans="1:1" ht="30">
      <c r="A5336" s="26" t="s">
        <v>118</v>
      </c>
    </row>
    <row r="5337" spans="1:1">
      <c r="A5337" s="27" t="s">
        <v>43</v>
      </c>
    </row>
    <row r="5338" spans="1:1">
      <c r="A5338" s="27">
        <v>454</v>
      </c>
    </row>
    <row r="5339" spans="1:1">
      <c r="A5339" s="27">
        <v>91</v>
      </c>
    </row>
    <row r="5340" spans="1:1">
      <c r="A5340" s="27">
        <v>83</v>
      </c>
    </row>
    <row r="5341" spans="1:1">
      <c r="A5341" s="27">
        <v>174</v>
      </c>
    </row>
    <row r="5342" spans="1:1">
      <c r="A5342" s="27">
        <v>16</v>
      </c>
    </row>
    <row r="5343" spans="1:1">
      <c r="A5343" s="27">
        <v>204</v>
      </c>
    </row>
    <row r="5344" spans="1:1">
      <c r="A5344" s="27">
        <v>0.38</v>
      </c>
    </row>
    <row r="5345" spans="1:1">
      <c r="A5345" s="27">
        <v>13</v>
      </c>
    </row>
    <row r="5346" spans="1:1">
      <c r="A5346" s="27">
        <v>22</v>
      </c>
    </row>
    <row r="5347" spans="1:1">
      <c r="A5347" s="27">
        <v>0</v>
      </c>
    </row>
    <row r="5348" spans="1:1">
      <c r="A5348" s="27">
        <v>0</v>
      </c>
    </row>
    <row r="5349" spans="1:1">
      <c r="A5349" s="27">
        <v>18</v>
      </c>
    </row>
    <row r="5350" spans="1:1">
      <c r="A5350" s="27">
        <v>1</v>
      </c>
    </row>
    <row r="5351" spans="1:1">
      <c r="A5351" s="27">
        <v>631</v>
      </c>
    </row>
    <row r="5352" spans="1:1">
      <c r="A5352" s="27">
        <v>14.4</v>
      </c>
    </row>
    <row r="5353" spans="1:1">
      <c r="A5353" s="29">
        <v>0.51180555555555551</v>
      </c>
    </row>
    <row r="5354" spans="1:1">
      <c r="A5354" s="27">
        <v>16</v>
      </c>
    </row>
    <row r="5355" spans="1:1">
      <c r="A5355" s="28">
        <v>41.3</v>
      </c>
    </row>
    <row r="5356" spans="1:1">
      <c r="A5356" s="25">
        <v>256</v>
      </c>
    </row>
    <row r="5357" spans="1:1" ht="30">
      <c r="A5357" s="26" t="s">
        <v>780</v>
      </c>
    </row>
    <row r="5358" spans="1:1">
      <c r="A5358" s="27" t="s">
        <v>44</v>
      </c>
    </row>
    <row r="5359" spans="1:1">
      <c r="A5359" s="27">
        <v>479</v>
      </c>
    </row>
    <row r="5360" spans="1:1">
      <c r="A5360" s="27">
        <v>74</v>
      </c>
    </row>
    <row r="5361" spans="1:1">
      <c r="A5361" s="27">
        <v>99</v>
      </c>
    </row>
    <row r="5362" spans="1:1">
      <c r="A5362" s="27">
        <v>173</v>
      </c>
    </row>
    <row r="5363" spans="1:1">
      <c r="A5363" s="27">
        <v>2</v>
      </c>
    </row>
    <row r="5364" spans="1:1">
      <c r="A5364" s="27">
        <v>924</v>
      </c>
    </row>
    <row r="5365" spans="1:1">
      <c r="A5365" s="27">
        <v>0.36</v>
      </c>
    </row>
    <row r="5366" spans="1:1">
      <c r="A5366" s="27">
        <v>0</v>
      </c>
    </row>
    <row r="5367" spans="1:1">
      <c r="A5367" s="27">
        <v>7</v>
      </c>
    </row>
    <row r="5368" spans="1:1">
      <c r="A5368" s="27">
        <v>0</v>
      </c>
    </row>
    <row r="5369" spans="1:1">
      <c r="A5369" s="27">
        <v>3</v>
      </c>
    </row>
    <row r="5370" spans="1:1">
      <c r="A5370" s="27">
        <v>13</v>
      </c>
    </row>
    <row r="5371" spans="1:1">
      <c r="A5371" s="27">
        <v>0</v>
      </c>
    </row>
    <row r="5372" spans="1:1">
      <c r="A5372" s="27">
        <v>638</v>
      </c>
    </row>
    <row r="5373" spans="1:1">
      <c r="A5373" s="27">
        <v>11.6</v>
      </c>
    </row>
    <row r="5374" spans="1:1">
      <c r="A5374" s="29">
        <v>0.5625</v>
      </c>
    </row>
    <row r="5375" spans="1:1">
      <c r="A5375" s="27">
        <v>20.7</v>
      </c>
    </row>
    <row r="5376" spans="1:1">
      <c r="A5376" s="28">
        <v>47.5</v>
      </c>
    </row>
    <row r="5377" spans="1:1">
      <c r="A5377" s="25">
        <v>257</v>
      </c>
    </row>
    <row r="5378" spans="1:1" ht="45">
      <c r="A5378" s="26" t="s">
        <v>816</v>
      </c>
    </row>
    <row r="5379" spans="1:1">
      <c r="A5379" s="27" t="s">
        <v>44</v>
      </c>
    </row>
    <row r="5380" spans="1:1">
      <c r="A5380" s="27">
        <v>386</v>
      </c>
    </row>
    <row r="5381" spans="1:1">
      <c r="A5381" s="27">
        <v>73</v>
      </c>
    </row>
    <row r="5382" spans="1:1">
      <c r="A5382" s="27">
        <v>99</v>
      </c>
    </row>
    <row r="5383" spans="1:1">
      <c r="A5383" s="27">
        <v>172</v>
      </c>
    </row>
    <row r="5384" spans="1:1">
      <c r="A5384" s="27">
        <v>8</v>
      </c>
    </row>
    <row r="5385" spans="1:1">
      <c r="A5385" s="27">
        <v>205</v>
      </c>
    </row>
    <row r="5386" spans="1:1">
      <c r="A5386" s="27">
        <v>0.45</v>
      </c>
    </row>
    <row r="5387" spans="1:1">
      <c r="A5387" s="27">
        <v>16</v>
      </c>
    </row>
    <row r="5388" spans="1:1">
      <c r="A5388" s="27">
        <v>34</v>
      </c>
    </row>
    <row r="5389" spans="1:1">
      <c r="A5389" s="27">
        <v>3</v>
      </c>
    </row>
    <row r="5390" spans="1:1">
      <c r="A5390" s="27">
        <v>8</v>
      </c>
    </row>
    <row r="5391" spans="1:1">
      <c r="A5391" s="27">
        <v>12</v>
      </c>
    </row>
    <row r="5392" spans="1:1">
      <c r="A5392" s="27">
        <v>2</v>
      </c>
    </row>
    <row r="5393" spans="1:1">
      <c r="A5393" s="27">
        <v>592</v>
      </c>
    </row>
    <row r="5394" spans="1:1">
      <c r="A5394" s="27">
        <v>12.3</v>
      </c>
    </row>
    <row r="5395" spans="1:1">
      <c r="A5395" s="29">
        <v>0.62708333333333333</v>
      </c>
    </row>
    <row r="5396" spans="1:1">
      <c r="A5396" s="27">
        <v>19.399999999999999</v>
      </c>
    </row>
    <row r="5397" spans="1:1">
      <c r="A5397" s="28">
        <v>44.6</v>
      </c>
    </row>
    <row r="5398" spans="1:1">
      <c r="A5398" s="25">
        <v>258</v>
      </c>
    </row>
    <row r="5399" spans="1:1" ht="30">
      <c r="A5399" s="26" t="s">
        <v>718</v>
      </c>
    </row>
    <row r="5400" spans="1:1">
      <c r="A5400" s="27" t="s">
        <v>653</v>
      </c>
    </row>
    <row r="5401" spans="1:1">
      <c r="A5401" s="27">
        <v>380</v>
      </c>
    </row>
    <row r="5402" spans="1:1">
      <c r="A5402" s="27">
        <v>67</v>
      </c>
    </row>
    <row r="5403" spans="1:1">
      <c r="A5403" s="27">
        <v>104</v>
      </c>
    </row>
    <row r="5404" spans="1:1">
      <c r="A5404" s="27">
        <v>171</v>
      </c>
    </row>
    <row r="5405" spans="1:1">
      <c r="A5405" s="27">
        <v>-28</v>
      </c>
    </row>
    <row r="5406" spans="1:1">
      <c r="A5406" s="27">
        <v>78</v>
      </c>
    </row>
    <row r="5407" spans="1:1">
      <c r="A5407" s="27">
        <v>0.45</v>
      </c>
    </row>
    <row r="5408" spans="1:1">
      <c r="A5408" s="27">
        <v>15</v>
      </c>
    </row>
    <row r="5409" spans="1:1">
      <c r="A5409" s="27">
        <v>52</v>
      </c>
    </row>
    <row r="5410" spans="1:1">
      <c r="A5410" s="27">
        <v>0</v>
      </c>
    </row>
    <row r="5411" spans="1:1">
      <c r="A5411" s="27">
        <v>1</v>
      </c>
    </row>
    <row r="5412" spans="1:1">
      <c r="A5412" s="27">
        <v>14</v>
      </c>
    </row>
    <row r="5413" spans="1:1">
      <c r="A5413" s="27">
        <v>2</v>
      </c>
    </row>
    <row r="5414" spans="1:1">
      <c r="A5414" s="27">
        <v>713</v>
      </c>
    </row>
    <row r="5415" spans="1:1">
      <c r="A5415" s="27">
        <v>9.4</v>
      </c>
    </row>
    <row r="5416" spans="1:1">
      <c r="A5416" s="29">
        <v>0.65208333333333335</v>
      </c>
    </row>
    <row r="5417" spans="1:1">
      <c r="A5417" s="27">
        <v>21.1</v>
      </c>
    </row>
    <row r="5418" spans="1:1">
      <c r="A5418" s="28">
        <v>50.7</v>
      </c>
    </row>
    <row r="5419" spans="1:1">
      <c r="A5419" s="25">
        <v>259</v>
      </c>
    </row>
    <row r="5420" spans="1:1" ht="30">
      <c r="A5420" s="26" t="s">
        <v>86</v>
      </c>
    </row>
    <row r="5421" spans="1:1">
      <c r="A5421" s="27" t="s">
        <v>653</v>
      </c>
    </row>
    <row r="5422" spans="1:1">
      <c r="A5422" s="27">
        <v>548</v>
      </c>
    </row>
    <row r="5423" spans="1:1">
      <c r="A5423" s="27">
        <v>53</v>
      </c>
    </row>
    <row r="5424" spans="1:1">
      <c r="A5424" s="27">
        <v>118</v>
      </c>
    </row>
    <row r="5425" spans="1:1">
      <c r="A5425" s="27">
        <v>171</v>
      </c>
    </row>
    <row r="5426" spans="1:1">
      <c r="A5426" s="27">
        <v>-22</v>
      </c>
    </row>
    <row r="5427" spans="1:1">
      <c r="A5427" s="27">
        <v>362</v>
      </c>
    </row>
    <row r="5428" spans="1:1">
      <c r="A5428" s="27">
        <v>0.31</v>
      </c>
    </row>
    <row r="5429" spans="1:1">
      <c r="A5429" s="27">
        <v>3</v>
      </c>
    </row>
    <row r="5430" spans="1:1">
      <c r="A5430" s="27">
        <v>20</v>
      </c>
    </row>
    <row r="5431" spans="1:1">
      <c r="A5431" s="27">
        <v>3</v>
      </c>
    </row>
    <row r="5432" spans="1:1">
      <c r="A5432" s="27">
        <v>5</v>
      </c>
    </row>
    <row r="5433" spans="1:1">
      <c r="A5433" s="27">
        <v>9</v>
      </c>
    </row>
    <row r="5434" spans="1:1">
      <c r="A5434" s="27">
        <v>1</v>
      </c>
    </row>
    <row r="5435" spans="1:1">
      <c r="A5435" s="27">
        <v>721</v>
      </c>
    </row>
    <row r="5436" spans="1:1">
      <c r="A5436" s="27">
        <v>7.3</v>
      </c>
    </row>
    <row r="5437" spans="1:1">
      <c r="A5437" s="29">
        <v>0.60416666666666663</v>
      </c>
    </row>
    <row r="5438" spans="1:1">
      <c r="A5438" s="27">
        <v>20.399999999999999</v>
      </c>
    </row>
    <row r="5439" spans="1:1">
      <c r="A5439" s="28">
        <v>55.4</v>
      </c>
    </row>
    <row r="5440" spans="1:1">
      <c r="A5440" s="25">
        <v>260</v>
      </c>
    </row>
    <row r="5441" spans="1:1" ht="30">
      <c r="A5441" s="26" t="s">
        <v>190</v>
      </c>
    </row>
    <row r="5442" spans="1:1">
      <c r="A5442" s="27" t="s">
        <v>653</v>
      </c>
    </row>
    <row r="5443" spans="1:1">
      <c r="A5443" s="27">
        <v>192</v>
      </c>
    </row>
    <row r="5444" spans="1:1">
      <c r="A5444" s="27">
        <v>51</v>
      </c>
    </row>
    <row r="5445" spans="1:1">
      <c r="A5445" s="27">
        <v>120</v>
      </c>
    </row>
    <row r="5446" spans="1:1">
      <c r="A5446" s="27">
        <v>171</v>
      </c>
    </row>
    <row r="5447" spans="1:1">
      <c r="A5447" s="27">
        <v>6</v>
      </c>
    </row>
    <row r="5448" spans="1:1">
      <c r="A5448" s="27">
        <v>90</v>
      </c>
    </row>
    <row r="5449" spans="1:1">
      <c r="A5449" s="27">
        <v>0.89</v>
      </c>
    </row>
    <row r="5450" spans="1:1">
      <c r="A5450" s="27">
        <v>10</v>
      </c>
    </row>
    <row r="5451" spans="1:1">
      <c r="A5451" s="27">
        <v>49</v>
      </c>
    </row>
    <row r="5452" spans="1:1">
      <c r="A5452" s="27">
        <v>0</v>
      </c>
    </row>
    <row r="5453" spans="1:1">
      <c r="A5453" s="27">
        <v>0</v>
      </c>
    </row>
    <row r="5454" spans="1:1">
      <c r="A5454" s="27">
        <v>8</v>
      </c>
    </row>
    <row r="5455" spans="1:1">
      <c r="A5455" s="27">
        <v>2</v>
      </c>
    </row>
    <row r="5456" spans="1:1">
      <c r="A5456" s="27">
        <v>402</v>
      </c>
    </row>
    <row r="5457" spans="1:1">
      <c r="A5457" s="27">
        <v>12.7</v>
      </c>
    </row>
    <row r="5458" spans="1:1">
      <c r="A5458" s="29">
        <v>0.74861111111111101</v>
      </c>
    </row>
    <row r="5459" spans="1:1">
      <c r="A5459" s="27">
        <v>19.7</v>
      </c>
    </row>
    <row r="5460" spans="1:1">
      <c r="A5460" s="28">
        <v>42.1</v>
      </c>
    </row>
    <row r="5461" spans="1:1">
      <c r="A5461" s="25">
        <v>261</v>
      </c>
    </row>
    <row r="5462" spans="1:1" ht="30">
      <c r="A5462" s="26" t="s">
        <v>464</v>
      </c>
    </row>
    <row r="5463" spans="1:1">
      <c r="A5463" s="27" t="s">
        <v>43</v>
      </c>
    </row>
    <row r="5464" spans="1:1">
      <c r="A5464" s="27">
        <v>480</v>
      </c>
    </row>
    <row r="5465" spans="1:1">
      <c r="A5465" s="27">
        <v>83</v>
      </c>
    </row>
    <row r="5466" spans="1:1">
      <c r="A5466" s="27">
        <v>87</v>
      </c>
    </row>
    <row r="5467" spans="1:1">
      <c r="A5467" s="27">
        <v>170</v>
      </c>
    </row>
    <row r="5468" spans="1:1">
      <c r="A5468" s="27">
        <v>-30</v>
      </c>
    </row>
    <row r="5469" spans="1:1">
      <c r="A5469" s="27">
        <v>272</v>
      </c>
    </row>
    <row r="5470" spans="1:1">
      <c r="A5470" s="27">
        <v>0.35</v>
      </c>
    </row>
    <row r="5471" spans="1:1">
      <c r="A5471" s="27">
        <v>22</v>
      </c>
    </row>
    <row r="5472" spans="1:1">
      <c r="A5472" s="27">
        <v>43</v>
      </c>
    </row>
    <row r="5473" spans="1:1">
      <c r="A5473" s="27">
        <v>4</v>
      </c>
    </row>
    <row r="5474" spans="1:1">
      <c r="A5474" s="27">
        <v>8</v>
      </c>
    </row>
    <row r="5475" spans="1:1">
      <c r="A5475" s="27">
        <v>11</v>
      </c>
    </row>
    <row r="5476" spans="1:1">
      <c r="A5476" s="27">
        <v>0</v>
      </c>
    </row>
    <row r="5477" spans="1:1">
      <c r="A5477" s="27">
        <v>675</v>
      </c>
    </row>
    <row r="5478" spans="1:1">
      <c r="A5478" s="27">
        <v>12.3</v>
      </c>
    </row>
    <row r="5479" spans="1:1">
      <c r="A5479" s="29">
        <v>0.58472222222222225</v>
      </c>
    </row>
    <row r="5480" spans="1:1">
      <c r="A5480" s="27">
        <v>19.2</v>
      </c>
    </row>
    <row r="5481" spans="1:1">
      <c r="A5481" s="28">
        <v>36.9</v>
      </c>
    </row>
    <row r="5482" spans="1:1">
      <c r="A5482" s="25">
        <v>262</v>
      </c>
    </row>
    <row r="5483" spans="1:1" ht="30">
      <c r="A5483" s="26" t="s">
        <v>346</v>
      </c>
    </row>
    <row r="5484" spans="1:1">
      <c r="A5484" s="27" t="s">
        <v>653</v>
      </c>
    </row>
    <row r="5485" spans="1:1">
      <c r="A5485" s="27">
        <v>422</v>
      </c>
    </row>
    <row r="5486" spans="1:1">
      <c r="A5486" s="27">
        <v>76</v>
      </c>
    </row>
    <row r="5487" spans="1:1">
      <c r="A5487" s="27">
        <v>91</v>
      </c>
    </row>
    <row r="5488" spans="1:1">
      <c r="A5488" s="27">
        <v>167</v>
      </c>
    </row>
    <row r="5489" spans="1:1">
      <c r="A5489" s="27">
        <v>45</v>
      </c>
    </row>
    <row r="5490" spans="1:1">
      <c r="A5490" s="27">
        <v>87</v>
      </c>
    </row>
    <row r="5491" spans="1:1">
      <c r="A5491" s="27">
        <v>0.4</v>
      </c>
    </row>
    <row r="5492" spans="1:1">
      <c r="A5492" s="27">
        <v>9</v>
      </c>
    </row>
    <row r="5493" spans="1:1">
      <c r="A5493" s="27">
        <v>18</v>
      </c>
    </row>
    <row r="5494" spans="1:1">
      <c r="A5494" s="27">
        <v>7</v>
      </c>
    </row>
    <row r="5495" spans="1:1">
      <c r="A5495" s="27">
        <v>10</v>
      </c>
    </row>
    <row r="5496" spans="1:1">
      <c r="A5496" s="27">
        <v>11</v>
      </c>
    </row>
    <row r="5497" spans="1:1">
      <c r="A5497" s="27">
        <v>2</v>
      </c>
    </row>
    <row r="5498" spans="1:1">
      <c r="A5498" s="27">
        <v>640</v>
      </c>
    </row>
    <row r="5499" spans="1:1">
      <c r="A5499" s="27">
        <v>11.9</v>
      </c>
    </row>
    <row r="5500" spans="1:1">
      <c r="A5500" s="29">
        <v>0.63472222222222219</v>
      </c>
    </row>
    <row r="5501" spans="1:1">
      <c r="A5501" s="27">
        <v>22.1</v>
      </c>
    </row>
    <row r="5502" spans="1:1">
      <c r="A5502" s="28">
        <v>47.8</v>
      </c>
    </row>
    <row r="5503" spans="1:1">
      <c r="A5503" s="25">
        <v>263</v>
      </c>
    </row>
    <row r="5504" spans="1:1" ht="45">
      <c r="A5504" s="26" t="s">
        <v>822</v>
      </c>
    </row>
    <row r="5505" spans="1:1">
      <c r="A5505" s="27" t="s">
        <v>44</v>
      </c>
    </row>
    <row r="5506" spans="1:1">
      <c r="A5506" s="27">
        <v>352</v>
      </c>
    </row>
    <row r="5507" spans="1:1">
      <c r="A5507" s="27">
        <v>73</v>
      </c>
    </row>
    <row r="5508" spans="1:1">
      <c r="A5508" s="27">
        <v>93</v>
      </c>
    </row>
    <row r="5509" spans="1:1">
      <c r="A5509" s="27">
        <v>166</v>
      </c>
    </row>
    <row r="5510" spans="1:1">
      <c r="A5510" s="27">
        <v>35</v>
      </c>
    </row>
    <row r="5511" spans="1:1">
      <c r="A5511" s="27">
        <v>85</v>
      </c>
    </row>
    <row r="5512" spans="1:1">
      <c r="A5512" s="27">
        <v>0.47</v>
      </c>
    </row>
    <row r="5513" spans="1:1">
      <c r="A5513" s="27">
        <v>8</v>
      </c>
    </row>
    <row r="5514" spans="1:1">
      <c r="A5514" s="27">
        <v>24</v>
      </c>
    </row>
    <row r="5515" spans="1:1">
      <c r="A5515" s="27">
        <v>0</v>
      </c>
    </row>
    <row r="5516" spans="1:1">
      <c r="A5516" s="27">
        <v>0</v>
      </c>
    </row>
    <row r="5517" spans="1:1">
      <c r="A5517" s="27">
        <v>16</v>
      </c>
    </row>
    <row r="5518" spans="1:1">
      <c r="A5518" s="27">
        <v>2</v>
      </c>
    </row>
    <row r="5519" spans="1:1">
      <c r="A5519" s="27">
        <v>537</v>
      </c>
    </row>
    <row r="5520" spans="1:1">
      <c r="A5520" s="27">
        <v>13.6</v>
      </c>
    </row>
    <row r="5521" spans="1:1">
      <c r="A5521" s="29">
        <v>0.5395833333333333</v>
      </c>
    </row>
    <row r="5522" spans="1:1">
      <c r="A5522" s="27">
        <v>16.100000000000001</v>
      </c>
    </row>
    <row r="5523" spans="1:1">
      <c r="A5523" s="28">
        <v>44.4</v>
      </c>
    </row>
    <row r="5524" spans="1:1">
      <c r="A5524" s="25">
        <v>264</v>
      </c>
    </row>
    <row r="5525" spans="1:1" ht="30">
      <c r="A5525" s="26" t="s">
        <v>759</v>
      </c>
    </row>
    <row r="5526" spans="1:1">
      <c r="A5526" s="27" t="s">
        <v>653</v>
      </c>
    </row>
    <row r="5527" spans="1:1">
      <c r="A5527" s="27">
        <v>394</v>
      </c>
    </row>
    <row r="5528" spans="1:1">
      <c r="A5528" s="27">
        <v>53</v>
      </c>
    </row>
    <row r="5529" spans="1:1">
      <c r="A5529" s="27">
        <v>113</v>
      </c>
    </row>
    <row r="5530" spans="1:1">
      <c r="A5530" s="27">
        <v>166</v>
      </c>
    </row>
    <row r="5531" spans="1:1">
      <c r="A5531" s="27">
        <v>-38</v>
      </c>
    </row>
    <row r="5532" spans="1:1">
      <c r="A5532" s="27">
        <v>72</v>
      </c>
    </row>
    <row r="5533" spans="1:1">
      <c r="A5533" s="27">
        <v>0.42</v>
      </c>
    </row>
    <row r="5534" spans="1:1">
      <c r="A5534" s="27">
        <v>7</v>
      </c>
    </row>
    <row r="5535" spans="1:1">
      <c r="A5535" s="27">
        <v>24</v>
      </c>
    </row>
    <row r="5536" spans="1:1">
      <c r="A5536" s="27">
        <v>5</v>
      </c>
    </row>
    <row r="5537" spans="1:1">
      <c r="A5537" s="27">
        <v>8</v>
      </c>
    </row>
    <row r="5538" spans="1:1">
      <c r="A5538" s="27">
        <v>8</v>
      </c>
    </row>
    <row r="5539" spans="1:1">
      <c r="A5539" s="27">
        <v>0</v>
      </c>
    </row>
    <row r="5540" spans="1:1">
      <c r="A5540" s="27">
        <v>505</v>
      </c>
    </row>
    <row r="5541" spans="1:1">
      <c r="A5541" s="27">
        <v>10.5</v>
      </c>
    </row>
    <row r="5542" spans="1:1">
      <c r="A5542" s="29">
        <v>0.62569444444444444</v>
      </c>
    </row>
    <row r="5543" spans="1:1">
      <c r="A5543" s="27">
        <v>21.2</v>
      </c>
    </row>
    <row r="5544" spans="1:1">
      <c r="A5544" s="28">
        <v>49.5</v>
      </c>
    </row>
    <row r="5545" spans="1:1">
      <c r="A5545" s="25">
        <v>265</v>
      </c>
    </row>
    <row r="5546" spans="1:1" ht="30">
      <c r="A5546" s="26" t="s">
        <v>186</v>
      </c>
    </row>
    <row r="5547" spans="1:1">
      <c r="A5547" s="27" t="s">
        <v>43</v>
      </c>
    </row>
    <row r="5548" spans="1:1">
      <c r="A5548" s="27">
        <v>484</v>
      </c>
    </row>
    <row r="5549" spans="1:1">
      <c r="A5549" s="27">
        <v>68</v>
      </c>
    </row>
    <row r="5550" spans="1:1">
      <c r="A5550" s="27">
        <v>96</v>
      </c>
    </row>
    <row r="5551" spans="1:1">
      <c r="A5551" s="27">
        <v>164</v>
      </c>
    </row>
    <row r="5552" spans="1:1">
      <c r="A5552" s="27">
        <v>41</v>
      </c>
    </row>
    <row r="5553" spans="1:1">
      <c r="A5553" s="27">
        <v>963</v>
      </c>
    </row>
    <row r="5554" spans="1:1">
      <c r="A5554" s="27">
        <v>0.34</v>
      </c>
    </row>
    <row r="5555" spans="1:1">
      <c r="A5555" s="27">
        <v>5</v>
      </c>
    </row>
    <row r="5556" spans="1:1">
      <c r="A5556" s="27">
        <v>11</v>
      </c>
    </row>
    <row r="5557" spans="1:1">
      <c r="A5557" s="27">
        <v>4</v>
      </c>
    </row>
    <row r="5558" spans="1:1">
      <c r="A5558" s="27">
        <v>5</v>
      </c>
    </row>
    <row r="5559" spans="1:1">
      <c r="A5559" s="27">
        <v>8</v>
      </c>
    </row>
    <row r="5560" spans="1:1">
      <c r="A5560" s="27">
        <v>1</v>
      </c>
    </row>
    <row r="5561" spans="1:1">
      <c r="A5561" s="27">
        <v>657</v>
      </c>
    </row>
    <row r="5562" spans="1:1">
      <c r="A5562" s="27">
        <v>10.3</v>
      </c>
    </row>
    <row r="5563" spans="1:1">
      <c r="A5563" s="29">
        <v>0.5541666666666667</v>
      </c>
    </row>
    <row r="5564" spans="1:1">
      <c r="A5564" s="27">
        <v>17.3</v>
      </c>
    </row>
    <row r="5565" spans="1:1">
      <c r="A5565" s="28">
        <v>45.2</v>
      </c>
    </row>
    <row r="5566" spans="1:1">
      <c r="A5566" s="25">
        <v>266</v>
      </c>
    </row>
    <row r="5567" spans="1:1" ht="30">
      <c r="A5567" s="26" t="s">
        <v>192</v>
      </c>
    </row>
    <row r="5568" spans="1:1">
      <c r="A5568" s="27" t="s">
        <v>653</v>
      </c>
    </row>
    <row r="5569" spans="1:1">
      <c r="A5569" s="27">
        <v>507</v>
      </c>
    </row>
    <row r="5570" spans="1:1">
      <c r="A5570" s="27">
        <v>68</v>
      </c>
    </row>
    <row r="5571" spans="1:1">
      <c r="A5571" s="27">
        <v>96</v>
      </c>
    </row>
    <row r="5572" spans="1:1">
      <c r="A5572" s="27">
        <v>164</v>
      </c>
    </row>
    <row r="5573" spans="1:1">
      <c r="A5573" s="27">
        <v>16</v>
      </c>
    </row>
    <row r="5574" spans="1:1">
      <c r="A5574" s="27">
        <v>210</v>
      </c>
    </row>
    <row r="5575" spans="1:1">
      <c r="A5575" s="27">
        <v>0.32</v>
      </c>
    </row>
    <row r="5576" spans="1:1">
      <c r="A5576" s="27">
        <v>1</v>
      </c>
    </row>
    <row r="5577" spans="1:1">
      <c r="A5577" s="27">
        <v>5</v>
      </c>
    </row>
    <row r="5578" spans="1:1">
      <c r="A5578" s="27">
        <v>7</v>
      </c>
    </row>
    <row r="5579" spans="1:1">
      <c r="A5579" s="27">
        <v>13</v>
      </c>
    </row>
    <row r="5580" spans="1:1">
      <c r="A5580" s="27">
        <v>13</v>
      </c>
    </row>
    <row r="5581" spans="1:1">
      <c r="A5581" s="27">
        <v>0</v>
      </c>
    </row>
    <row r="5582" spans="1:1">
      <c r="A5582" s="27">
        <v>610</v>
      </c>
    </row>
    <row r="5583" spans="1:1">
      <c r="A5583" s="27">
        <v>11.1</v>
      </c>
    </row>
    <row r="5584" spans="1:1">
      <c r="A5584" s="29">
        <v>0.54305555555555551</v>
      </c>
    </row>
    <row r="5585" spans="1:1">
      <c r="A5585" s="27">
        <v>19.3</v>
      </c>
    </row>
    <row r="5586" spans="1:1">
      <c r="A5586" s="28">
        <v>50.4</v>
      </c>
    </row>
    <row r="5587" spans="1:1">
      <c r="A5587" s="25">
        <v>267</v>
      </c>
    </row>
    <row r="5588" spans="1:1" ht="30">
      <c r="A5588" s="26" t="s">
        <v>449</v>
      </c>
    </row>
    <row r="5589" spans="1:1">
      <c r="A5589" s="27" t="s">
        <v>44</v>
      </c>
    </row>
    <row r="5590" spans="1:1">
      <c r="A5590" s="27">
        <v>524</v>
      </c>
    </row>
    <row r="5591" spans="1:1">
      <c r="A5591" s="27">
        <v>66</v>
      </c>
    </row>
    <row r="5592" spans="1:1">
      <c r="A5592" s="27">
        <v>98</v>
      </c>
    </row>
    <row r="5593" spans="1:1">
      <c r="A5593" s="27">
        <v>164</v>
      </c>
    </row>
    <row r="5594" spans="1:1">
      <c r="A5594" s="27">
        <v>-14</v>
      </c>
    </row>
    <row r="5595" spans="1:1">
      <c r="A5595" s="27">
        <v>465</v>
      </c>
    </row>
    <row r="5596" spans="1:1">
      <c r="A5596" s="27">
        <v>0.31</v>
      </c>
    </row>
    <row r="5597" spans="1:1">
      <c r="A5597" s="27">
        <v>4</v>
      </c>
    </row>
    <row r="5598" spans="1:1">
      <c r="A5598" s="27">
        <v>14</v>
      </c>
    </row>
    <row r="5599" spans="1:1">
      <c r="A5599" s="27">
        <v>4</v>
      </c>
    </row>
    <row r="5600" spans="1:1">
      <c r="A5600" s="27">
        <v>7</v>
      </c>
    </row>
    <row r="5601" spans="1:1">
      <c r="A5601" s="27">
        <v>8</v>
      </c>
    </row>
    <row r="5602" spans="1:1">
      <c r="A5602" s="27">
        <v>0</v>
      </c>
    </row>
    <row r="5603" spans="1:1">
      <c r="A5603" s="27">
        <v>595</v>
      </c>
    </row>
    <row r="5604" spans="1:1">
      <c r="A5604" s="27">
        <v>11.1</v>
      </c>
    </row>
    <row r="5605" spans="1:1">
      <c r="A5605" s="29">
        <v>0.57222222222222219</v>
      </c>
    </row>
    <row r="5606" spans="1:1">
      <c r="A5606" s="27">
        <v>18</v>
      </c>
    </row>
    <row r="5607" spans="1:1">
      <c r="A5607" s="28">
        <v>48.1</v>
      </c>
    </row>
    <row r="5608" spans="1:1">
      <c r="A5608" s="25">
        <v>268</v>
      </c>
    </row>
    <row r="5609" spans="1:1" ht="30">
      <c r="A5609" s="26" t="s">
        <v>180</v>
      </c>
    </row>
    <row r="5610" spans="1:1">
      <c r="A5610" s="27" t="s">
        <v>42</v>
      </c>
    </row>
    <row r="5611" spans="1:1">
      <c r="A5611" s="27">
        <v>477</v>
      </c>
    </row>
    <row r="5612" spans="1:1">
      <c r="A5612" s="27">
        <v>35</v>
      </c>
    </row>
    <row r="5613" spans="1:1">
      <c r="A5613" s="27">
        <v>129</v>
      </c>
    </row>
    <row r="5614" spans="1:1">
      <c r="A5614" s="27">
        <v>164</v>
      </c>
    </row>
    <row r="5615" spans="1:1">
      <c r="A5615" s="27">
        <v>54</v>
      </c>
    </row>
    <row r="5616" spans="1:1">
      <c r="A5616" s="27">
        <v>183</v>
      </c>
    </row>
    <row r="5617" spans="1:1">
      <c r="A5617" s="27">
        <v>0.34</v>
      </c>
    </row>
    <row r="5618" spans="1:1">
      <c r="A5618" s="27">
        <v>2</v>
      </c>
    </row>
    <row r="5619" spans="1:1">
      <c r="A5619" s="27">
        <v>19</v>
      </c>
    </row>
    <row r="5620" spans="1:1">
      <c r="A5620" s="27">
        <v>0</v>
      </c>
    </row>
    <row r="5621" spans="1:1">
      <c r="A5621" s="27">
        <v>0</v>
      </c>
    </row>
    <row r="5622" spans="1:1">
      <c r="A5622" s="27">
        <v>7</v>
      </c>
    </row>
    <row r="5623" spans="1:1">
      <c r="A5623" s="27">
        <v>1</v>
      </c>
    </row>
    <row r="5624" spans="1:1">
      <c r="A5624" s="27">
        <v>592</v>
      </c>
    </row>
    <row r="5625" spans="1:1">
      <c r="A5625" s="27">
        <v>5.9</v>
      </c>
    </row>
    <row r="5626" spans="1:1">
      <c r="A5626" s="29">
        <v>0.82013888888888886</v>
      </c>
    </row>
    <row r="5627" spans="1:1">
      <c r="A5627" s="27">
        <v>22.7</v>
      </c>
    </row>
    <row r="5628" spans="1:1">
      <c r="A5628" s="28">
        <v>0</v>
      </c>
    </row>
    <row r="5629" spans="1:1">
      <c r="A5629" s="25">
        <v>269</v>
      </c>
    </row>
    <row r="5630" spans="1:1" ht="30">
      <c r="A5630" s="26" t="s">
        <v>419</v>
      </c>
    </row>
    <row r="5631" spans="1:1">
      <c r="A5631" s="27" t="s">
        <v>42</v>
      </c>
    </row>
    <row r="5632" spans="1:1">
      <c r="A5632" s="27">
        <v>651</v>
      </c>
    </row>
    <row r="5633" spans="1:1">
      <c r="A5633" s="27">
        <v>34</v>
      </c>
    </row>
    <row r="5634" spans="1:1">
      <c r="A5634" s="27">
        <v>130</v>
      </c>
    </row>
    <row r="5635" spans="1:1">
      <c r="A5635" s="27">
        <v>164</v>
      </c>
    </row>
    <row r="5636" spans="1:1">
      <c r="A5636" s="27">
        <v>-52</v>
      </c>
    </row>
    <row r="5637" spans="1:1">
      <c r="A5637" s="27">
        <v>413</v>
      </c>
    </row>
    <row r="5638" spans="1:1">
      <c r="A5638" s="27">
        <v>0.25</v>
      </c>
    </row>
    <row r="5639" spans="1:1">
      <c r="A5639" s="27">
        <v>10</v>
      </c>
    </row>
    <row r="5640" spans="1:1">
      <c r="A5640" s="27">
        <v>51</v>
      </c>
    </row>
    <row r="5641" spans="1:1">
      <c r="A5641" s="27">
        <v>1</v>
      </c>
    </row>
    <row r="5642" spans="1:1">
      <c r="A5642" s="27">
        <v>2</v>
      </c>
    </row>
    <row r="5643" spans="1:1">
      <c r="A5643" s="27">
        <v>6</v>
      </c>
    </row>
    <row r="5644" spans="1:1">
      <c r="A5644" s="27">
        <v>2</v>
      </c>
    </row>
    <row r="5645" spans="1:1">
      <c r="A5645" s="27">
        <v>793</v>
      </c>
    </row>
    <row r="5646" spans="1:1">
      <c r="A5646" s="27">
        <v>4.3</v>
      </c>
    </row>
    <row r="5647" spans="1:1">
      <c r="A5647" s="29">
        <v>0.8305555555555556</v>
      </c>
    </row>
    <row r="5648" spans="1:1">
      <c r="A5648" s="27">
        <v>24.5</v>
      </c>
    </row>
    <row r="5649" spans="1:1">
      <c r="A5649" s="28">
        <v>0</v>
      </c>
    </row>
    <row r="5650" spans="1:1">
      <c r="A5650" s="25">
        <v>270</v>
      </c>
    </row>
    <row r="5651" spans="1:1" ht="45">
      <c r="A5651" s="26" t="s">
        <v>143</v>
      </c>
    </row>
    <row r="5652" spans="1:1">
      <c r="A5652" s="27" t="s">
        <v>653</v>
      </c>
    </row>
    <row r="5653" spans="1:1">
      <c r="A5653" s="27">
        <v>397</v>
      </c>
    </row>
    <row r="5654" spans="1:1">
      <c r="A5654" s="27">
        <v>78</v>
      </c>
    </row>
    <row r="5655" spans="1:1">
      <c r="A5655" s="27">
        <v>85</v>
      </c>
    </row>
    <row r="5656" spans="1:1">
      <c r="A5656" s="27">
        <v>163</v>
      </c>
    </row>
    <row r="5657" spans="1:1">
      <c r="A5657" s="27">
        <v>25</v>
      </c>
    </row>
    <row r="5658" spans="1:1">
      <c r="A5658" s="27">
        <v>134</v>
      </c>
    </row>
    <row r="5659" spans="1:1">
      <c r="A5659" s="27">
        <v>0.41</v>
      </c>
    </row>
    <row r="5660" spans="1:1">
      <c r="A5660" s="27">
        <v>2</v>
      </c>
    </row>
    <row r="5661" spans="1:1">
      <c r="A5661" s="27">
        <v>6</v>
      </c>
    </row>
    <row r="5662" spans="1:1">
      <c r="A5662" s="27">
        <v>12</v>
      </c>
    </row>
    <row r="5663" spans="1:1">
      <c r="A5663" s="27">
        <v>16</v>
      </c>
    </row>
    <row r="5664" spans="1:1">
      <c r="A5664" s="27">
        <v>13</v>
      </c>
    </row>
    <row r="5665" spans="1:1">
      <c r="A5665" s="27">
        <v>2</v>
      </c>
    </row>
    <row r="5666" spans="1:1">
      <c r="A5666" s="27">
        <v>745</v>
      </c>
    </row>
    <row r="5667" spans="1:1">
      <c r="A5667" s="27">
        <v>10.5</v>
      </c>
    </row>
    <row r="5668" spans="1:1">
      <c r="A5668" s="29">
        <v>0.66319444444444442</v>
      </c>
    </row>
    <row r="5669" spans="1:1">
      <c r="A5669" s="27">
        <v>22.5</v>
      </c>
    </row>
    <row r="5670" spans="1:1">
      <c r="A5670" s="28">
        <v>52</v>
      </c>
    </row>
    <row r="5671" spans="1:1">
      <c r="A5671" s="25">
        <v>271</v>
      </c>
    </row>
    <row r="5672" spans="1:1" ht="45">
      <c r="A5672" s="26" t="s">
        <v>1142</v>
      </c>
    </row>
    <row r="5673" spans="1:1">
      <c r="A5673" s="27" t="s">
        <v>42</v>
      </c>
    </row>
    <row r="5674" spans="1:1">
      <c r="A5674" s="27">
        <v>757</v>
      </c>
    </row>
    <row r="5675" spans="1:1">
      <c r="A5675" s="27">
        <v>25</v>
      </c>
    </row>
    <row r="5676" spans="1:1">
      <c r="A5676" s="27">
        <v>138</v>
      </c>
    </row>
    <row r="5677" spans="1:1">
      <c r="A5677" s="27">
        <v>163</v>
      </c>
    </row>
    <row r="5678" spans="1:1">
      <c r="A5678" s="27">
        <v>115</v>
      </c>
    </row>
    <row r="5679" spans="1:1">
      <c r="A5679" s="27">
        <v>300</v>
      </c>
    </row>
    <row r="5680" spans="1:1">
      <c r="A5680" s="27">
        <v>0.22</v>
      </c>
    </row>
    <row r="5681" spans="1:1">
      <c r="A5681" s="27">
        <v>0</v>
      </c>
    </row>
    <row r="5682" spans="1:1">
      <c r="A5682" s="27">
        <v>3</v>
      </c>
    </row>
    <row r="5683" spans="1:1">
      <c r="A5683" s="27">
        <v>1</v>
      </c>
    </row>
    <row r="5684" spans="1:1">
      <c r="A5684" s="27">
        <v>13</v>
      </c>
    </row>
    <row r="5685" spans="1:1">
      <c r="A5685" s="27">
        <v>3</v>
      </c>
    </row>
    <row r="5686" spans="1:1">
      <c r="A5686" s="27">
        <v>0</v>
      </c>
    </row>
    <row r="5687" spans="1:1">
      <c r="A5687" s="27">
        <v>680</v>
      </c>
    </row>
    <row r="5688" spans="1:1">
      <c r="A5688" s="27">
        <v>3.7</v>
      </c>
    </row>
    <row r="5689" spans="1:1">
      <c r="A5689" s="29">
        <v>0.84791666666666676</v>
      </c>
    </row>
    <row r="5690" spans="1:1">
      <c r="A5690" s="27">
        <v>27.2</v>
      </c>
    </row>
    <row r="5691" spans="1:1">
      <c r="A5691" s="28">
        <v>0</v>
      </c>
    </row>
    <row r="5692" spans="1:1">
      <c r="A5692" s="25">
        <v>272</v>
      </c>
    </row>
    <row r="5693" spans="1:1" ht="30">
      <c r="A5693" s="26" t="s">
        <v>716</v>
      </c>
    </row>
    <row r="5694" spans="1:1">
      <c r="A5694" s="27" t="s">
        <v>44</v>
      </c>
    </row>
    <row r="5695" spans="1:1">
      <c r="A5695" s="27">
        <v>373</v>
      </c>
    </row>
    <row r="5696" spans="1:1">
      <c r="A5696" s="27">
        <v>81</v>
      </c>
    </row>
    <row r="5697" spans="1:1">
      <c r="A5697" s="27">
        <v>81</v>
      </c>
    </row>
    <row r="5698" spans="1:1">
      <c r="A5698" s="27">
        <v>162</v>
      </c>
    </row>
    <row r="5699" spans="1:1">
      <c r="A5699" s="27">
        <v>18</v>
      </c>
    </row>
    <row r="5700" spans="1:1">
      <c r="A5700" s="27">
        <v>166</v>
      </c>
    </row>
    <row r="5701" spans="1:1">
      <c r="A5701" s="27">
        <v>0.43</v>
      </c>
    </row>
    <row r="5702" spans="1:1">
      <c r="A5702" s="27">
        <v>17</v>
      </c>
    </row>
    <row r="5703" spans="1:1">
      <c r="A5703" s="27">
        <v>28</v>
      </c>
    </row>
    <row r="5704" spans="1:1">
      <c r="A5704" s="27">
        <v>3</v>
      </c>
    </row>
    <row r="5705" spans="1:1">
      <c r="A5705" s="27">
        <v>6</v>
      </c>
    </row>
    <row r="5706" spans="1:1">
      <c r="A5706" s="27">
        <v>13</v>
      </c>
    </row>
    <row r="5707" spans="1:1">
      <c r="A5707" s="27">
        <v>0</v>
      </c>
    </row>
    <row r="5708" spans="1:1">
      <c r="A5708" s="27">
        <v>615</v>
      </c>
    </row>
    <row r="5709" spans="1:1">
      <c r="A5709" s="27">
        <v>13.2</v>
      </c>
    </row>
    <row r="5710" spans="1:1">
      <c r="A5710" s="29">
        <v>0.57361111111111118</v>
      </c>
    </row>
    <row r="5711" spans="1:1">
      <c r="A5711" s="27">
        <v>18.8</v>
      </c>
    </row>
    <row r="5712" spans="1:1">
      <c r="A5712" s="28">
        <v>50.8</v>
      </c>
    </row>
    <row r="5713" spans="1:1">
      <c r="A5713" s="25">
        <v>273</v>
      </c>
    </row>
    <row r="5714" spans="1:1" ht="30">
      <c r="A5714" s="26" t="s">
        <v>469</v>
      </c>
    </row>
    <row r="5715" spans="1:1">
      <c r="A5715" s="27" t="s">
        <v>43</v>
      </c>
    </row>
    <row r="5716" spans="1:1">
      <c r="A5716" s="27">
        <v>494</v>
      </c>
    </row>
    <row r="5717" spans="1:1">
      <c r="A5717" s="27">
        <v>76</v>
      </c>
    </row>
    <row r="5718" spans="1:1">
      <c r="A5718" s="27">
        <v>86</v>
      </c>
    </row>
    <row r="5719" spans="1:1">
      <c r="A5719" s="27">
        <v>162</v>
      </c>
    </row>
    <row r="5720" spans="1:1">
      <c r="A5720" s="27">
        <v>-26</v>
      </c>
    </row>
    <row r="5721" spans="1:1">
      <c r="A5721" s="27">
        <v>745</v>
      </c>
    </row>
    <row r="5722" spans="1:1">
      <c r="A5722" s="27">
        <v>0.33</v>
      </c>
    </row>
    <row r="5723" spans="1:1">
      <c r="A5723" s="27">
        <v>4</v>
      </c>
    </row>
    <row r="5724" spans="1:1">
      <c r="A5724" s="27">
        <v>7</v>
      </c>
    </row>
    <row r="5725" spans="1:1">
      <c r="A5725" s="27">
        <v>1</v>
      </c>
    </row>
    <row r="5726" spans="1:1">
      <c r="A5726" s="27">
        <v>3</v>
      </c>
    </row>
    <row r="5727" spans="1:1">
      <c r="A5727" s="27">
        <v>10</v>
      </c>
    </row>
    <row r="5728" spans="1:1">
      <c r="A5728" s="27">
        <v>0</v>
      </c>
    </row>
    <row r="5729" spans="1:1">
      <c r="A5729" s="27">
        <v>645</v>
      </c>
    </row>
    <row r="5730" spans="1:1">
      <c r="A5730" s="27">
        <v>11.8</v>
      </c>
    </row>
    <row r="5731" spans="1:1">
      <c r="A5731" s="29">
        <v>0.54027777777777775</v>
      </c>
    </row>
    <row r="5732" spans="1:1">
      <c r="A5732" s="27">
        <v>17.5</v>
      </c>
    </row>
    <row r="5733" spans="1:1">
      <c r="A5733" s="28">
        <v>30.3</v>
      </c>
    </row>
    <row r="5734" spans="1:1">
      <c r="A5734" s="25">
        <v>274</v>
      </c>
    </row>
    <row r="5735" spans="1:1" ht="30">
      <c r="A5735" s="26" t="s">
        <v>886</v>
      </c>
    </row>
    <row r="5736" spans="1:1">
      <c r="A5736" s="27" t="s">
        <v>43</v>
      </c>
    </row>
    <row r="5737" spans="1:1">
      <c r="A5737" s="27">
        <v>430</v>
      </c>
    </row>
    <row r="5738" spans="1:1">
      <c r="A5738" s="27">
        <v>77</v>
      </c>
    </row>
    <row r="5739" spans="1:1">
      <c r="A5739" s="27">
        <v>84</v>
      </c>
    </row>
    <row r="5740" spans="1:1">
      <c r="A5740" s="27">
        <v>161</v>
      </c>
    </row>
    <row r="5741" spans="1:1">
      <c r="A5741" s="27">
        <v>8</v>
      </c>
    </row>
    <row r="5742" spans="1:1">
      <c r="A5742" s="27">
        <v>228</v>
      </c>
    </row>
    <row r="5743" spans="1:1">
      <c r="A5743" s="27">
        <v>0.37</v>
      </c>
    </row>
    <row r="5744" spans="1:1">
      <c r="A5744" s="27">
        <v>11</v>
      </c>
    </row>
    <row r="5745" spans="1:1">
      <c r="A5745" s="27">
        <v>25</v>
      </c>
    </row>
    <row r="5746" spans="1:1">
      <c r="A5746" s="27">
        <v>1</v>
      </c>
    </row>
    <row r="5747" spans="1:1">
      <c r="A5747" s="27">
        <v>1</v>
      </c>
    </row>
    <row r="5748" spans="1:1">
      <c r="A5748" s="27">
        <v>10</v>
      </c>
    </row>
    <row r="5749" spans="1:1">
      <c r="A5749" s="27">
        <v>1</v>
      </c>
    </row>
    <row r="5750" spans="1:1">
      <c r="A5750" s="27">
        <v>674</v>
      </c>
    </row>
    <row r="5751" spans="1:1">
      <c r="A5751" s="27">
        <v>11.4</v>
      </c>
    </row>
    <row r="5752" spans="1:1">
      <c r="A5752" s="29">
        <v>0.57291666666666663</v>
      </c>
    </row>
    <row r="5753" spans="1:1">
      <c r="A5753" s="27">
        <v>18.399999999999999</v>
      </c>
    </row>
    <row r="5754" spans="1:1">
      <c r="A5754" s="28">
        <v>36.9</v>
      </c>
    </row>
    <row r="5755" spans="1:1">
      <c r="A5755" s="25">
        <v>275</v>
      </c>
    </row>
    <row r="5756" spans="1:1" ht="30">
      <c r="A5756" s="26" t="s">
        <v>666</v>
      </c>
    </row>
    <row r="5757" spans="1:1">
      <c r="A5757" s="27" t="s">
        <v>42</v>
      </c>
    </row>
    <row r="5758" spans="1:1">
      <c r="A5758" s="27">
        <v>370</v>
      </c>
    </row>
    <row r="5759" spans="1:1">
      <c r="A5759" s="27">
        <v>59</v>
      </c>
    </row>
    <row r="5760" spans="1:1">
      <c r="A5760" s="27">
        <v>100</v>
      </c>
    </row>
    <row r="5761" spans="1:1">
      <c r="A5761" s="27">
        <v>159</v>
      </c>
    </row>
    <row r="5762" spans="1:1">
      <c r="A5762" s="27">
        <v>27</v>
      </c>
    </row>
    <row r="5763" spans="1:1">
      <c r="A5763" s="27">
        <v>209</v>
      </c>
    </row>
    <row r="5764" spans="1:1">
      <c r="A5764" s="27">
        <v>0.43</v>
      </c>
    </row>
    <row r="5765" spans="1:1">
      <c r="A5765" s="27">
        <v>23</v>
      </c>
    </row>
    <row r="5766" spans="1:1">
      <c r="A5766" s="27">
        <v>59</v>
      </c>
    </row>
    <row r="5767" spans="1:1">
      <c r="A5767" s="27">
        <v>0</v>
      </c>
    </row>
    <row r="5768" spans="1:1">
      <c r="A5768" s="27">
        <v>3</v>
      </c>
    </row>
    <row r="5769" spans="1:1">
      <c r="A5769" s="27">
        <v>11</v>
      </c>
    </row>
    <row r="5770" spans="1:1">
      <c r="A5770" s="27">
        <v>4</v>
      </c>
    </row>
    <row r="5771" spans="1:1">
      <c r="A5771" s="27">
        <v>716</v>
      </c>
    </row>
    <row r="5772" spans="1:1">
      <c r="A5772" s="27">
        <v>8.1999999999999993</v>
      </c>
    </row>
    <row r="5773" spans="1:1">
      <c r="A5773" s="29">
        <v>0.82152777777777775</v>
      </c>
    </row>
    <row r="5774" spans="1:1">
      <c r="A5774" s="27">
        <v>23.2</v>
      </c>
    </row>
    <row r="5775" spans="1:1">
      <c r="A5775" s="28">
        <v>100</v>
      </c>
    </row>
    <row r="5776" spans="1:1">
      <c r="A5776" s="25">
        <v>276</v>
      </c>
    </row>
    <row r="5777" spans="1:1" ht="30">
      <c r="A5777" s="26" t="s">
        <v>221</v>
      </c>
    </row>
    <row r="5778" spans="1:1">
      <c r="A5778" s="27" t="s">
        <v>42</v>
      </c>
    </row>
    <row r="5779" spans="1:1">
      <c r="A5779" s="27">
        <v>635</v>
      </c>
    </row>
    <row r="5780" spans="1:1">
      <c r="A5780" s="27">
        <v>24</v>
      </c>
    </row>
    <row r="5781" spans="1:1">
      <c r="A5781" s="27">
        <v>135</v>
      </c>
    </row>
    <row r="5782" spans="1:1">
      <c r="A5782" s="27">
        <v>159</v>
      </c>
    </row>
    <row r="5783" spans="1:1">
      <c r="A5783" s="27">
        <v>13</v>
      </c>
    </row>
    <row r="5784" spans="1:1">
      <c r="A5784" s="27">
        <v>234</v>
      </c>
    </row>
    <row r="5785" spans="1:1">
      <c r="A5785" s="27">
        <v>0.25</v>
      </c>
    </row>
    <row r="5786" spans="1:1">
      <c r="A5786" s="27">
        <v>4</v>
      </c>
    </row>
    <row r="5787" spans="1:1">
      <c r="A5787" s="27">
        <v>11</v>
      </c>
    </row>
    <row r="5788" spans="1:1">
      <c r="A5788" s="27">
        <v>0</v>
      </c>
    </row>
    <row r="5789" spans="1:1">
      <c r="A5789" s="27">
        <v>2</v>
      </c>
    </row>
    <row r="5790" spans="1:1">
      <c r="A5790" s="27">
        <v>1</v>
      </c>
    </row>
    <row r="5791" spans="1:1">
      <c r="A5791" s="27">
        <v>0</v>
      </c>
    </row>
    <row r="5792" spans="1:1">
      <c r="A5792" s="27">
        <v>883</v>
      </c>
    </row>
    <row r="5793" spans="1:1">
      <c r="A5793" s="27">
        <v>2.7</v>
      </c>
    </row>
    <row r="5794" spans="1:1">
      <c r="A5794" s="29">
        <v>0.8256944444444444</v>
      </c>
    </row>
    <row r="5795" spans="1:1">
      <c r="A5795" s="27">
        <v>25.4</v>
      </c>
    </row>
    <row r="5796" spans="1:1">
      <c r="A5796" s="28">
        <v>0</v>
      </c>
    </row>
    <row r="5797" spans="1:1">
      <c r="A5797" s="25">
        <v>277</v>
      </c>
    </row>
    <row r="5798" spans="1:1" ht="30">
      <c r="A5798" s="26" t="s">
        <v>164</v>
      </c>
    </row>
    <row r="5799" spans="1:1">
      <c r="A5799" s="27" t="s">
        <v>43</v>
      </c>
    </row>
    <row r="5800" spans="1:1">
      <c r="A5800" s="27">
        <v>242</v>
      </c>
    </row>
    <row r="5801" spans="1:1">
      <c r="A5801" s="27">
        <v>80</v>
      </c>
    </row>
    <row r="5802" spans="1:1">
      <c r="A5802" s="27">
        <v>78</v>
      </c>
    </row>
    <row r="5803" spans="1:1">
      <c r="A5803" s="27">
        <v>158</v>
      </c>
    </row>
    <row r="5804" spans="1:1">
      <c r="A5804" s="27">
        <v>-9</v>
      </c>
    </row>
    <row r="5805" spans="1:1">
      <c r="A5805" s="27">
        <v>155</v>
      </c>
    </row>
    <row r="5806" spans="1:1">
      <c r="A5806" s="27">
        <v>0.65</v>
      </c>
    </row>
    <row r="5807" spans="1:1">
      <c r="A5807" s="27">
        <v>23</v>
      </c>
    </row>
    <row r="5808" spans="1:1">
      <c r="A5808" s="27">
        <v>36</v>
      </c>
    </row>
    <row r="5809" spans="1:1">
      <c r="A5809" s="27">
        <v>0</v>
      </c>
    </row>
    <row r="5810" spans="1:1">
      <c r="A5810" s="27">
        <v>0</v>
      </c>
    </row>
    <row r="5811" spans="1:1">
      <c r="A5811" s="27">
        <v>10</v>
      </c>
    </row>
    <row r="5812" spans="1:1">
      <c r="A5812" s="27">
        <v>3</v>
      </c>
    </row>
    <row r="5813" spans="1:1">
      <c r="A5813" s="27">
        <v>631</v>
      </c>
    </row>
    <row r="5814" spans="1:1">
      <c r="A5814" s="27">
        <v>12.7</v>
      </c>
    </row>
    <row r="5815" spans="1:1">
      <c r="A5815" s="29">
        <v>0.70972222222222225</v>
      </c>
    </row>
    <row r="5816" spans="1:1">
      <c r="A5816" s="27">
        <v>20.7</v>
      </c>
    </row>
    <row r="5817" spans="1:1">
      <c r="A5817" s="28">
        <v>40.1</v>
      </c>
    </row>
    <row r="5818" spans="1:1">
      <c r="A5818" s="25">
        <v>278</v>
      </c>
    </row>
    <row r="5819" spans="1:1" ht="30">
      <c r="A5819" s="26" t="s">
        <v>875</v>
      </c>
    </row>
    <row r="5820" spans="1:1">
      <c r="A5820" s="27" t="s">
        <v>44</v>
      </c>
    </row>
    <row r="5821" spans="1:1">
      <c r="A5821" s="27">
        <v>477</v>
      </c>
    </row>
    <row r="5822" spans="1:1">
      <c r="A5822" s="27">
        <v>76</v>
      </c>
    </row>
    <row r="5823" spans="1:1">
      <c r="A5823" s="27">
        <v>82</v>
      </c>
    </row>
    <row r="5824" spans="1:1">
      <c r="A5824" s="27">
        <v>158</v>
      </c>
    </row>
    <row r="5825" spans="1:1">
      <c r="A5825" s="27">
        <v>-11</v>
      </c>
    </row>
    <row r="5826" spans="1:1">
      <c r="A5826" s="27">
        <v>440</v>
      </c>
    </row>
    <row r="5827" spans="1:1">
      <c r="A5827" s="27">
        <v>0.33</v>
      </c>
    </row>
    <row r="5828" spans="1:1">
      <c r="A5828" s="27">
        <v>9</v>
      </c>
    </row>
    <row r="5829" spans="1:1">
      <c r="A5829" s="27">
        <v>20</v>
      </c>
    </row>
    <row r="5830" spans="1:1">
      <c r="A5830" s="27">
        <v>0</v>
      </c>
    </row>
    <row r="5831" spans="1:1">
      <c r="A5831" s="27">
        <v>2</v>
      </c>
    </row>
    <row r="5832" spans="1:1">
      <c r="A5832" s="27">
        <v>15</v>
      </c>
    </row>
    <row r="5833" spans="1:1">
      <c r="A5833" s="27">
        <v>0</v>
      </c>
    </row>
    <row r="5834" spans="1:1">
      <c r="A5834" s="27">
        <v>841</v>
      </c>
    </row>
    <row r="5835" spans="1:1">
      <c r="A5835" s="27">
        <v>9</v>
      </c>
    </row>
    <row r="5836" spans="1:1">
      <c r="A5836" s="29">
        <v>0.54861111111111105</v>
      </c>
    </row>
    <row r="5837" spans="1:1">
      <c r="A5837" s="27">
        <v>17.7</v>
      </c>
    </row>
    <row r="5838" spans="1:1">
      <c r="A5838" s="28">
        <v>37.799999999999997</v>
      </c>
    </row>
    <row r="5839" spans="1:1">
      <c r="A5839" s="25">
        <v>279</v>
      </c>
    </row>
    <row r="5840" spans="1:1" ht="30">
      <c r="A5840" s="26" t="s">
        <v>260</v>
      </c>
    </row>
    <row r="5841" spans="1:1">
      <c r="A5841" s="27" t="s">
        <v>653</v>
      </c>
    </row>
    <row r="5842" spans="1:1">
      <c r="A5842" s="27">
        <v>499</v>
      </c>
    </row>
    <row r="5843" spans="1:1">
      <c r="A5843" s="27">
        <v>57</v>
      </c>
    </row>
    <row r="5844" spans="1:1">
      <c r="A5844" s="27">
        <v>100</v>
      </c>
    </row>
    <row r="5845" spans="1:1">
      <c r="A5845" s="27">
        <v>157</v>
      </c>
    </row>
    <row r="5846" spans="1:1">
      <c r="A5846" s="27">
        <v>-11</v>
      </c>
    </row>
    <row r="5847" spans="1:1">
      <c r="A5847" s="27">
        <v>124</v>
      </c>
    </row>
    <row r="5848" spans="1:1">
      <c r="A5848" s="27">
        <v>0.31</v>
      </c>
    </row>
    <row r="5849" spans="1:1">
      <c r="A5849" s="27">
        <v>6</v>
      </c>
    </row>
    <row r="5850" spans="1:1">
      <c r="A5850" s="27">
        <v>18</v>
      </c>
    </row>
    <row r="5851" spans="1:1">
      <c r="A5851" s="27">
        <v>2</v>
      </c>
    </row>
    <row r="5852" spans="1:1">
      <c r="A5852" s="27">
        <v>5</v>
      </c>
    </row>
    <row r="5853" spans="1:1">
      <c r="A5853" s="27">
        <v>8</v>
      </c>
    </row>
    <row r="5854" spans="1:1">
      <c r="A5854" s="27">
        <v>0</v>
      </c>
    </row>
    <row r="5855" spans="1:1">
      <c r="A5855" s="27">
        <v>631</v>
      </c>
    </row>
    <row r="5856" spans="1:1">
      <c r="A5856" s="27">
        <v>9</v>
      </c>
    </row>
    <row r="5857" spans="1:1">
      <c r="A5857" s="29">
        <v>0.55972222222222223</v>
      </c>
    </row>
    <row r="5858" spans="1:1">
      <c r="A5858" s="27">
        <v>18.8</v>
      </c>
    </row>
    <row r="5859" spans="1:1">
      <c r="A5859" s="28">
        <v>47.9</v>
      </c>
    </row>
    <row r="5860" spans="1:1">
      <c r="A5860" s="25">
        <v>280</v>
      </c>
    </row>
    <row r="5861" spans="1:1" ht="30">
      <c r="A5861" s="26" t="s">
        <v>842</v>
      </c>
    </row>
    <row r="5862" spans="1:1">
      <c r="A5862" s="27" t="s">
        <v>653</v>
      </c>
    </row>
    <row r="5863" spans="1:1">
      <c r="A5863" s="27">
        <v>639</v>
      </c>
    </row>
    <row r="5864" spans="1:1">
      <c r="A5864" s="27">
        <v>65</v>
      </c>
    </row>
    <row r="5865" spans="1:1">
      <c r="A5865" s="27">
        <v>90</v>
      </c>
    </row>
    <row r="5866" spans="1:1">
      <c r="A5866" s="27">
        <v>155</v>
      </c>
    </row>
    <row r="5867" spans="1:1">
      <c r="A5867" s="27">
        <v>-38</v>
      </c>
    </row>
    <row r="5868" spans="1:1">
      <c r="A5868" s="27">
        <v>163</v>
      </c>
    </row>
    <row r="5869" spans="1:1">
      <c r="A5869" s="27">
        <v>0.24</v>
      </c>
    </row>
    <row r="5870" spans="1:1">
      <c r="A5870" s="27">
        <v>2</v>
      </c>
    </row>
    <row r="5871" spans="1:1">
      <c r="A5871" s="27">
        <v>6</v>
      </c>
    </row>
    <row r="5872" spans="1:1">
      <c r="A5872" s="27">
        <v>6</v>
      </c>
    </row>
    <row r="5873" spans="1:1">
      <c r="A5873" s="27">
        <v>7</v>
      </c>
    </row>
    <row r="5874" spans="1:1">
      <c r="A5874" s="27">
        <v>17</v>
      </c>
    </row>
    <row r="5875" spans="1:1">
      <c r="A5875" s="27">
        <v>0</v>
      </c>
    </row>
    <row r="5876" spans="1:1">
      <c r="A5876" s="27">
        <v>1140</v>
      </c>
    </row>
    <row r="5877" spans="1:1">
      <c r="A5877" s="27">
        <v>5.7</v>
      </c>
    </row>
    <row r="5878" spans="1:1">
      <c r="A5878" s="29">
        <v>0.57361111111111118</v>
      </c>
    </row>
    <row r="5879" spans="1:1">
      <c r="A5879" s="27">
        <v>19.100000000000001</v>
      </c>
    </row>
    <row r="5880" spans="1:1">
      <c r="A5880" s="28">
        <v>42.4</v>
      </c>
    </row>
    <row r="5881" spans="1:1">
      <c r="A5881" s="25">
        <v>281</v>
      </c>
    </row>
    <row r="5882" spans="1:1" ht="30">
      <c r="A5882" s="26" t="s">
        <v>236</v>
      </c>
    </row>
    <row r="5883" spans="1:1">
      <c r="A5883" s="27" t="s">
        <v>653</v>
      </c>
    </row>
    <row r="5884" spans="1:1">
      <c r="A5884" s="27">
        <v>296</v>
      </c>
    </row>
    <row r="5885" spans="1:1">
      <c r="A5885" s="27">
        <v>71</v>
      </c>
    </row>
    <row r="5886" spans="1:1">
      <c r="A5886" s="27">
        <v>83</v>
      </c>
    </row>
    <row r="5887" spans="1:1">
      <c r="A5887" s="27">
        <v>154</v>
      </c>
    </row>
    <row r="5888" spans="1:1">
      <c r="A5888" s="27">
        <v>-14</v>
      </c>
    </row>
    <row r="5889" spans="1:1">
      <c r="A5889" s="27">
        <v>122</v>
      </c>
    </row>
    <row r="5890" spans="1:1">
      <c r="A5890" s="27">
        <v>0.52</v>
      </c>
    </row>
    <row r="5891" spans="1:1">
      <c r="A5891" s="27">
        <v>12</v>
      </c>
    </row>
    <row r="5892" spans="1:1">
      <c r="A5892" s="27">
        <v>26</v>
      </c>
    </row>
    <row r="5893" spans="1:1">
      <c r="A5893" s="27">
        <v>1</v>
      </c>
    </row>
    <row r="5894" spans="1:1">
      <c r="A5894" s="27">
        <v>1</v>
      </c>
    </row>
    <row r="5895" spans="1:1">
      <c r="A5895" s="27">
        <v>9</v>
      </c>
    </row>
    <row r="5896" spans="1:1">
      <c r="A5896" s="27">
        <v>2</v>
      </c>
    </row>
    <row r="5897" spans="1:1">
      <c r="A5897" s="27">
        <v>480</v>
      </c>
    </row>
    <row r="5898" spans="1:1">
      <c r="A5898" s="27">
        <v>14.8</v>
      </c>
    </row>
    <row r="5899" spans="1:1">
      <c r="A5899" s="29">
        <v>0.63680555555555551</v>
      </c>
    </row>
    <row r="5900" spans="1:1">
      <c r="A5900" s="27">
        <v>19.5</v>
      </c>
    </row>
    <row r="5901" spans="1:1">
      <c r="A5901" s="28">
        <v>40.200000000000003</v>
      </c>
    </row>
    <row r="5902" spans="1:1">
      <c r="A5902" s="25">
        <v>282</v>
      </c>
    </row>
    <row r="5903" spans="1:1" ht="30">
      <c r="A5903" s="26" t="s">
        <v>263</v>
      </c>
    </row>
    <row r="5904" spans="1:1">
      <c r="A5904" s="27" t="s">
        <v>42</v>
      </c>
    </row>
    <row r="5905" spans="1:1">
      <c r="A5905" s="27">
        <v>516</v>
      </c>
    </row>
    <row r="5906" spans="1:1">
      <c r="A5906" s="27">
        <v>40</v>
      </c>
    </row>
    <row r="5907" spans="1:1">
      <c r="A5907" s="27">
        <v>113</v>
      </c>
    </row>
    <row r="5908" spans="1:1">
      <c r="A5908" s="27">
        <v>153</v>
      </c>
    </row>
    <row r="5909" spans="1:1">
      <c r="A5909" s="27">
        <v>44</v>
      </c>
    </row>
    <row r="5910" spans="1:1">
      <c r="A5910" s="27">
        <v>278</v>
      </c>
    </row>
    <row r="5911" spans="1:1">
      <c r="A5911" s="27">
        <v>0.3</v>
      </c>
    </row>
    <row r="5912" spans="1:1">
      <c r="A5912" s="27">
        <v>6</v>
      </c>
    </row>
    <row r="5913" spans="1:1">
      <c r="A5913" s="27">
        <v>23</v>
      </c>
    </row>
    <row r="5914" spans="1:1">
      <c r="A5914" s="27">
        <v>0</v>
      </c>
    </row>
    <row r="5915" spans="1:1">
      <c r="A5915" s="27">
        <v>4</v>
      </c>
    </row>
    <row r="5916" spans="1:1">
      <c r="A5916" s="27">
        <v>5</v>
      </c>
    </row>
    <row r="5917" spans="1:1">
      <c r="A5917" s="27">
        <v>0</v>
      </c>
    </row>
    <row r="5918" spans="1:1">
      <c r="A5918" s="27">
        <v>764</v>
      </c>
    </row>
    <row r="5919" spans="1:1">
      <c r="A5919" s="27">
        <v>5.2</v>
      </c>
    </row>
    <row r="5920" spans="1:1">
      <c r="A5920" s="29">
        <v>0.85069444444444453</v>
      </c>
    </row>
    <row r="5921" spans="1:1">
      <c r="A5921" s="27">
        <v>24.9</v>
      </c>
    </row>
    <row r="5922" spans="1:1">
      <c r="A5922" s="28">
        <v>100</v>
      </c>
    </row>
    <row r="5923" spans="1:1">
      <c r="A5923" s="25">
        <v>283</v>
      </c>
    </row>
    <row r="5924" spans="1:1" ht="30">
      <c r="A5924" s="26" t="s">
        <v>415</v>
      </c>
    </row>
    <row r="5925" spans="1:1">
      <c r="A5925" s="27" t="s">
        <v>44</v>
      </c>
    </row>
    <row r="5926" spans="1:1">
      <c r="A5926" s="27">
        <v>206</v>
      </c>
    </row>
    <row r="5927" spans="1:1">
      <c r="A5927" s="27">
        <v>78</v>
      </c>
    </row>
    <row r="5928" spans="1:1">
      <c r="A5928" s="27">
        <v>74</v>
      </c>
    </row>
    <row r="5929" spans="1:1">
      <c r="A5929" s="27">
        <v>152</v>
      </c>
    </row>
    <row r="5930" spans="1:1">
      <c r="A5930" s="27">
        <v>-8</v>
      </c>
    </row>
    <row r="5931" spans="1:1">
      <c r="A5931" s="27">
        <v>56</v>
      </c>
    </row>
    <row r="5932" spans="1:1">
      <c r="A5932" s="27">
        <v>0.74</v>
      </c>
    </row>
    <row r="5933" spans="1:1">
      <c r="A5933" s="27">
        <v>20</v>
      </c>
    </row>
    <row r="5934" spans="1:1">
      <c r="A5934" s="27">
        <v>36</v>
      </c>
    </row>
    <row r="5935" spans="1:1">
      <c r="A5935" s="27">
        <v>1</v>
      </c>
    </row>
    <row r="5936" spans="1:1">
      <c r="A5936" s="27">
        <v>1</v>
      </c>
    </row>
    <row r="5937" spans="1:1">
      <c r="A5937" s="27">
        <v>17</v>
      </c>
    </row>
    <row r="5938" spans="1:1">
      <c r="A5938" s="27">
        <v>4</v>
      </c>
    </row>
    <row r="5939" spans="1:1">
      <c r="A5939" s="27">
        <v>540</v>
      </c>
    </row>
    <row r="5940" spans="1:1">
      <c r="A5940" s="27">
        <v>14.4</v>
      </c>
    </row>
    <row r="5941" spans="1:1">
      <c r="A5941" s="29">
        <v>0.74375000000000002</v>
      </c>
    </row>
    <row r="5942" spans="1:1">
      <c r="A5942" s="27">
        <v>21.2</v>
      </c>
    </row>
    <row r="5943" spans="1:1">
      <c r="A5943" s="28">
        <v>42.3</v>
      </c>
    </row>
    <row r="5944" spans="1:1">
      <c r="A5944" s="25">
        <v>284</v>
      </c>
    </row>
    <row r="5945" spans="1:1" ht="30">
      <c r="A5945" s="26" t="s">
        <v>779</v>
      </c>
    </row>
    <row r="5946" spans="1:1">
      <c r="A5946" s="27" t="s">
        <v>43</v>
      </c>
    </row>
    <row r="5947" spans="1:1">
      <c r="A5947" s="27">
        <v>422</v>
      </c>
    </row>
    <row r="5948" spans="1:1">
      <c r="A5948" s="27">
        <v>58</v>
      </c>
    </row>
    <row r="5949" spans="1:1">
      <c r="A5949" s="27">
        <v>94</v>
      </c>
    </row>
    <row r="5950" spans="1:1">
      <c r="A5950" s="27">
        <v>152</v>
      </c>
    </row>
    <row r="5951" spans="1:1">
      <c r="A5951" s="27">
        <v>14</v>
      </c>
    </row>
    <row r="5952" spans="1:1">
      <c r="A5952" s="27">
        <v>182</v>
      </c>
    </row>
    <row r="5953" spans="1:1">
      <c r="A5953" s="27">
        <v>0.36</v>
      </c>
    </row>
    <row r="5954" spans="1:1">
      <c r="A5954" s="27">
        <v>10</v>
      </c>
    </row>
    <row r="5955" spans="1:1">
      <c r="A5955" s="27">
        <v>21</v>
      </c>
    </row>
    <row r="5956" spans="1:1">
      <c r="A5956" s="27">
        <v>4</v>
      </c>
    </row>
    <row r="5957" spans="1:1">
      <c r="A5957" s="27">
        <v>8</v>
      </c>
    </row>
    <row r="5958" spans="1:1">
      <c r="A5958" s="27">
        <v>8</v>
      </c>
    </row>
    <row r="5959" spans="1:1">
      <c r="A5959" s="27">
        <v>0</v>
      </c>
    </row>
    <row r="5960" spans="1:1">
      <c r="A5960" s="27">
        <v>580</v>
      </c>
    </row>
    <row r="5961" spans="1:1">
      <c r="A5961" s="27">
        <v>10</v>
      </c>
    </row>
    <row r="5962" spans="1:1">
      <c r="A5962" s="29">
        <v>0.64652777777777781</v>
      </c>
    </row>
    <row r="5963" spans="1:1">
      <c r="A5963" s="27">
        <v>22.2</v>
      </c>
    </row>
    <row r="5964" spans="1:1">
      <c r="A5964" s="28">
        <v>47.9</v>
      </c>
    </row>
    <row r="5965" spans="1:1">
      <c r="A5965" s="25">
        <v>285</v>
      </c>
    </row>
    <row r="5966" spans="1:1" ht="30">
      <c r="A5966" s="26" t="s">
        <v>225</v>
      </c>
    </row>
    <row r="5967" spans="1:1">
      <c r="A5967" s="27" t="s">
        <v>43</v>
      </c>
    </row>
    <row r="5968" spans="1:1">
      <c r="A5968" s="27">
        <v>261</v>
      </c>
    </row>
    <row r="5969" spans="1:1">
      <c r="A5969" s="27">
        <v>69</v>
      </c>
    </row>
    <row r="5970" spans="1:1">
      <c r="A5970" s="27">
        <v>82</v>
      </c>
    </row>
    <row r="5971" spans="1:1">
      <c r="A5971" s="27">
        <v>151</v>
      </c>
    </row>
    <row r="5972" spans="1:1">
      <c r="A5972" s="27">
        <v>11</v>
      </c>
    </row>
    <row r="5973" spans="1:1">
      <c r="A5973" s="27">
        <v>143</v>
      </c>
    </row>
    <row r="5974" spans="1:1">
      <c r="A5974" s="27">
        <v>0.57999999999999996</v>
      </c>
    </row>
    <row r="5975" spans="1:1">
      <c r="A5975" s="27">
        <v>10</v>
      </c>
    </row>
    <row r="5976" spans="1:1">
      <c r="A5976" s="27">
        <v>24</v>
      </c>
    </row>
    <row r="5977" spans="1:1">
      <c r="A5977" s="27">
        <v>0</v>
      </c>
    </row>
    <row r="5978" spans="1:1">
      <c r="A5978" s="27">
        <v>0</v>
      </c>
    </row>
    <row r="5979" spans="1:1">
      <c r="A5979" s="27">
        <v>10</v>
      </c>
    </row>
    <row r="5980" spans="1:1">
      <c r="A5980" s="27">
        <v>3</v>
      </c>
    </row>
    <row r="5981" spans="1:1">
      <c r="A5981" s="27">
        <v>555</v>
      </c>
    </row>
    <row r="5982" spans="1:1">
      <c r="A5982" s="27">
        <v>12.4</v>
      </c>
    </row>
    <row r="5983" spans="1:1">
      <c r="A5983" s="29">
        <v>0.62638888888888888</v>
      </c>
    </row>
    <row r="5984" spans="1:1">
      <c r="A5984" s="27">
        <v>20</v>
      </c>
    </row>
    <row r="5985" spans="1:1">
      <c r="A5985" s="28">
        <v>38.9</v>
      </c>
    </row>
    <row r="5986" spans="1:1">
      <c r="A5986" s="25">
        <v>286</v>
      </c>
    </row>
    <row r="5987" spans="1:1" ht="30">
      <c r="A5987" s="26" t="s">
        <v>476</v>
      </c>
    </row>
    <row r="5988" spans="1:1">
      <c r="A5988" s="27" t="s">
        <v>653</v>
      </c>
    </row>
    <row r="5989" spans="1:1">
      <c r="A5989" s="27">
        <v>472</v>
      </c>
    </row>
    <row r="5990" spans="1:1">
      <c r="A5990" s="27">
        <v>58</v>
      </c>
    </row>
    <row r="5991" spans="1:1">
      <c r="A5991" s="27">
        <v>92</v>
      </c>
    </row>
    <row r="5992" spans="1:1">
      <c r="A5992" s="27">
        <v>150</v>
      </c>
    </row>
    <row r="5993" spans="1:1">
      <c r="A5993" s="27">
        <v>-47</v>
      </c>
    </row>
    <row r="5994" spans="1:1">
      <c r="A5994" s="27">
        <v>77</v>
      </c>
    </row>
    <row r="5995" spans="1:1">
      <c r="A5995" s="27">
        <v>0.32</v>
      </c>
    </row>
    <row r="5996" spans="1:1">
      <c r="A5996" s="27">
        <v>12</v>
      </c>
    </row>
    <row r="5997" spans="1:1">
      <c r="A5997" s="27">
        <v>25</v>
      </c>
    </row>
    <row r="5998" spans="1:1">
      <c r="A5998" s="27">
        <v>2</v>
      </c>
    </row>
    <row r="5999" spans="1:1">
      <c r="A5999" s="27">
        <v>4</v>
      </c>
    </row>
    <row r="6000" spans="1:1">
      <c r="A6000" s="27">
        <v>6</v>
      </c>
    </row>
    <row r="6001" spans="1:1">
      <c r="A6001" s="27">
        <v>0</v>
      </c>
    </row>
    <row r="6002" spans="1:1">
      <c r="A6002" s="27">
        <v>664</v>
      </c>
    </row>
    <row r="6003" spans="1:1">
      <c r="A6003" s="27">
        <v>8.6999999999999993</v>
      </c>
    </row>
    <row r="6004" spans="1:1">
      <c r="A6004" s="29">
        <v>0.60138888888888886</v>
      </c>
    </row>
    <row r="6005" spans="1:1">
      <c r="A6005" s="27">
        <v>20.8</v>
      </c>
    </row>
    <row r="6006" spans="1:1">
      <c r="A6006" s="28">
        <v>50.5</v>
      </c>
    </row>
    <row r="6007" spans="1:1">
      <c r="A6007" s="25">
        <v>287</v>
      </c>
    </row>
    <row r="6008" spans="1:1" ht="45">
      <c r="A6008" s="26" t="s">
        <v>98</v>
      </c>
    </row>
    <row r="6009" spans="1:1">
      <c r="A6009" s="27" t="s">
        <v>653</v>
      </c>
    </row>
    <row r="6010" spans="1:1">
      <c r="A6010" s="27">
        <v>725</v>
      </c>
    </row>
    <row r="6011" spans="1:1">
      <c r="A6011" s="27">
        <v>59</v>
      </c>
    </row>
    <row r="6012" spans="1:1">
      <c r="A6012" s="27">
        <v>90</v>
      </c>
    </row>
    <row r="6013" spans="1:1">
      <c r="A6013" s="27">
        <v>149</v>
      </c>
    </row>
    <row r="6014" spans="1:1">
      <c r="A6014" s="27">
        <v>-56</v>
      </c>
    </row>
    <row r="6015" spans="1:1">
      <c r="A6015" s="27">
        <v>343</v>
      </c>
    </row>
    <row r="6016" spans="1:1">
      <c r="A6016" s="27">
        <v>0.21</v>
      </c>
    </row>
    <row r="6017" spans="1:1">
      <c r="A6017" s="27">
        <v>0</v>
      </c>
    </row>
    <row r="6018" spans="1:1">
      <c r="A6018" s="27">
        <v>1</v>
      </c>
    </row>
    <row r="6019" spans="1:1">
      <c r="A6019" s="27">
        <v>7</v>
      </c>
    </row>
    <row r="6020" spans="1:1">
      <c r="A6020" s="27">
        <v>8</v>
      </c>
    </row>
    <row r="6021" spans="1:1">
      <c r="A6021" s="27">
        <v>7</v>
      </c>
    </row>
    <row r="6022" spans="1:1">
      <c r="A6022" s="27">
        <v>3</v>
      </c>
    </row>
    <row r="6023" spans="1:1">
      <c r="A6023" s="27">
        <v>825</v>
      </c>
    </row>
    <row r="6024" spans="1:1">
      <c r="A6024" s="27">
        <v>7.1</v>
      </c>
    </row>
    <row r="6025" spans="1:1">
      <c r="A6025" s="29">
        <v>0.55138888888888882</v>
      </c>
    </row>
    <row r="6026" spans="1:1">
      <c r="A6026" s="27">
        <v>19.8</v>
      </c>
    </row>
    <row r="6027" spans="1:1">
      <c r="A6027" s="28">
        <v>52.7</v>
      </c>
    </row>
    <row r="6028" spans="1:1">
      <c r="A6028" s="25">
        <v>288</v>
      </c>
    </row>
    <row r="6029" spans="1:1" ht="30">
      <c r="A6029" s="26" t="s">
        <v>698</v>
      </c>
    </row>
    <row r="6030" spans="1:1">
      <c r="A6030" s="27" t="s">
        <v>653</v>
      </c>
    </row>
    <row r="6031" spans="1:1">
      <c r="A6031" s="27">
        <v>296</v>
      </c>
    </row>
    <row r="6032" spans="1:1">
      <c r="A6032" s="27">
        <v>44</v>
      </c>
    </row>
    <row r="6033" spans="1:1">
      <c r="A6033" s="27">
        <v>105</v>
      </c>
    </row>
    <row r="6034" spans="1:1">
      <c r="A6034" s="27">
        <v>149</v>
      </c>
    </row>
    <row r="6035" spans="1:1">
      <c r="A6035" s="27">
        <v>24</v>
      </c>
    </row>
    <row r="6036" spans="1:1">
      <c r="A6036" s="27">
        <v>130</v>
      </c>
    </row>
    <row r="6037" spans="1:1">
      <c r="A6037" s="27">
        <v>0.5</v>
      </c>
    </row>
    <row r="6038" spans="1:1">
      <c r="A6038" s="27">
        <v>0</v>
      </c>
    </row>
    <row r="6039" spans="1:1">
      <c r="A6039" s="27">
        <v>9</v>
      </c>
    </row>
    <row r="6040" spans="1:1">
      <c r="A6040" s="27">
        <v>1</v>
      </c>
    </row>
    <row r="6041" spans="1:1">
      <c r="A6041" s="27">
        <v>4</v>
      </c>
    </row>
    <row r="6042" spans="1:1">
      <c r="A6042" s="27">
        <v>7</v>
      </c>
    </row>
    <row r="6043" spans="1:1">
      <c r="A6043" s="27">
        <v>1</v>
      </c>
    </row>
    <row r="6044" spans="1:1">
      <c r="A6044" s="27">
        <v>473</v>
      </c>
    </row>
    <row r="6045" spans="1:1">
      <c r="A6045" s="27">
        <v>9.3000000000000007</v>
      </c>
    </row>
    <row r="6046" spans="1:1">
      <c r="A6046" s="29">
        <v>0.66875000000000007</v>
      </c>
    </row>
    <row r="6047" spans="1:1">
      <c r="A6047" s="27">
        <v>22.6</v>
      </c>
    </row>
    <row r="6048" spans="1:1">
      <c r="A6048" s="28">
        <v>52.9</v>
      </c>
    </row>
    <row r="6049" spans="1:1">
      <c r="A6049" s="25">
        <v>289</v>
      </c>
    </row>
    <row r="6050" spans="1:1" ht="45">
      <c r="A6050" s="26" t="s">
        <v>433</v>
      </c>
    </row>
    <row r="6051" spans="1:1">
      <c r="A6051" s="27" t="s">
        <v>44</v>
      </c>
    </row>
    <row r="6052" spans="1:1">
      <c r="A6052" s="27">
        <v>191</v>
      </c>
    </row>
    <row r="6053" spans="1:1">
      <c r="A6053" s="27">
        <v>74</v>
      </c>
    </row>
    <row r="6054" spans="1:1">
      <c r="A6054" s="27">
        <v>73</v>
      </c>
    </row>
    <row r="6055" spans="1:1">
      <c r="A6055" s="27">
        <v>147</v>
      </c>
    </row>
    <row r="6056" spans="1:1">
      <c r="A6056" s="27">
        <v>11</v>
      </c>
    </row>
    <row r="6057" spans="1:1">
      <c r="A6057" s="27">
        <v>30</v>
      </c>
    </row>
    <row r="6058" spans="1:1">
      <c r="A6058" s="27">
        <v>0.77</v>
      </c>
    </row>
    <row r="6059" spans="1:1">
      <c r="A6059" s="27">
        <v>22</v>
      </c>
    </row>
    <row r="6060" spans="1:1">
      <c r="A6060" s="27">
        <v>41</v>
      </c>
    </row>
    <row r="6061" spans="1:1">
      <c r="A6061" s="27">
        <v>0</v>
      </c>
    </row>
    <row r="6062" spans="1:1">
      <c r="A6062" s="27">
        <v>0</v>
      </c>
    </row>
    <row r="6063" spans="1:1">
      <c r="A6063" s="27">
        <v>4</v>
      </c>
    </row>
    <row r="6064" spans="1:1">
      <c r="A6064" s="27">
        <v>1</v>
      </c>
    </row>
    <row r="6065" spans="1:1">
      <c r="A6065" s="27">
        <v>478</v>
      </c>
    </row>
    <row r="6066" spans="1:1">
      <c r="A6066" s="27">
        <v>15.5</v>
      </c>
    </row>
    <row r="6067" spans="1:1">
      <c r="A6067" s="29">
        <v>0.68611111111111101</v>
      </c>
    </row>
    <row r="6068" spans="1:1">
      <c r="A6068" s="27">
        <v>19.7</v>
      </c>
    </row>
    <row r="6069" spans="1:1">
      <c r="A6069" s="28">
        <v>43.5</v>
      </c>
    </row>
    <row r="6070" spans="1:1">
      <c r="A6070" s="25">
        <v>290</v>
      </c>
    </row>
    <row r="6071" spans="1:1" ht="30">
      <c r="A6071" s="26" t="s">
        <v>131</v>
      </c>
    </row>
    <row r="6072" spans="1:1">
      <c r="A6072" s="27" t="s">
        <v>42</v>
      </c>
    </row>
    <row r="6073" spans="1:1">
      <c r="A6073" s="27">
        <v>745</v>
      </c>
    </row>
    <row r="6074" spans="1:1">
      <c r="A6074" s="27">
        <v>31</v>
      </c>
    </row>
    <row r="6075" spans="1:1">
      <c r="A6075" s="27">
        <v>115</v>
      </c>
    </row>
    <row r="6076" spans="1:1">
      <c r="A6076" s="27">
        <v>146</v>
      </c>
    </row>
    <row r="6077" spans="1:1">
      <c r="A6077" s="27">
        <v>-58</v>
      </c>
    </row>
    <row r="6078" spans="1:1">
      <c r="A6078" s="27">
        <v>556</v>
      </c>
    </row>
    <row r="6079" spans="1:1">
      <c r="A6079" s="27">
        <v>0.2</v>
      </c>
    </row>
    <row r="6080" spans="1:1">
      <c r="A6080" s="27">
        <v>2</v>
      </c>
    </row>
    <row r="6081" spans="1:1">
      <c r="A6081" s="27">
        <v>3</v>
      </c>
    </row>
    <row r="6082" spans="1:1">
      <c r="A6082" s="27">
        <v>0</v>
      </c>
    </row>
    <row r="6083" spans="1:1">
      <c r="A6083" s="27">
        <v>3</v>
      </c>
    </row>
    <row r="6084" spans="1:1">
      <c r="A6084" s="27">
        <v>2</v>
      </c>
    </row>
    <row r="6085" spans="1:1">
      <c r="A6085" s="27">
        <v>0</v>
      </c>
    </row>
    <row r="6086" spans="1:1">
      <c r="A6086" s="27">
        <v>906</v>
      </c>
    </row>
    <row r="6087" spans="1:1">
      <c r="A6087" s="27">
        <v>3.4</v>
      </c>
    </row>
    <row r="6088" spans="1:1">
      <c r="A6088" s="29">
        <v>0.7583333333333333</v>
      </c>
    </row>
    <row r="6089" spans="1:1">
      <c r="A6089" s="27">
        <v>25.2</v>
      </c>
    </row>
    <row r="6090" spans="1:1">
      <c r="A6090" s="28">
        <v>50</v>
      </c>
    </row>
    <row r="6091" spans="1:1">
      <c r="A6091" s="25">
        <v>291</v>
      </c>
    </row>
    <row r="6092" spans="1:1" ht="45">
      <c r="A6092" s="26" t="s">
        <v>150</v>
      </c>
    </row>
    <row r="6093" spans="1:1">
      <c r="A6093" s="27" t="s">
        <v>44</v>
      </c>
    </row>
    <row r="6094" spans="1:1">
      <c r="A6094" s="27">
        <v>276</v>
      </c>
    </row>
    <row r="6095" spans="1:1">
      <c r="A6095" s="27">
        <v>78</v>
      </c>
    </row>
    <row r="6096" spans="1:1">
      <c r="A6096" s="27">
        <v>67</v>
      </c>
    </row>
    <row r="6097" spans="1:1">
      <c r="A6097" s="27">
        <v>145</v>
      </c>
    </row>
    <row r="6098" spans="1:1">
      <c r="A6098" s="27">
        <v>-61</v>
      </c>
    </row>
    <row r="6099" spans="1:1">
      <c r="A6099" s="27">
        <v>93</v>
      </c>
    </row>
    <row r="6100" spans="1:1">
      <c r="A6100" s="27">
        <v>0.53</v>
      </c>
    </row>
    <row r="6101" spans="1:1">
      <c r="A6101" s="27">
        <v>6</v>
      </c>
    </row>
    <row r="6102" spans="1:1">
      <c r="A6102" s="27">
        <v>21</v>
      </c>
    </row>
    <row r="6103" spans="1:1">
      <c r="A6103" s="27">
        <v>1</v>
      </c>
    </row>
    <row r="6104" spans="1:1">
      <c r="A6104" s="27">
        <v>1</v>
      </c>
    </row>
    <row r="6105" spans="1:1">
      <c r="A6105" s="27">
        <v>10</v>
      </c>
    </row>
    <row r="6106" spans="1:1">
      <c r="A6106" s="27">
        <v>4</v>
      </c>
    </row>
    <row r="6107" spans="1:1">
      <c r="A6107" s="27">
        <v>626</v>
      </c>
    </row>
    <row r="6108" spans="1:1">
      <c r="A6108" s="27">
        <v>12.5</v>
      </c>
    </row>
    <row r="6109" spans="1:1">
      <c r="A6109" s="29">
        <v>0.60972222222222217</v>
      </c>
    </row>
    <row r="6110" spans="1:1">
      <c r="A6110" s="27">
        <v>19.7</v>
      </c>
    </row>
    <row r="6111" spans="1:1">
      <c r="A6111" s="28">
        <v>42.8</v>
      </c>
    </row>
    <row r="6112" spans="1:1">
      <c r="A6112" s="25">
        <v>292</v>
      </c>
    </row>
    <row r="6113" spans="1:1" ht="30">
      <c r="A6113" s="26" t="s">
        <v>327</v>
      </c>
    </row>
    <row r="6114" spans="1:1">
      <c r="A6114" s="27" t="s">
        <v>43</v>
      </c>
    </row>
    <row r="6115" spans="1:1">
      <c r="A6115" s="27">
        <v>310</v>
      </c>
    </row>
    <row r="6116" spans="1:1">
      <c r="A6116" s="27">
        <v>57</v>
      </c>
    </row>
    <row r="6117" spans="1:1">
      <c r="A6117" s="27">
        <v>88</v>
      </c>
    </row>
    <row r="6118" spans="1:1">
      <c r="A6118" s="27">
        <v>145</v>
      </c>
    </row>
    <row r="6119" spans="1:1">
      <c r="A6119" s="27">
        <v>22</v>
      </c>
    </row>
    <row r="6120" spans="1:1">
      <c r="A6120" s="27">
        <v>76</v>
      </c>
    </row>
    <row r="6121" spans="1:1">
      <c r="A6121" s="27">
        <v>0.47</v>
      </c>
    </row>
    <row r="6122" spans="1:1">
      <c r="A6122" s="27">
        <v>10</v>
      </c>
    </row>
    <row r="6123" spans="1:1">
      <c r="A6123" s="27">
        <v>25</v>
      </c>
    </row>
    <row r="6124" spans="1:1">
      <c r="A6124" s="27">
        <v>0</v>
      </c>
    </row>
    <row r="6125" spans="1:1">
      <c r="A6125" s="27">
        <v>0</v>
      </c>
    </row>
    <row r="6126" spans="1:1">
      <c r="A6126" s="27">
        <v>8</v>
      </c>
    </row>
    <row r="6127" spans="1:1">
      <c r="A6127" s="27">
        <v>0</v>
      </c>
    </row>
    <row r="6128" spans="1:1">
      <c r="A6128" s="27">
        <v>500</v>
      </c>
    </row>
    <row r="6129" spans="1:1">
      <c r="A6129" s="27">
        <v>11.4</v>
      </c>
    </row>
    <row r="6130" spans="1:1">
      <c r="A6130" s="29">
        <v>0.60069444444444442</v>
      </c>
    </row>
    <row r="6131" spans="1:1">
      <c r="A6131" s="27">
        <v>19.899999999999999</v>
      </c>
    </row>
    <row r="6132" spans="1:1">
      <c r="A6132" s="28">
        <v>38.5</v>
      </c>
    </row>
    <row r="6133" spans="1:1">
      <c r="A6133" s="25">
        <v>293</v>
      </c>
    </row>
    <row r="6134" spans="1:1" ht="45">
      <c r="A6134" s="26" t="s">
        <v>1119</v>
      </c>
    </row>
    <row r="6135" spans="1:1">
      <c r="A6135" s="27" t="s">
        <v>42</v>
      </c>
    </row>
    <row r="6136" spans="1:1">
      <c r="A6136" s="27">
        <v>263</v>
      </c>
    </row>
    <row r="6137" spans="1:1">
      <c r="A6137" s="27">
        <v>44</v>
      </c>
    </row>
    <row r="6138" spans="1:1">
      <c r="A6138" s="27">
        <v>100</v>
      </c>
    </row>
    <row r="6139" spans="1:1">
      <c r="A6139" s="27">
        <v>144</v>
      </c>
    </row>
    <row r="6140" spans="1:1">
      <c r="A6140" s="27">
        <v>7</v>
      </c>
    </row>
    <row r="6141" spans="1:1">
      <c r="A6141" s="27">
        <v>56</v>
      </c>
    </row>
    <row r="6142" spans="1:1">
      <c r="A6142" s="27">
        <v>0.55000000000000004</v>
      </c>
    </row>
    <row r="6143" spans="1:1">
      <c r="A6143" s="27">
        <v>11</v>
      </c>
    </row>
    <row r="6144" spans="1:1">
      <c r="A6144" s="27">
        <v>53</v>
      </c>
    </row>
    <row r="6145" spans="1:1">
      <c r="A6145" s="27">
        <v>0</v>
      </c>
    </row>
    <row r="6146" spans="1:1">
      <c r="A6146" s="27">
        <v>0</v>
      </c>
    </row>
    <row r="6147" spans="1:1">
      <c r="A6147" s="27">
        <v>6</v>
      </c>
    </row>
    <row r="6148" spans="1:1">
      <c r="A6148" s="27">
        <v>3</v>
      </c>
    </row>
    <row r="6149" spans="1:1">
      <c r="A6149" s="27">
        <v>628</v>
      </c>
    </row>
    <row r="6150" spans="1:1">
      <c r="A6150" s="27">
        <v>7</v>
      </c>
    </row>
    <row r="6151" spans="1:1">
      <c r="A6151" s="29">
        <v>0.92499999999999993</v>
      </c>
    </row>
    <row r="6152" spans="1:1">
      <c r="A6152" s="27">
        <v>27</v>
      </c>
    </row>
    <row r="6153" spans="1:1">
      <c r="A6153" s="28">
        <v>0</v>
      </c>
    </row>
    <row r="6154" spans="1:1">
      <c r="A6154" s="25">
        <v>294</v>
      </c>
    </row>
    <row r="6155" spans="1:1" ht="30">
      <c r="A6155" s="26" t="s">
        <v>1149</v>
      </c>
    </row>
    <row r="6156" spans="1:1">
      <c r="A6156" s="27" t="s">
        <v>42</v>
      </c>
    </row>
    <row r="6157" spans="1:1">
      <c r="A6157" s="27">
        <v>352</v>
      </c>
    </row>
    <row r="6158" spans="1:1">
      <c r="A6158" s="27">
        <v>31</v>
      </c>
    </row>
    <row r="6159" spans="1:1">
      <c r="A6159" s="27">
        <v>112</v>
      </c>
    </row>
    <row r="6160" spans="1:1">
      <c r="A6160" s="27">
        <v>143</v>
      </c>
    </row>
    <row r="6161" spans="1:1">
      <c r="A6161" s="27">
        <v>50</v>
      </c>
    </row>
    <row r="6162" spans="1:1">
      <c r="A6162" s="27">
        <v>97</v>
      </c>
    </row>
    <row r="6163" spans="1:1">
      <c r="A6163" s="27">
        <v>0.41</v>
      </c>
    </row>
    <row r="6164" spans="1:1">
      <c r="A6164" s="27">
        <v>13</v>
      </c>
    </row>
    <row r="6165" spans="1:1">
      <c r="A6165" s="27">
        <v>36</v>
      </c>
    </row>
    <row r="6166" spans="1:1">
      <c r="A6166" s="27">
        <v>0</v>
      </c>
    </row>
    <row r="6167" spans="1:1">
      <c r="A6167" s="27">
        <v>3</v>
      </c>
    </row>
    <row r="6168" spans="1:1">
      <c r="A6168" s="27">
        <v>8</v>
      </c>
    </row>
    <row r="6169" spans="1:1">
      <c r="A6169" s="27">
        <v>1</v>
      </c>
    </row>
    <row r="6170" spans="1:1">
      <c r="A6170" s="27">
        <v>808</v>
      </c>
    </row>
    <row r="6171" spans="1:1">
      <c r="A6171" s="27">
        <v>3.8</v>
      </c>
    </row>
    <row r="6172" spans="1:1">
      <c r="A6172" s="29">
        <v>0.90138888888888891</v>
      </c>
    </row>
    <row r="6173" spans="1:1">
      <c r="A6173" s="27">
        <v>27.9</v>
      </c>
    </row>
    <row r="6174" spans="1:1">
      <c r="A6174" s="28">
        <v>0</v>
      </c>
    </row>
    <row r="6175" spans="1:1">
      <c r="A6175" s="25">
        <v>295</v>
      </c>
    </row>
    <row r="6176" spans="1:1" ht="30">
      <c r="A6176" s="26" t="s">
        <v>509</v>
      </c>
    </row>
    <row r="6177" spans="1:1">
      <c r="A6177" s="27" t="s">
        <v>43</v>
      </c>
    </row>
    <row r="6178" spans="1:1">
      <c r="A6178" s="27">
        <v>169</v>
      </c>
    </row>
    <row r="6179" spans="1:1">
      <c r="A6179" s="27">
        <v>70</v>
      </c>
    </row>
    <row r="6180" spans="1:1">
      <c r="A6180" s="27">
        <v>72</v>
      </c>
    </row>
    <row r="6181" spans="1:1">
      <c r="A6181" s="27">
        <v>142</v>
      </c>
    </row>
    <row r="6182" spans="1:1">
      <c r="A6182" s="27">
        <v>-7</v>
      </c>
    </row>
    <row r="6183" spans="1:1">
      <c r="A6183" s="27">
        <v>50</v>
      </c>
    </row>
    <row r="6184" spans="1:1">
      <c r="A6184" s="27">
        <v>0.84</v>
      </c>
    </row>
    <row r="6185" spans="1:1">
      <c r="A6185" s="27">
        <v>23</v>
      </c>
    </row>
    <row r="6186" spans="1:1">
      <c r="A6186" s="27">
        <v>52</v>
      </c>
    </row>
    <row r="6187" spans="1:1">
      <c r="A6187" s="27">
        <v>0</v>
      </c>
    </row>
    <row r="6188" spans="1:1">
      <c r="A6188" s="27">
        <v>0</v>
      </c>
    </row>
    <row r="6189" spans="1:1">
      <c r="A6189" s="27">
        <v>10</v>
      </c>
    </row>
    <row r="6190" spans="1:1">
      <c r="A6190" s="27">
        <v>1</v>
      </c>
    </row>
    <row r="6191" spans="1:1">
      <c r="A6191" s="27">
        <v>500</v>
      </c>
    </row>
    <row r="6192" spans="1:1">
      <c r="A6192" s="27">
        <v>14</v>
      </c>
    </row>
    <row r="6193" spans="1:1">
      <c r="A6193" s="29">
        <v>0.76944444444444438</v>
      </c>
    </row>
    <row r="6194" spans="1:1">
      <c r="A6194" s="27">
        <v>22.9</v>
      </c>
    </row>
    <row r="6195" spans="1:1">
      <c r="A6195" s="28">
        <v>36.4</v>
      </c>
    </row>
    <row r="6196" spans="1:1">
      <c r="A6196" s="25">
        <v>296</v>
      </c>
    </row>
    <row r="6197" spans="1:1" ht="30">
      <c r="A6197" s="26" t="s">
        <v>888</v>
      </c>
    </row>
    <row r="6198" spans="1:1">
      <c r="A6198" s="27" t="s">
        <v>44</v>
      </c>
    </row>
    <row r="6199" spans="1:1">
      <c r="A6199" s="27">
        <v>429</v>
      </c>
    </row>
    <row r="6200" spans="1:1">
      <c r="A6200" s="27">
        <v>59</v>
      </c>
    </row>
    <row r="6201" spans="1:1">
      <c r="A6201" s="27">
        <v>83</v>
      </c>
    </row>
    <row r="6202" spans="1:1">
      <c r="A6202" s="27">
        <v>142</v>
      </c>
    </row>
    <row r="6203" spans="1:1">
      <c r="A6203" s="27">
        <v>-24</v>
      </c>
    </row>
    <row r="6204" spans="1:1">
      <c r="A6204" s="27">
        <v>78</v>
      </c>
    </row>
    <row r="6205" spans="1:1">
      <c r="A6205" s="27">
        <v>0.33</v>
      </c>
    </row>
    <row r="6206" spans="1:1">
      <c r="A6206" s="27">
        <v>2</v>
      </c>
    </row>
    <row r="6207" spans="1:1">
      <c r="A6207" s="27">
        <v>9</v>
      </c>
    </row>
    <row r="6208" spans="1:1">
      <c r="A6208" s="27">
        <v>5</v>
      </c>
    </row>
    <row r="6209" spans="1:1">
      <c r="A6209" s="27">
        <v>9</v>
      </c>
    </row>
    <row r="6210" spans="1:1">
      <c r="A6210" s="27">
        <v>8</v>
      </c>
    </row>
    <row r="6211" spans="1:1">
      <c r="A6211" s="27">
        <v>0</v>
      </c>
    </row>
    <row r="6212" spans="1:1">
      <c r="A6212" s="27">
        <v>640</v>
      </c>
    </row>
    <row r="6213" spans="1:1">
      <c r="A6213" s="27">
        <v>9.1999999999999993</v>
      </c>
    </row>
    <row r="6214" spans="1:1">
      <c r="A6214" s="29">
        <v>0.59791666666666665</v>
      </c>
    </row>
    <row r="6215" spans="1:1">
      <c r="A6215" s="27">
        <v>20.5</v>
      </c>
    </row>
    <row r="6216" spans="1:1">
      <c r="A6216" s="28">
        <v>36.1</v>
      </c>
    </row>
    <row r="6217" spans="1:1">
      <c r="A6217" s="25">
        <v>297</v>
      </c>
    </row>
    <row r="6218" spans="1:1" ht="30">
      <c r="A6218" s="26" t="s">
        <v>765</v>
      </c>
    </row>
    <row r="6219" spans="1:1">
      <c r="A6219" s="27" t="s">
        <v>44</v>
      </c>
    </row>
    <row r="6220" spans="1:1">
      <c r="A6220" s="27">
        <v>440</v>
      </c>
    </row>
    <row r="6221" spans="1:1">
      <c r="A6221" s="27">
        <v>73</v>
      </c>
    </row>
    <row r="6222" spans="1:1">
      <c r="A6222" s="27">
        <v>68</v>
      </c>
    </row>
    <row r="6223" spans="1:1">
      <c r="A6223" s="27">
        <v>141</v>
      </c>
    </row>
    <row r="6224" spans="1:1">
      <c r="A6224" s="27">
        <v>14</v>
      </c>
    </row>
    <row r="6225" spans="1:1">
      <c r="A6225" s="27">
        <v>174</v>
      </c>
    </row>
    <row r="6226" spans="1:1">
      <c r="A6226" s="27">
        <v>0.32</v>
      </c>
    </row>
    <row r="6227" spans="1:1">
      <c r="A6227" s="27">
        <v>4</v>
      </c>
    </row>
    <row r="6228" spans="1:1">
      <c r="A6228" s="27">
        <v>5</v>
      </c>
    </row>
    <row r="6229" spans="1:1">
      <c r="A6229" s="27">
        <v>2</v>
      </c>
    </row>
    <row r="6230" spans="1:1">
      <c r="A6230" s="27">
        <v>2</v>
      </c>
    </row>
    <row r="6231" spans="1:1">
      <c r="A6231" s="27">
        <v>17</v>
      </c>
    </row>
    <row r="6232" spans="1:1">
      <c r="A6232" s="27">
        <v>0</v>
      </c>
    </row>
    <row r="6233" spans="1:1">
      <c r="A6233" s="27">
        <v>619</v>
      </c>
    </row>
    <row r="6234" spans="1:1">
      <c r="A6234" s="27">
        <v>11.8</v>
      </c>
    </row>
    <row r="6235" spans="1:1">
      <c r="A6235" s="29">
        <v>0.54999999999999993</v>
      </c>
    </row>
    <row r="6236" spans="1:1">
      <c r="A6236" s="27">
        <v>19</v>
      </c>
    </row>
    <row r="6237" spans="1:1">
      <c r="A6237" s="28">
        <v>48.8</v>
      </c>
    </row>
    <row r="6238" spans="1:1">
      <c r="A6238" s="25">
        <v>298</v>
      </c>
    </row>
    <row r="6239" spans="1:1" ht="30">
      <c r="A6239" s="26" t="s">
        <v>470</v>
      </c>
    </row>
    <row r="6240" spans="1:1">
      <c r="A6240" s="27" t="s">
        <v>42</v>
      </c>
    </row>
    <row r="6241" spans="1:1">
      <c r="A6241" s="27">
        <v>346</v>
      </c>
    </row>
    <row r="6242" spans="1:1">
      <c r="A6242" s="27">
        <v>31</v>
      </c>
    </row>
    <row r="6243" spans="1:1">
      <c r="A6243" s="27">
        <v>110</v>
      </c>
    </row>
    <row r="6244" spans="1:1">
      <c r="A6244" s="27">
        <v>141</v>
      </c>
    </row>
    <row r="6245" spans="1:1">
      <c r="A6245" s="27">
        <v>-62</v>
      </c>
    </row>
    <row r="6246" spans="1:1">
      <c r="A6246" s="27">
        <v>56</v>
      </c>
    </row>
    <row r="6247" spans="1:1">
      <c r="A6247" s="27">
        <v>0.41</v>
      </c>
    </row>
    <row r="6248" spans="1:1">
      <c r="A6248" s="27">
        <v>6</v>
      </c>
    </row>
    <row r="6249" spans="1:1">
      <c r="A6249" s="27">
        <v>49</v>
      </c>
    </row>
    <row r="6250" spans="1:1">
      <c r="A6250" s="27">
        <v>1</v>
      </c>
    </row>
    <row r="6251" spans="1:1">
      <c r="A6251" s="27">
        <v>2</v>
      </c>
    </row>
    <row r="6252" spans="1:1">
      <c r="A6252" s="27">
        <v>7</v>
      </c>
    </row>
    <row r="6253" spans="1:1">
      <c r="A6253" s="27">
        <v>2</v>
      </c>
    </row>
    <row r="6254" spans="1:1">
      <c r="A6254" s="27">
        <v>803</v>
      </c>
    </row>
    <row r="6255" spans="1:1">
      <c r="A6255" s="27">
        <v>3.9</v>
      </c>
    </row>
    <row r="6256" spans="1:1">
      <c r="A6256" s="29">
        <v>0.94236111111111109</v>
      </c>
    </row>
    <row r="6257" spans="1:1">
      <c r="A6257" s="27">
        <v>27.2</v>
      </c>
    </row>
    <row r="6258" spans="1:1">
      <c r="A6258" s="28">
        <v>0</v>
      </c>
    </row>
    <row r="6259" spans="1:1">
      <c r="A6259" s="25">
        <v>299</v>
      </c>
    </row>
    <row r="6260" spans="1:1" ht="30">
      <c r="A6260" s="26" t="s">
        <v>919</v>
      </c>
    </row>
    <row r="6261" spans="1:1">
      <c r="A6261" s="27" t="s">
        <v>44</v>
      </c>
    </row>
    <row r="6262" spans="1:1">
      <c r="A6262" s="27">
        <v>316</v>
      </c>
    </row>
    <row r="6263" spans="1:1">
      <c r="A6263" s="27">
        <v>67</v>
      </c>
    </row>
    <row r="6264" spans="1:1">
      <c r="A6264" s="27">
        <v>72</v>
      </c>
    </row>
    <row r="6265" spans="1:1">
      <c r="A6265" s="27">
        <v>139</v>
      </c>
    </row>
    <row r="6266" spans="1:1">
      <c r="A6266" s="27">
        <v>-1</v>
      </c>
    </row>
    <row r="6267" spans="1:1">
      <c r="A6267" s="27">
        <v>109</v>
      </c>
    </row>
    <row r="6268" spans="1:1">
      <c r="A6268" s="27">
        <v>0.44</v>
      </c>
    </row>
    <row r="6269" spans="1:1">
      <c r="A6269" s="27">
        <v>20</v>
      </c>
    </row>
    <row r="6270" spans="1:1">
      <c r="A6270" s="27">
        <v>29</v>
      </c>
    </row>
    <row r="6271" spans="1:1">
      <c r="A6271" s="27">
        <v>0</v>
      </c>
    </row>
    <row r="6272" spans="1:1">
      <c r="A6272" s="27">
        <v>0</v>
      </c>
    </row>
    <row r="6273" spans="1:1">
      <c r="A6273" s="27">
        <v>8</v>
      </c>
    </row>
    <row r="6274" spans="1:1">
      <c r="A6274" s="27">
        <v>1</v>
      </c>
    </row>
    <row r="6275" spans="1:1">
      <c r="A6275" s="27">
        <v>515</v>
      </c>
    </row>
    <row r="6276" spans="1:1">
      <c r="A6276" s="27">
        <v>13</v>
      </c>
    </row>
    <row r="6277" spans="1:1">
      <c r="A6277" s="29">
        <v>0.56944444444444442</v>
      </c>
    </row>
    <row r="6278" spans="1:1">
      <c r="A6278" s="27">
        <v>19</v>
      </c>
    </row>
    <row r="6279" spans="1:1">
      <c r="A6279" s="28">
        <v>28.6</v>
      </c>
    </row>
    <row r="6280" spans="1:1">
      <c r="A6280" s="25">
        <v>300</v>
      </c>
    </row>
    <row r="6281" spans="1:1" ht="30">
      <c r="A6281" s="26" t="s">
        <v>1141</v>
      </c>
    </row>
    <row r="6282" spans="1:1">
      <c r="A6282" s="27" t="s">
        <v>42</v>
      </c>
    </row>
    <row r="6283" spans="1:1">
      <c r="A6283" s="27">
        <v>388</v>
      </c>
    </row>
    <row r="6284" spans="1:1">
      <c r="A6284" s="27">
        <v>32</v>
      </c>
    </row>
    <row r="6285" spans="1:1">
      <c r="A6285" s="27">
        <v>107</v>
      </c>
    </row>
    <row r="6286" spans="1:1">
      <c r="A6286" s="27">
        <v>139</v>
      </c>
    </row>
    <row r="6287" spans="1:1">
      <c r="A6287" s="27">
        <v>-100</v>
      </c>
    </row>
    <row r="6288" spans="1:1">
      <c r="A6288" s="27">
        <v>225</v>
      </c>
    </row>
    <row r="6289" spans="1:1">
      <c r="A6289" s="27">
        <v>0.36</v>
      </c>
    </row>
    <row r="6290" spans="1:1">
      <c r="A6290" s="27">
        <v>3</v>
      </c>
    </row>
    <row r="6291" spans="1:1">
      <c r="A6291" s="27">
        <v>41</v>
      </c>
    </row>
    <row r="6292" spans="1:1">
      <c r="A6292" s="27">
        <v>0</v>
      </c>
    </row>
    <row r="6293" spans="1:1">
      <c r="A6293" s="27">
        <v>1</v>
      </c>
    </row>
    <row r="6294" spans="1:1">
      <c r="A6294" s="27">
        <v>4</v>
      </c>
    </row>
    <row r="6295" spans="1:1">
      <c r="A6295" s="27">
        <v>0</v>
      </c>
    </row>
    <row r="6296" spans="1:1">
      <c r="A6296" s="27">
        <v>610</v>
      </c>
    </row>
    <row r="6297" spans="1:1">
      <c r="A6297" s="27">
        <v>5.2</v>
      </c>
    </row>
    <row r="6298" spans="1:1">
      <c r="A6298" s="29">
        <v>0.85277777777777775</v>
      </c>
    </row>
    <row r="6299" spans="1:1">
      <c r="A6299" s="27">
        <v>25.7</v>
      </c>
    </row>
    <row r="6300" spans="1:1">
      <c r="A6300" s="28">
        <v>0</v>
      </c>
    </row>
    <row r="6301" spans="1:1">
      <c r="A6301" s="25">
        <v>301</v>
      </c>
    </row>
    <row r="6302" spans="1:1" ht="30">
      <c r="A6302" s="26" t="s">
        <v>499</v>
      </c>
    </row>
    <row r="6303" spans="1:1">
      <c r="A6303" s="27" t="s">
        <v>44</v>
      </c>
    </row>
    <row r="6304" spans="1:1">
      <c r="A6304" s="27">
        <v>291</v>
      </c>
    </row>
    <row r="6305" spans="1:1">
      <c r="A6305" s="27">
        <v>66</v>
      </c>
    </row>
    <row r="6306" spans="1:1">
      <c r="A6306" s="27">
        <v>72</v>
      </c>
    </row>
    <row r="6307" spans="1:1">
      <c r="A6307" s="27">
        <v>138</v>
      </c>
    </row>
    <row r="6308" spans="1:1">
      <c r="A6308" s="27">
        <v>-33</v>
      </c>
    </row>
    <row r="6309" spans="1:1">
      <c r="A6309" s="27">
        <v>78</v>
      </c>
    </row>
    <row r="6310" spans="1:1">
      <c r="A6310" s="27">
        <v>0.47</v>
      </c>
    </row>
    <row r="6311" spans="1:1">
      <c r="A6311" s="27">
        <v>15</v>
      </c>
    </row>
    <row r="6312" spans="1:1">
      <c r="A6312" s="27">
        <v>35</v>
      </c>
    </row>
    <row r="6313" spans="1:1">
      <c r="A6313" s="27">
        <v>0</v>
      </c>
    </row>
    <row r="6314" spans="1:1">
      <c r="A6314" s="27">
        <v>0</v>
      </c>
    </row>
    <row r="6315" spans="1:1">
      <c r="A6315" s="27">
        <v>8</v>
      </c>
    </row>
    <row r="6316" spans="1:1">
      <c r="A6316" s="27">
        <v>1</v>
      </c>
    </row>
    <row r="6317" spans="1:1">
      <c r="A6317" s="27">
        <v>437</v>
      </c>
    </row>
    <row r="6318" spans="1:1">
      <c r="A6318" s="27">
        <v>15.1</v>
      </c>
    </row>
    <row r="6319" spans="1:1">
      <c r="A6319" s="29">
        <v>0.59652777777777777</v>
      </c>
    </row>
    <row r="6320" spans="1:1">
      <c r="A6320" s="27">
        <v>19.7</v>
      </c>
    </row>
    <row r="6321" spans="1:1">
      <c r="A6321" s="28">
        <v>28.6</v>
      </c>
    </row>
    <row r="6322" spans="1:1">
      <c r="A6322" s="25">
        <v>302</v>
      </c>
    </row>
    <row r="6323" spans="1:1" ht="30">
      <c r="A6323" s="26" t="s">
        <v>866</v>
      </c>
    </row>
    <row r="6324" spans="1:1">
      <c r="A6324" s="27" t="s">
        <v>653</v>
      </c>
    </row>
    <row r="6325" spans="1:1">
      <c r="A6325" s="27">
        <v>396</v>
      </c>
    </row>
    <row r="6326" spans="1:1">
      <c r="A6326" s="27">
        <v>58</v>
      </c>
    </row>
    <row r="6327" spans="1:1">
      <c r="A6327" s="27">
        <v>80</v>
      </c>
    </row>
    <row r="6328" spans="1:1">
      <c r="A6328" s="27">
        <v>138</v>
      </c>
    </row>
    <row r="6329" spans="1:1">
      <c r="A6329" s="27">
        <v>-22</v>
      </c>
    </row>
    <row r="6330" spans="1:1">
      <c r="A6330" s="27">
        <v>172</v>
      </c>
    </row>
    <row r="6331" spans="1:1">
      <c r="A6331" s="27">
        <v>0.35</v>
      </c>
    </row>
    <row r="6332" spans="1:1">
      <c r="A6332" s="27">
        <v>9</v>
      </c>
    </row>
    <row r="6333" spans="1:1">
      <c r="A6333" s="27">
        <v>24</v>
      </c>
    </row>
    <row r="6334" spans="1:1">
      <c r="A6334" s="27">
        <v>3</v>
      </c>
    </row>
    <row r="6335" spans="1:1">
      <c r="A6335" s="27">
        <v>4</v>
      </c>
    </row>
    <row r="6336" spans="1:1">
      <c r="A6336" s="27">
        <v>9</v>
      </c>
    </row>
    <row r="6337" spans="1:1">
      <c r="A6337" s="27">
        <v>0</v>
      </c>
    </row>
    <row r="6338" spans="1:1">
      <c r="A6338" s="27">
        <v>955</v>
      </c>
    </row>
    <row r="6339" spans="1:1">
      <c r="A6339" s="27">
        <v>6.1</v>
      </c>
    </row>
    <row r="6340" spans="1:1">
      <c r="A6340" s="29">
        <v>0.61041666666666672</v>
      </c>
    </row>
    <row r="6341" spans="1:1">
      <c r="A6341" s="27">
        <v>19.899999999999999</v>
      </c>
    </row>
    <row r="6342" spans="1:1">
      <c r="A6342" s="28">
        <v>38.799999999999997</v>
      </c>
    </row>
    <row r="6343" spans="1:1">
      <c r="A6343" s="25">
        <v>303</v>
      </c>
    </row>
    <row r="6344" spans="1:1" ht="30">
      <c r="A6344" s="26" t="s">
        <v>640</v>
      </c>
    </row>
    <row r="6345" spans="1:1">
      <c r="A6345" s="27" t="s">
        <v>42</v>
      </c>
    </row>
    <row r="6346" spans="1:1">
      <c r="A6346" s="27">
        <v>775</v>
      </c>
    </row>
    <row r="6347" spans="1:1">
      <c r="A6347" s="27">
        <v>26</v>
      </c>
    </row>
    <row r="6348" spans="1:1">
      <c r="A6348" s="27">
        <v>112</v>
      </c>
    </row>
    <row r="6349" spans="1:1">
      <c r="A6349" s="27">
        <v>138</v>
      </c>
    </row>
    <row r="6350" spans="1:1">
      <c r="A6350" s="27">
        <v>-2</v>
      </c>
    </row>
    <row r="6351" spans="1:1">
      <c r="A6351" s="27">
        <v>621</v>
      </c>
    </row>
    <row r="6352" spans="1:1">
      <c r="A6352" s="27">
        <v>0.18</v>
      </c>
    </row>
    <row r="6353" spans="1:1">
      <c r="A6353" s="27">
        <v>0</v>
      </c>
    </row>
    <row r="6354" spans="1:1">
      <c r="A6354" s="27">
        <v>5</v>
      </c>
    </row>
    <row r="6355" spans="1:1">
      <c r="A6355" s="27">
        <v>0</v>
      </c>
    </row>
    <row r="6356" spans="1:1">
      <c r="A6356" s="27">
        <v>2</v>
      </c>
    </row>
    <row r="6357" spans="1:1">
      <c r="A6357" s="27">
        <v>6</v>
      </c>
    </row>
    <row r="6358" spans="1:1">
      <c r="A6358" s="27">
        <v>0</v>
      </c>
    </row>
    <row r="6359" spans="1:1">
      <c r="A6359" s="27">
        <v>770</v>
      </c>
    </row>
    <row r="6360" spans="1:1">
      <c r="A6360" s="27">
        <v>3.4</v>
      </c>
    </row>
    <row r="6361" spans="1:1">
      <c r="A6361" s="29">
        <v>0.7895833333333333</v>
      </c>
    </row>
    <row r="6362" spans="1:1">
      <c r="A6362" s="27">
        <v>25.1</v>
      </c>
    </row>
    <row r="6363" spans="1:1">
      <c r="A6363" s="28">
        <v>40</v>
      </c>
    </row>
    <row r="6364" spans="1:1">
      <c r="A6364" s="25">
        <v>304</v>
      </c>
    </row>
    <row r="6365" spans="1:1" ht="30">
      <c r="A6365" s="26" t="s">
        <v>806</v>
      </c>
    </row>
    <row r="6366" spans="1:1">
      <c r="A6366" s="27" t="s">
        <v>44</v>
      </c>
    </row>
    <row r="6367" spans="1:1">
      <c r="A6367" s="27">
        <v>286</v>
      </c>
    </row>
    <row r="6368" spans="1:1">
      <c r="A6368" s="27">
        <v>67</v>
      </c>
    </row>
    <row r="6369" spans="1:1">
      <c r="A6369" s="27">
        <v>69</v>
      </c>
    </row>
    <row r="6370" spans="1:1">
      <c r="A6370" s="27">
        <v>136</v>
      </c>
    </row>
    <row r="6371" spans="1:1">
      <c r="A6371" s="27">
        <v>15</v>
      </c>
    </row>
    <row r="6372" spans="1:1">
      <c r="A6372" s="27">
        <v>56</v>
      </c>
    </row>
    <row r="6373" spans="1:1">
      <c r="A6373" s="27">
        <v>0.48</v>
      </c>
    </row>
    <row r="6374" spans="1:1">
      <c r="A6374" s="27">
        <v>9</v>
      </c>
    </row>
    <row r="6375" spans="1:1">
      <c r="A6375" s="27">
        <v>16</v>
      </c>
    </row>
    <row r="6376" spans="1:1">
      <c r="A6376" s="27">
        <v>0</v>
      </c>
    </row>
    <row r="6377" spans="1:1">
      <c r="A6377" s="27">
        <v>0</v>
      </c>
    </row>
    <row r="6378" spans="1:1">
      <c r="A6378" s="27">
        <v>14</v>
      </c>
    </row>
    <row r="6379" spans="1:1">
      <c r="A6379" s="27">
        <v>3</v>
      </c>
    </row>
    <row r="6380" spans="1:1">
      <c r="A6380" s="27">
        <v>535</v>
      </c>
    </row>
    <row r="6381" spans="1:1">
      <c r="A6381" s="27">
        <v>12.5</v>
      </c>
    </row>
    <row r="6382" spans="1:1">
      <c r="A6382" s="29">
        <v>0.57777777777777783</v>
      </c>
    </row>
    <row r="6383" spans="1:1">
      <c r="A6383" s="27">
        <v>18.600000000000001</v>
      </c>
    </row>
    <row r="6384" spans="1:1">
      <c r="A6384" s="28">
        <v>45.3</v>
      </c>
    </row>
    <row r="6385" spans="1:1">
      <c r="A6385" s="25">
        <v>305</v>
      </c>
    </row>
    <row r="6386" spans="1:1" ht="30">
      <c r="A6386" s="26" t="s">
        <v>794</v>
      </c>
    </row>
    <row r="6387" spans="1:1">
      <c r="A6387" s="27" t="s">
        <v>653</v>
      </c>
    </row>
    <row r="6388" spans="1:1">
      <c r="A6388" s="27">
        <v>209</v>
      </c>
    </row>
    <row r="6389" spans="1:1">
      <c r="A6389" s="27">
        <v>59</v>
      </c>
    </row>
    <row r="6390" spans="1:1">
      <c r="A6390" s="27">
        <v>76</v>
      </c>
    </row>
    <row r="6391" spans="1:1">
      <c r="A6391" s="27">
        <v>135</v>
      </c>
    </row>
    <row r="6392" spans="1:1">
      <c r="A6392" s="27">
        <v>46</v>
      </c>
    </row>
    <row r="6393" spans="1:1">
      <c r="A6393" s="27">
        <v>147</v>
      </c>
    </row>
    <row r="6394" spans="1:1">
      <c r="A6394" s="27">
        <v>0.65</v>
      </c>
    </row>
    <row r="6395" spans="1:1">
      <c r="A6395" s="27">
        <v>13</v>
      </c>
    </row>
    <row r="6396" spans="1:1">
      <c r="A6396" s="27">
        <v>27</v>
      </c>
    </row>
    <row r="6397" spans="1:1">
      <c r="A6397" s="27">
        <v>3</v>
      </c>
    </row>
    <row r="6398" spans="1:1">
      <c r="A6398" s="27">
        <v>5</v>
      </c>
    </row>
    <row r="6399" spans="1:1">
      <c r="A6399" s="27">
        <v>14</v>
      </c>
    </row>
    <row r="6400" spans="1:1">
      <c r="A6400" s="27">
        <v>3</v>
      </c>
    </row>
    <row r="6401" spans="1:1">
      <c r="A6401" s="27">
        <v>341</v>
      </c>
    </row>
    <row r="6402" spans="1:1">
      <c r="A6402" s="27">
        <v>17.3</v>
      </c>
    </row>
    <row r="6403" spans="1:1">
      <c r="A6403" s="29">
        <v>0.65555555555555556</v>
      </c>
    </row>
    <row r="6404" spans="1:1">
      <c r="A6404" s="27">
        <v>20.2</v>
      </c>
    </row>
    <row r="6405" spans="1:1">
      <c r="A6405" s="28">
        <v>46.4</v>
      </c>
    </row>
    <row r="6406" spans="1:1">
      <c r="A6406" s="25">
        <v>306</v>
      </c>
    </row>
    <row r="6407" spans="1:1" ht="30">
      <c r="A6407" s="26" t="s">
        <v>877</v>
      </c>
    </row>
    <row r="6408" spans="1:1">
      <c r="A6408" s="27" t="s">
        <v>44</v>
      </c>
    </row>
    <row r="6409" spans="1:1">
      <c r="A6409" s="27">
        <v>333</v>
      </c>
    </row>
    <row r="6410" spans="1:1">
      <c r="A6410" s="27">
        <v>60</v>
      </c>
    </row>
    <row r="6411" spans="1:1">
      <c r="A6411" s="27">
        <v>74</v>
      </c>
    </row>
    <row r="6412" spans="1:1">
      <c r="A6412" s="27">
        <v>134</v>
      </c>
    </row>
    <row r="6413" spans="1:1">
      <c r="A6413" s="27">
        <v>2</v>
      </c>
    </row>
    <row r="6414" spans="1:1">
      <c r="A6414" s="27">
        <v>200</v>
      </c>
    </row>
    <row r="6415" spans="1:1">
      <c r="A6415" s="27">
        <v>0.4</v>
      </c>
    </row>
    <row r="6416" spans="1:1">
      <c r="A6416" s="27">
        <v>15</v>
      </c>
    </row>
    <row r="6417" spans="1:1">
      <c r="A6417" s="27">
        <v>26</v>
      </c>
    </row>
    <row r="6418" spans="1:1">
      <c r="A6418" s="27">
        <v>0</v>
      </c>
    </row>
    <row r="6419" spans="1:1">
      <c r="A6419" s="27">
        <v>0</v>
      </c>
    </row>
    <row r="6420" spans="1:1">
      <c r="A6420" s="27">
        <v>5</v>
      </c>
    </row>
    <row r="6421" spans="1:1">
      <c r="A6421" s="27">
        <v>0</v>
      </c>
    </row>
    <row r="6422" spans="1:1">
      <c r="A6422" s="27">
        <v>575</v>
      </c>
    </row>
    <row r="6423" spans="1:1">
      <c r="A6423" s="27">
        <v>10.4</v>
      </c>
    </row>
    <row r="6424" spans="1:1">
      <c r="A6424" s="29">
        <v>0.54166666666666663</v>
      </c>
    </row>
    <row r="6425" spans="1:1">
      <c r="A6425" s="27">
        <v>18.8</v>
      </c>
    </row>
    <row r="6426" spans="1:1">
      <c r="A6426" s="28">
        <v>37.700000000000003</v>
      </c>
    </row>
    <row r="6427" spans="1:1">
      <c r="A6427" s="25">
        <v>307</v>
      </c>
    </row>
    <row r="6428" spans="1:1" ht="45">
      <c r="A6428" s="26" t="s">
        <v>312</v>
      </c>
    </row>
    <row r="6429" spans="1:1">
      <c r="A6429" s="27" t="s">
        <v>42</v>
      </c>
    </row>
    <row r="6430" spans="1:1">
      <c r="A6430" s="27">
        <v>597</v>
      </c>
    </row>
    <row r="6431" spans="1:1">
      <c r="A6431" s="27">
        <v>29</v>
      </c>
    </row>
    <row r="6432" spans="1:1">
      <c r="A6432" s="27">
        <v>104</v>
      </c>
    </row>
    <row r="6433" spans="1:1">
      <c r="A6433" s="27">
        <v>133</v>
      </c>
    </row>
    <row r="6434" spans="1:1">
      <c r="A6434" s="27">
        <v>49</v>
      </c>
    </row>
    <row r="6435" spans="1:1">
      <c r="A6435" s="27">
        <v>165</v>
      </c>
    </row>
    <row r="6436" spans="1:1">
      <c r="A6436" s="27">
        <v>0.22</v>
      </c>
    </row>
    <row r="6437" spans="1:1">
      <c r="A6437" s="27">
        <v>2</v>
      </c>
    </row>
    <row r="6438" spans="1:1">
      <c r="A6438" s="27">
        <v>15</v>
      </c>
    </row>
    <row r="6439" spans="1:1">
      <c r="A6439" s="27">
        <v>0</v>
      </c>
    </row>
    <row r="6440" spans="1:1">
      <c r="A6440" s="27">
        <v>3</v>
      </c>
    </row>
    <row r="6441" spans="1:1">
      <c r="A6441" s="27">
        <v>5</v>
      </c>
    </row>
    <row r="6442" spans="1:1">
      <c r="A6442" s="27">
        <v>0</v>
      </c>
    </row>
    <row r="6443" spans="1:1">
      <c r="A6443" s="27">
        <v>505</v>
      </c>
    </row>
    <row r="6444" spans="1:1">
      <c r="A6444" s="27">
        <v>5.7</v>
      </c>
    </row>
    <row r="6445" spans="1:1">
      <c r="A6445" s="29">
        <v>0.76250000000000007</v>
      </c>
    </row>
    <row r="6446" spans="1:1">
      <c r="A6446" s="27">
        <v>25.9</v>
      </c>
    </row>
    <row r="6447" spans="1:1">
      <c r="A6447" s="28">
        <v>0</v>
      </c>
    </row>
    <row r="6448" spans="1:1">
      <c r="A6448" s="25">
        <v>308</v>
      </c>
    </row>
    <row r="6449" spans="1:1" ht="30">
      <c r="A6449" s="26" t="s">
        <v>680</v>
      </c>
    </row>
    <row r="6450" spans="1:1">
      <c r="A6450" s="27" t="s">
        <v>653</v>
      </c>
    </row>
    <row r="6451" spans="1:1">
      <c r="A6451" s="27">
        <v>548</v>
      </c>
    </row>
    <row r="6452" spans="1:1">
      <c r="A6452" s="27">
        <v>55</v>
      </c>
    </row>
    <row r="6453" spans="1:1">
      <c r="A6453" s="27">
        <v>77</v>
      </c>
    </row>
    <row r="6454" spans="1:1">
      <c r="A6454" s="27">
        <v>132</v>
      </c>
    </row>
    <row r="6455" spans="1:1">
      <c r="A6455" s="27">
        <v>1</v>
      </c>
    </row>
    <row r="6456" spans="1:1">
      <c r="A6456" s="27">
        <v>191</v>
      </c>
    </row>
    <row r="6457" spans="1:1">
      <c r="A6457" s="27">
        <v>0.24</v>
      </c>
    </row>
    <row r="6458" spans="1:1">
      <c r="A6458" s="27">
        <v>0</v>
      </c>
    </row>
    <row r="6459" spans="1:1">
      <c r="A6459" s="27">
        <v>0</v>
      </c>
    </row>
    <row r="6460" spans="1:1">
      <c r="A6460" s="27">
        <v>4</v>
      </c>
    </row>
    <row r="6461" spans="1:1">
      <c r="A6461" s="27">
        <v>8</v>
      </c>
    </row>
    <row r="6462" spans="1:1">
      <c r="A6462" s="27">
        <v>13</v>
      </c>
    </row>
    <row r="6463" spans="1:1">
      <c r="A6463" s="27">
        <v>1</v>
      </c>
    </row>
    <row r="6464" spans="1:1">
      <c r="A6464" s="27">
        <v>597</v>
      </c>
    </row>
    <row r="6465" spans="1:1">
      <c r="A6465" s="27">
        <v>9.1999999999999993</v>
      </c>
    </row>
    <row r="6466" spans="1:1">
      <c r="A6466" s="29">
        <v>0.52361111111111114</v>
      </c>
    </row>
    <row r="6467" spans="1:1">
      <c r="A6467" s="27">
        <v>18.2</v>
      </c>
    </row>
    <row r="6468" spans="1:1">
      <c r="A6468" s="28">
        <v>56.5</v>
      </c>
    </row>
    <row r="6469" spans="1:1">
      <c r="A6469" s="25">
        <v>309</v>
      </c>
    </row>
    <row r="6470" spans="1:1" ht="30">
      <c r="A6470" s="26" t="s">
        <v>113</v>
      </c>
    </row>
    <row r="6471" spans="1:1">
      <c r="A6471" s="27" t="s">
        <v>653</v>
      </c>
    </row>
    <row r="6472" spans="1:1">
      <c r="A6472" s="27">
        <v>412</v>
      </c>
    </row>
    <row r="6473" spans="1:1">
      <c r="A6473" s="27">
        <v>55</v>
      </c>
    </row>
    <row r="6474" spans="1:1">
      <c r="A6474" s="27">
        <v>77</v>
      </c>
    </row>
    <row r="6475" spans="1:1">
      <c r="A6475" s="27">
        <v>132</v>
      </c>
    </row>
    <row r="6476" spans="1:1">
      <c r="A6476" s="27">
        <v>-14</v>
      </c>
    </row>
    <row r="6477" spans="1:1">
      <c r="A6477" s="27">
        <v>104</v>
      </c>
    </row>
    <row r="6478" spans="1:1">
      <c r="A6478" s="27">
        <v>0.32</v>
      </c>
    </row>
    <row r="6479" spans="1:1">
      <c r="A6479" s="27">
        <v>4</v>
      </c>
    </row>
    <row r="6480" spans="1:1">
      <c r="A6480" s="27">
        <v>13</v>
      </c>
    </row>
    <row r="6481" spans="1:1">
      <c r="A6481" s="27">
        <v>4</v>
      </c>
    </row>
    <row r="6482" spans="1:1">
      <c r="A6482" s="27">
        <v>8</v>
      </c>
    </row>
    <row r="6483" spans="1:1">
      <c r="A6483" s="27">
        <v>8</v>
      </c>
    </row>
    <row r="6484" spans="1:1">
      <c r="A6484" s="27">
        <v>0</v>
      </c>
    </row>
    <row r="6485" spans="1:1">
      <c r="A6485" s="27">
        <v>782</v>
      </c>
    </row>
    <row r="6486" spans="1:1">
      <c r="A6486" s="27">
        <v>7</v>
      </c>
    </row>
    <row r="6487" spans="1:1">
      <c r="A6487" s="29">
        <v>0.55347222222222225</v>
      </c>
    </row>
    <row r="6488" spans="1:1">
      <c r="A6488" s="27">
        <v>18.899999999999999</v>
      </c>
    </row>
    <row r="6489" spans="1:1">
      <c r="A6489" s="28">
        <v>43.4</v>
      </c>
    </row>
    <row r="6490" spans="1:1">
      <c r="A6490" s="25">
        <v>310</v>
      </c>
    </row>
    <row r="6491" spans="1:1" ht="30">
      <c r="A6491" s="26" t="s">
        <v>1171</v>
      </c>
    </row>
    <row r="6492" spans="1:1">
      <c r="A6492" s="27" t="s">
        <v>42</v>
      </c>
    </row>
    <row r="6493" spans="1:1">
      <c r="A6493" s="27">
        <v>458</v>
      </c>
    </row>
    <row r="6494" spans="1:1">
      <c r="A6494" s="27">
        <v>41</v>
      </c>
    </row>
    <row r="6495" spans="1:1">
      <c r="A6495" s="27">
        <v>91</v>
      </c>
    </row>
    <row r="6496" spans="1:1">
      <c r="A6496" s="27">
        <v>132</v>
      </c>
    </row>
    <row r="6497" spans="1:1">
      <c r="A6497" s="27">
        <v>8</v>
      </c>
    </row>
    <row r="6498" spans="1:1">
      <c r="A6498" s="27">
        <v>141</v>
      </c>
    </row>
    <row r="6499" spans="1:1">
      <c r="A6499" s="27">
        <v>0.28999999999999998</v>
      </c>
    </row>
    <row r="6500" spans="1:1">
      <c r="A6500" s="27">
        <v>8</v>
      </c>
    </row>
    <row r="6501" spans="1:1">
      <c r="A6501" s="27">
        <v>22</v>
      </c>
    </row>
    <row r="6502" spans="1:1">
      <c r="A6502" s="27">
        <v>0</v>
      </c>
    </row>
    <row r="6503" spans="1:1">
      <c r="A6503" s="27">
        <v>5</v>
      </c>
    </row>
    <row r="6504" spans="1:1">
      <c r="A6504" s="27">
        <v>6</v>
      </c>
    </row>
    <row r="6505" spans="1:1">
      <c r="A6505" s="27">
        <v>1</v>
      </c>
    </row>
    <row r="6506" spans="1:1">
      <c r="A6506" s="27">
        <v>541</v>
      </c>
    </row>
    <row r="6507" spans="1:1">
      <c r="A6507" s="27">
        <v>7.6</v>
      </c>
    </row>
    <row r="6508" spans="1:1">
      <c r="A6508" s="29">
        <v>0.82291666666666663</v>
      </c>
    </row>
    <row r="6509" spans="1:1">
      <c r="A6509" s="27">
        <v>25.8</v>
      </c>
    </row>
    <row r="6510" spans="1:1">
      <c r="A6510" s="28">
        <v>0</v>
      </c>
    </row>
    <row r="6511" spans="1:1">
      <c r="A6511" s="25">
        <v>311</v>
      </c>
    </row>
    <row r="6512" spans="1:1" ht="30">
      <c r="A6512" s="26" t="s">
        <v>913</v>
      </c>
    </row>
    <row r="6513" spans="1:1">
      <c r="A6513" s="27" t="s">
        <v>43</v>
      </c>
    </row>
    <row r="6514" spans="1:1">
      <c r="A6514" s="27">
        <v>267</v>
      </c>
    </row>
    <row r="6515" spans="1:1">
      <c r="A6515" s="27">
        <v>60</v>
      </c>
    </row>
    <row r="6516" spans="1:1">
      <c r="A6516" s="27">
        <v>71</v>
      </c>
    </row>
    <row r="6517" spans="1:1">
      <c r="A6517" s="27">
        <v>131</v>
      </c>
    </row>
    <row r="6518" spans="1:1">
      <c r="A6518" s="27">
        <v>32</v>
      </c>
    </row>
    <row r="6519" spans="1:1">
      <c r="A6519" s="27">
        <v>78</v>
      </c>
    </row>
    <row r="6520" spans="1:1">
      <c r="A6520" s="27">
        <v>0.49</v>
      </c>
    </row>
    <row r="6521" spans="1:1">
      <c r="A6521" s="27">
        <v>4</v>
      </c>
    </row>
    <row r="6522" spans="1:1">
      <c r="A6522" s="27">
        <v>8</v>
      </c>
    </row>
    <row r="6523" spans="1:1">
      <c r="A6523" s="27">
        <v>5</v>
      </c>
    </row>
    <row r="6524" spans="1:1">
      <c r="A6524" s="27">
        <v>10</v>
      </c>
    </row>
    <row r="6525" spans="1:1">
      <c r="A6525" s="27">
        <v>10</v>
      </c>
    </row>
    <row r="6526" spans="1:1">
      <c r="A6526" s="27">
        <v>3</v>
      </c>
    </row>
    <row r="6527" spans="1:1">
      <c r="A6527" s="27">
        <v>525</v>
      </c>
    </row>
    <row r="6528" spans="1:1">
      <c r="A6528" s="27">
        <v>11.4</v>
      </c>
    </row>
    <row r="6529" spans="1:1">
      <c r="A6529" s="29">
        <v>0.6166666666666667</v>
      </c>
    </row>
    <row r="6530" spans="1:1">
      <c r="A6530" s="27">
        <v>21.4</v>
      </c>
    </row>
    <row r="6531" spans="1:1">
      <c r="A6531" s="28">
        <v>29.8</v>
      </c>
    </row>
    <row r="6532" spans="1:1">
      <c r="A6532" s="25">
        <v>312</v>
      </c>
    </row>
    <row r="6533" spans="1:1" ht="30">
      <c r="A6533" s="26" t="s">
        <v>549</v>
      </c>
    </row>
    <row r="6534" spans="1:1">
      <c r="A6534" s="27" t="s">
        <v>43</v>
      </c>
    </row>
    <row r="6535" spans="1:1">
      <c r="A6535" s="27">
        <v>243</v>
      </c>
    </row>
    <row r="6536" spans="1:1">
      <c r="A6536" s="27">
        <v>43</v>
      </c>
    </row>
    <row r="6537" spans="1:1">
      <c r="A6537" s="27">
        <v>88</v>
      </c>
    </row>
    <row r="6538" spans="1:1">
      <c r="A6538" s="27">
        <v>131</v>
      </c>
    </row>
    <row r="6539" spans="1:1">
      <c r="A6539" s="27">
        <v>-12</v>
      </c>
    </row>
    <row r="6540" spans="1:1">
      <c r="A6540" s="27">
        <v>108</v>
      </c>
    </row>
    <row r="6541" spans="1:1">
      <c r="A6541" s="27">
        <v>0.54</v>
      </c>
    </row>
    <row r="6542" spans="1:1">
      <c r="A6542" s="27">
        <v>7</v>
      </c>
    </row>
    <row r="6543" spans="1:1">
      <c r="A6543" s="27">
        <v>42</v>
      </c>
    </row>
    <row r="6544" spans="1:1">
      <c r="A6544" s="27">
        <v>0</v>
      </c>
    </row>
    <row r="6545" spans="1:1">
      <c r="A6545" s="27">
        <v>0</v>
      </c>
    </row>
    <row r="6546" spans="1:1">
      <c r="A6546" s="27">
        <v>11</v>
      </c>
    </row>
    <row r="6547" spans="1:1">
      <c r="A6547" s="27">
        <v>4</v>
      </c>
    </row>
    <row r="6548" spans="1:1">
      <c r="A6548" s="27">
        <v>426</v>
      </c>
    </row>
    <row r="6549" spans="1:1">
      <c r="A6549" s="27">
        <v>10.1</v>
      </c>
    </row>
    <row r="6550" spans="1:1">
      <c r="A6550" s="29">
        <v>0.59652777777777777</v>
      </c>
    </row>
    <row r="6551" spans="1:1">
      <c r="A6551" s="27">
        <v>19.2</v>
      </c>
    </row>
    <row r="6552" spans="1:1">
      <c r="A6552" s="28">
        <v>34.799999999999997</v>
      </c>
    </row>
    <row r="6553" spans="1:1">
      <c r="A6553" s="25">
        <v>313</v>
      </c>
    </row>
    <row r="6554" spans="1:1" ht="30">
      <c r="A6554" s="26" t="s">
        <v>490</v>
      </c>
    </row>
    <row r="6555" spans="1:1">
      <c r="A6555" s="27" t="s">
        <v>43</v>
      </c>
    </row>
    <row r="6556" spans="1:1">
      <c r="A6556" s="27">
        <v>196</v>
      </c>
    </row>
    <row r="6557" spans="1:1">
      <c r="A6557" s="27">
        <v>42</v>
      </c>
    </row>
    <row r="6558" spans="1:1">
      <c r="A6558" s="27">
        <v>89</v>
      </c>
    </row>
    <row r="6559" spans="1:1">
      <c r="A6559" s="27">
        <v>131</v>
      </c>
    </row>
    <row r="6560" spans="1:1">
      <c r="A6560" s="27">
        <v>-38</v>
      </c>
    </row>
    <row r="6561" spans="1:1">
      <c r="A6561" s="27">
        <v>56</v>
      </c>
    </row>
    <row r="6562" spans="1:1">
      <c r="A6562" s="27">
        <v>0.67</v>
      </c>
    </row>
    <row r="6563" spans="1:1">
      <c r="A6563" s="27">
        <v>8</v>
      </c>
    </row>
    <row r="6564" spans="1:1">
      <c r="A6564" s="27">
        <v>47</v>
      </c>
    </row>
    <row r="6565" spans="1:1">
      <c r="A6565" s="27">
        <v>0</v>
      </c>
    </row>
    <row r="6566" spans="1:1">
      <c r="A6566" s="27">
        <v>1</v>
      </c>
    </row>
    <row r="6567" spans="1:1">
      <c r="A6567" s="27">
        <v>8</v>
      </c>
    </row>
    <row r="6568" spans="1:1">
      <c r="A6568" s="27">
        <v>2</v>
      </c>
    </row>
    <row r="6569" spans="1:1">
      <c r="A6569" s="27">
        <v>490</v>
      </c>
    </row>
    <row r="6570" spans="1:1">
      <c r="A6570" s="27">
        <v>8.6</v>
      </c>
    </row>
    <row r="6571" spans="1:1">
      <c r="A6571" s="29">
        <v>0.74444444444444446</v>
      </c>
    </row>
    <row r="6572" spans="1:1">
      <c r="A6572" s="27">
        <v>22.9</v>
      </c>
    </row>
    <row r="6573" spans="1:1">
      <c r="A6573" s="28">
        <v>41</v>
      </c>
    </row>
    <row r="6574" spans="1:1">
      <c r="A6574" s="25">
        <v>314</v>
      </c>
    </row>
    <row r="6575" spans="1:1" ht="30">
      <c r="A6575" s="26" t="s">
        <v>246</v>
      </c>
    </row>
    <row r="6576" spans="1:1">
      <c r="A6576" s="27" t="s">
        <v>42</v>
      </c>
    </row>
    <row r="6577" spans="1:1">
      <c r="A6577" s="27">
        <v>337</v>
      </c>
    </row>
    <row r="6578" spans="1:1">
      <c r="A6578" s="27">
        <v>26</v>
      </c>
    </row>
    <row r="6579" spans="1:1">
      <c r="A6579" s="27">
        <v>105</v>
      </c>
    </row>
    <row r="6580" spans="1:1">
      <c r="A6580" s="27">
        <v>131</v>
      </c>
    </row>
    <row r="6581" spans="1:1">
      <c r="A6581" s="27">
        <v>40</v>
      </c>
    </row>
    <row r="6582" spans="1:1">
      <c r="A6582" s="27">
        <v>50</v>
      </c>
    </row>
    <row r="6583" spans="1:1">
      <c r="A6583" s="27">
        <v>0.39</v>
      </c>
    </row>
    <row r="6584" spans="1:1">
      <c r="A6584" s="27">
        <v>6</v>
      </c>
    </row>
    <row r="6585" spans="1:1">
      <c r="A6585" s="27">
        <v>17</v>
      </c>
    </row>
    <row r="6586" spans="1:1">
      <c r="A6586" s="27">
        <v>2</v>
      </c>
    </row>
    <row r="6587" spans="1:1">
      <c r="A6587" s="27">
        <v>7</v>
      </c>
    </row>
    <row r="6588" spans="1:1">
      <c r="A6588" s="27">
        <v>4</v>
      </c>
    </row>
    <row r="6589" spans="1:1">
      <c r="A6589" s="27">
        <v>2</v>
      </c>
    </row>
    <row r="6590" spans="1:1">
      <c r="A6590" s="27">
        <v>544</v>
      </c>
    </row>
    <row r="6591" spans="1:1">
      <c r="A6591" s="27">
        <v>4.8</v>
      </c>
    </row>
    <row r="6592" spans="1:1">
      <c r="A6592" s="29">
        <v>0.94097222222222221</v>
      </c>
    </row>
    <row r="6593" spans="1:1">
      <c r="A6593" s="27">
        <v>26.4</v>
      </c>
    </row>
    <row r="6594" spans="1:1">
      <c r="A6594" s="28">
        <v>0</v>
      </c>
    </row>
    <row r="6595" spans="1:1">
      <c r="A6595" s="25">
        <v>315</v>
      </c>
    </row>
    <row r="6596" spans="1:1" ht="45">
      <c r="A6596" s="26" t="s">
        <v>1157</v>
      </c>
    </row>
    <row r="6597" spans="1:1">
      <c r="A6597" s="27" t="s">
        <v>42</v>
      </c>
    </row>
    <row r="6598" spans="1:1">
      <c r="A6598" s="27">
        <v>539</v>
      </c>
    </row>
    <row r="6599" spans="1:1">
      <c r="A6599" s="27">
        <v>40</v>
      </c>
    </row>
    <row r="6600" spans="1:1">
      <c r="A6600" s="27">
        <v>90</v>
      </c>
    </row>
    <row r="6601" spans="1:1">
      <c r="A6601" s="27">
        <v>130</v>
      </c>
    </row>
    <row r="6602" spans="1:1">
      <c r="A6602" s="27">
        <v>-26</v>
      </c>
    </row>
    <row r="6603" spans="1:1">
      <c r="A6603" s="27">
        <v>215</v>
      </c>
    </row>
    <row r="6604" spans="1:1">
      <c r="A6604" s="27">
        <v>0.24</v>
      </c>
    </row>
    <row r="6605" spans="1:1">
      <c r="A6605" s="27">
        <v>4</v>
      </c>
    </row>
    <row r="6606" spans="1:1">
      <c r="A6606" s="27">
        <v>18</v>
      </c>
    </row>
    <row r="6607" spans="1:1">
      <c r="A6607" s="27">
        <v>0</v>
      </c>
    </row>
    <row r="6608" spans="1:1">
      <c r="A6608" s="27">
        <v>4</v>
      </c>
    </row>
    <row r="6609" spans="1:1">
      <c r="A6609" s="27">
        <v>8</v>
      </c>
    </row>
    <row r="6610" spans="1:1">
      <c r="A6610" s="27">
        <v>3</v>
      </c>
    </row>
    <row r="6611" spans="1:1">
      <c r="A6611" s="27">
        <v>752</v>
      </c>
    </row>
    <row r="6612" spans="1:1">
      <c r="A6612" s="27">
        <v>5.3</v>
      </c>
    </row>
    <row r="6613" spans="1:1">
      <c r="A6613" s="29">
        <v>0.83263888888888893</v>
      </c>
    </row>
    <row r="6614" spans="1:1">
      <c r="A6614" s="27">
        <v>26.3</v>
      </c>
    </row>
    <row r="6615" spans="1:1">
      <c r="A6615" s="28">
        <v>0</v>
      </c>
    </row>
    <row r="6616" spans="1:1">
      <c r="A6616" s="25">
        <v>316</v>
      </c>
    </row>
    <row r="6617" spans="1:1" ht="30">
      <c r="A6617" s="26" t="s">
        <v>1169</v>
      </c>
    </row>
    <row r="6618" spans="1:1">
      <c r="A6618" s="27" t="s">
        <v>42</v>
      </c>
    </row>
    <row r="6619" spans="1:1">
      <c r="A6619" s="27">
        <v>682</v>
      </c>
    </row>
    <row r="6620" spans="1:1">
      <c r="A6620" s="27">
        <v>20</v>
      </c>
    </row>
    <row r="6621" spans="1:1">
      <c r="A6621" s="27">
        <v>110</v>
      </c>
    </row>
    <row r="6622" spans="1:1">
      <c r="A6622" s="27">
        <v>130</v>
      </c>
    </row>
    <row r="6623" spans="1:1">
      <c r="A6623" s="27">
        <v>55</v>
      </c>
    </row>
    <row r="6624" spans="1:1">
      <c r="A6624" s="27">
        <v>219</v>
      </c>
    </row>
    <row r="6625" spans="1:1">
      <c r="A6625" s="27">
        <v>0.19</v>
      </c>
    </row>
    <row r="6626" spans="1:1">
      <c r="A6626" s="27">
        <v>0</v>
      </c>
    </row>
    <row r="6627" spans="1:1">
      <c r="A6627" s="27">
        <v>2</v>
      </c>
    </row>
    <row r="6628" spans="1:1">
      <c r="A6628" s="27">
        <v>0</v>
      </c>
    </row>
    <row r="6629" spans="1:1">
      <c r="A6629" s="27">
        <v>3</v>
      </c>
    </row>
    <row r="6630" spans="1:1">
      <c r="A6630" s="27">
        <v>2</v>
      </c>
    </row>
    <row r="6631" spans="1:1">
      <c r="A6631" s="27">
        <v>0</v>
      </c>
    </row>
    <row r="6632" spans="1:1">
      <c r="A6632" s="27">
        <v>621</v>
      </c>
    </row>
    <row r="6633" spans="1:1">
      <c r="A6633" s="27">
        <v>3.2</v>
      </c>
    </row>
    <row r="6634" spans="1:1">
      <c r="A6634" s="29">
        <v>0.83958333333333324</v>
      </c>
    </row>
    <row r="6635" spans="1:1">
      <c r="A6635" s="27">
        <v>25.7</v>
      </c>
    </row>
    <row r="6636" spans="1:1">
      <c r="A6636" s="28">
        <v>0</v>
      </c>
    </row>
    <row r="6637" spans="1:1">
      <c r="A6637" s="25">
        <v>317</v>
      </c>
    </row>
    <row r="6638" spans="1:1" ht="30">
      <c r="A6638" s="26" t="s">
        <v>899</v>
      </c>
    </row>
    <row r="6639" spans="1:1">
      <c r="A6639" s="27" t="s">
        <v>653</v>
      </c>
    </row>
    <row r="6640" spans="1:1">
      <c r="A6640" s="27">
        <v>399</v>
      </c>
    </row>
    <row r="6641" spans="1:1">
      <c r="A6641" s="27">
        <v>56</v>
      </c>
    </row>
    <row r="6642" spans="1:1">
      <c r="A6642" s="27">
        <v>73</v>
      </c>
    </row>
    <row r="6643" spans="1:1">
      <c r="A6643" s="27">
        <v>129</v>
      </c>
    </row>
    <row r="6644" spans="1:1">
      <c r="A6644" s="27">
        <v>-76</v>
      </c>
    </row>
    <row r="6645" spans="1:1">
      <c r="A6645" s="27">
        <v>44</v>
      </c>
    </row>
    <row r="6646" spans="1:1">
      <c r="A6646" s="27">
        <v>0.32</v>
      </c>
    </row>
    <row r="6647" spans="1:1">
      <c r="A6647" s="27">
        <v>6</v>
      </c>
    </row>
    <row r="6648" spans="1:1">
      <c r="A6648" s="27">
        <v>21</v>
      </c>
    </row>
    <row r="6649" spans="1:1">
      <c r="A6649" s="27">
        <v>4</v>
      </c>
    </row>
    <row r="6650" spans="1:1">
      <c r="A6650" s="27">
        <v>6</v>
      </c>
    </row>
    <row r="6651" spans="1:1">
      <c r="A6651" s="27">
        <v>3</v>
      </c>
    </row>
    <row r="6652" spans="1:1">
      <c r="A6652" s="27">
        <v>1</v>
      </c>
    </row>
    <row r="6653" spans="1:1">
      <c r="A6653" s="27">
        <v>766</v>
      </c>
    </row>
    <row r="6654" spans="1:1">
      <c r="A6654" s="27">
        <v>7.3</v>
      </c>
    </row>
    <row r="6655" spans="1:1">
      <c r="A6655" s="29">
        <v>0.65069444444444446</v>
      </c>
    </row>
    <row r="6656" spans="1:1">
      <c r="A6656" s="27">
        <v>21.7</v>
      </c>
    </row>
    <row r="6657" spans="1:1">
      <c r="A6657" s="28">
        <v>34.700000000000003</v>
      </c>
    </row>
    <row r="6658" spans="1:1">
      <c r="A6658" s="25">
        <v>318</v>
      </c>
    </row>
    <row r="6659" spans="1:1" ht="45">
      <c r="A6659" s="26" t="s">
        <v>255</v>
      </c>
    </row>
    <row r="6660" spans="1:1">
      <c r="A6660" s="27" t="s">
        <v>653</v>
      </c>
    </row>
    <row r="6661" spans="1:1">
      <c r="A6661" s="27">
        <v>191</v>
      </c>
    </row>
    <row r="6662" spans="1:1">
      <c r="A6662" s="27">
        <v>57</v>
      </c>
    </row>
    <row r="6663" spans="1:1">
      <c r="A6663" s="27">
        <v>70</v>
      </c>
    </row>
    <row r="6664" spans="1:1">
      <c r="A6664" s="27">
        <v>127</v>
      </c>
    </row>
    <row r="6665" spans="1:1">
      <c r="A6665" s="27">
        <v>15</v>
      </c>
    </row>
    <row r="6666" spans="1:1">
      <c r="A6666" s="27">
        <v>132</v>
      </c>
    </row>
    <row r="6667" spans="1:1">
      <c r="A6667" s="27">
        <v>0.66</v>
      </c>
    </row>
    <row r="6668" spans="1:1">
      <c r="A6668" s="27">
        <v>9</v>
      </c>
    </row>
    <row r="6669" spans="1:1">
      <c r="A6669" s="27">
        <v>30</v>
      </c>
    </row>
    <row r="6670" spans="1:1">
      <c r="A6670" s="27">
        <v>0</v>
      </c>
    </row>
    <row r="6671" spans="1:1">
      <c r="A6671" s="27">
        <v>0</v>
      </c>
    </row>
    <row r="6672" spans="1:1">
      <c r="A6672" s="27">
        <v>10</v>
      </c>
    </row>
    <row r="6673" spans="1:1">
      <c r="A6673" s="27">
        <v>2</v>
      </c>
    </row>
    <row r="6674" spans="1:1">
      <c r="A6674" s="27">
        <v>405</v>
      </c>
    </row>
    <row r="6675" spans="1:1">
      <c r="A6675" s="27">
        <v>14.1</v>
      </c>
    </row>
    <row r="6676" spans="1:1">
      <c r="A6676" s="29">
        <v>0.72083333333333333</v>
      </c>
    </row>
    <row r="6677" spans="1:1">
      <c r="A6677" s="27">
        <v>21.6</v>
      </c>
    </row>
    <row r="6678" spans="1:1">
      <c r="A6678" s="28">
        <v>44</v>
      </c>
    </row>
    <row r="6679" spans="1:1">
      <c r="A6679" s="25">
        <v>319</v>
      </c>
    </row>
    <row r="6680" spans="1:1" ht="30">
      <c r="A6680" s="26" t="s">
        <v>271</v>
      </c>
    </row>
    <row r="6681" spans="1:1">
      <c r="A6681" s="27" t="s">
        <v>43</v>
      </c>
    </row>
    <row r="6682" spans="1:1">
      <c r="A6682" s="27">
        <v>378</v>
      </c>
    </row>
    <row r="6683" spans="1:1">
      <c r="A6683" s="27">
        <v>46</v>
      </c>
    </row>
    <row r="6684" spans="1:1">
      <c r="A6684" s="27">
        <v>81</v>
      </c>
    </row>
    <row r="6685" spans="1:1">
      <c r="A6685" s="27">
        <v>127</v>
      </c>
    </row>
    <row r="6686" spans="1:1">
      <c r="A6686" s="27">
        <v>0</v>
      </c>
    </row>
    <row r="6687" spans="1:1">
      <c r="A6687" s="27">
        <v>104</v>
      </c>
    </row>
    <row r="6688" spans="1:1">
      <c r="A6688" s="27">
        <v>0.34</v>
      </c>
    </row>
    <row r="6689" spans="1:1">
      <c r="A6689" s="27">
        <v>0</v>
      </c>
    </row>
    <row r="6690" spans="1:1">
      <c r="A6690" s="27">
        <v>1</v>
      </c>
    </row>
    <row r="6691" spans="1:1">
      <c r="A6691" s="27">
        <v>1</v>
      </c>
    </row>
    <row r="6692" spans="1:1">
      <c r="A6692" s="27">
        <v>3</v>
      </c>
    </row>
    <row r="6693" spans="1:1">
      <c r="A6693" s="27">
        <v>5</v>
      </c>
    </row>
    <row r="6694" spans="1:1">
      <c r="A6694" s="27">
        <v>0</v>
      </c>
    </row>
    <row r="6695" spans="1:1">
      <c r="A6695" s="27">
        <v>376</v>
      </c>
    </row>
    <row r="6696" spans="1:1">
      <c r="A6696" s="27">
        <v>12.2</v>
      </c>
    </row>
    <row r="6697" spans="1:1">
      <c r="A6697" s="29">
        <v>0.59791666666666665</v>
      </c>
    </row>
    <row r="6698" spans="1:1">
      <c r="A6698" s="27">
        <v>20.9</v>
      </c>
    </row>
    <row r="6699" spans="1:1">
      <c r="A6699" s="28">
        <v>32.9</v>
      </c>
    </row>
    <row r="6700" spans="1:1">
      <c r="A6700" s="25">
        <v>320</v>
      </c>
    </row>
    <row r="6701" spans="1:1" ht="30">
      <c r="A6701" s="26" t="s">
        <v>446</v>
      </c>
    </row>
    <row r="6702" spans="1:1">
      <c r="A6702" s="27" t="s">
        <v>42</v>
      </c>
    </row>
    <row r="6703" spans="1:1">
      <c r="A6703" s="27">
        <v>514</v>
      </c>
    </row>
    <row r="6704" spans="1:1">
      <c r="A6704" s="27">
        <v>29</v>
      </c>
    </row>
    <row r="6705" spans="1:1">
      <c r="A6705" s="27">
        <v>98</v>
      </c>
    </row>
    <row r="6706" spans="1:1">
      <c r="A6706" s="27">
        <v>127</v>
      </c>
    </row>
    <row r="6707" spans="1:1">
      <c r="A6707" s="27">
        <v>33</v>
      </c>
    </row>
    <row r="6708" spans="1:1">
      <c r="A6708" s="27">
        <v>144</v>
      </c>
    </row>
    <row r="6709" spans="1:1">
      <c r="A6709" s="27">
        <v>0.25</v>
      </c>
    </row>
    <row r="6710" spans="1:1">
      <c r="A6710" s="27">
        <v>6</v>
      </c>
    </row>
    <row r="6711" spans="1:1">
      <c r="A6711" s="27">
        <v>22</v>
      </c>
    </row>
    <row r="6712" spans="1:1">
      <c r="A6712" s="27">
        <v>1</v>
      </c>
    </row>
    <row r="6713" spans="1:1">
      <c r="A6713" s="27">
        <v>2</v>
      </c>
    </row>
    <row r="6714" spans="1:1">
      <c r="A6714" s="27">
        <v>6</v>
      </c>
    </row>
    <row r="6715" spans="1:1">
      <c r="A6715" s="27">
        <v>0</v>
      </c>
    </row>
    <row r="6716" spans="1:1">
      <c r="A6716" s="27">
        <v>585</v>
      </c>
    </row>
    <row r="6717" spans="1:1">
      <c r="A6717" s="27">
        <v>5</v>
      </c>
    </row>
    <row r="6718" spans="1:1">
      <c r="A6718" s="29">
        <v>0.91041666666666676</v>
      </c>
    </row>
    <row r="6719" spans="1:1">
      <c r="A6719" s="27">
        <v>27.1</v>
      </c>
    </row>
    <row r="6720" spans="1:1">
      <c r="A6720" s="28">
        <v>0</v>
      </c>
    </row>
    <row r="6721" spans="1:1">
      <c r="A6721" s="25">
        <v>321</v>
      </c>
    </row>
    <row r="6722" spans="1:1" ht="30">
      <c r="A6722" s="26" t="s">
        <v>551</v>
      </c>
    </row>
    <row r="6723" spans="1:1">
      <c r="A6723" s="27" t="s">
        <v>43</v>
      </c>
    </row>
    <row r="6724" spans="1:1">
      <c r="A6724" s="27">
        <v>222</v>
      </c>
    </row>
    <row r="6725" spans="1:1">
      <c r="A6725" s="27">
        <v>63</v>
      </c>
    </row>
    <row r="6726" spans="1:1">
      <c r="A6726" s="27">
        <v>63</v>
      </c>
    </row>
    <row r="6727" spans="1:1">
      <c r="A6727" s="27">
        <v>126</v>
      </c>
    </row>
    <row r="6728" spans="1:1">
      <c r="A6728" s="27">
        <v>6</v>
      </c>
    </row>
    <row r="6729" spans="1:1">
      <c r="A6729" s="27">
        <v>130</v>
      </c>
    </row>
    <row r="6730" spans="1:1">
      <c r="A6730" s="27">
        <v>0.56999999999999995</v>
      </c>
    </row>
    <row r="6731" spans="1:1">
      <c r="A6731" s="27">
        <v>10</v>
      </c>
    </row>
    <row r="6732" spans="1:1">
      <c r="A6732" s="27">
        <v>15</v>
      </c>
    </row>
    <row r="6733" spans="1:1">
      <c r="A6733" s="27">
        <v>0</v>
      </c>
    </row>
    <row r="6734" spans="1:1">
      <c r="A6734" s="27">
        <v>1</v>
      </c>
    </row>
    <row r="6735" spans="1:1">
      <c r="A6735" s="27">
        <v>8</v>
      </c>
    </row>
    <row r="6736" spans="1:1">
      <c r="A6736" s="27">
        <v>2</v>
      </c>
    </row>
    <row r="6737" spans="1:1">
      <c r="A6737" s="27">
        <v>626</v>
      </c>
    </row>
    <row r="6738" spans="1:1">
      <c r="A6738" s="27">
        <v>10.1</v>
      </c>
    </row>
    <row r="6739" spans="1:1">
      <c r="A6739" s="29">
        <v>0.65138888888888891</v>
      </c>
    </row>
    <row r="6740" spans="1:1">
      <c r="A6740" s="27">
        <v>21.1</v>
      </c>
    </row>
    <row r="6741" spans="1:1">
      <c r="A6741" s="28">
        <v>43.2</v>
      </c>
    </row>
    <row r="6742" spans="1:1">
      <c r="A6742" s="25">
        <v>322</v>
      </c>
    </row>
    <row r="6743" spans="1:1" ht="30">
      <c r="A6743" s="26" t="s">
        <v>862</v>
      </c>
    </row>
    <row r="6744" spans="1:1">
      <c r="A6744" s="27" t="s">
        <v>44</v>
      </c>
    </row>
    <row r="6745" spans="1:1">
      <c r="A6745" s="27">
        <v>651</v>
      </c>
    </row>
    <row r="6746" spans="1:1">
      <c r="A6746" s="27">
        <v>58</v>
      </c>
    </row>
    <row r="6747" spans="1:1">
      <c r="A6747" s="27">
        <v>68</v>
      </c>
    </row>
    <row r="6748" spans="1:1">
      <c r="A6748" s="27">
        <v>126</v>
      </c>
    </row>
    <row r="6749" spans="1:1">
      <c r="A6749" s="27">
        <v>-39</v>
      </c>
    </row>
    <row r="6750" spans="1:1">
      <c r="A6750" s="27">
        <v>906</v>
      </c>
    </row>
    <row r="6751" spans="1:1">
      <c r="A6751" s="27">
        <v>0.19</v>
      </c>
    </row>
    <row r="6752" spans="1:1">
      <c r="A6752" s="27">
        <v>1</v>
      </c>
    </row>
    <row r="6753" spans="1:1">
      <c r="A6753" s="27">
        <v>3</v>
      </c>
    </row>
    <row r="6754" spans="1:1">
      <c r="A6754" s="27">
        <v>0</v>
      </c>
    </row>
    <row r="6755" spans="1:1">
      <c r="A6755" s="27">
        <v>3</v>
      </c>
    </row>
    <row r="6756" spans="1:1">
      <c r="A6756" s="27">
        <v>11</v>
      </c>
    </row>
    <row r="6757" spans="1:1">
      <c r="A6757" s="27">
        <v>0</v>
      </c>
    </row>
    <row r="6758" spans="1:1">
      <c r="A6758" s="27">
        <v>749</v>
      </c>
    </row>
    <row r="6759" spans="1:1">
      <c r="A6759" s="27">
        <v>7.7</v>
      </c>
    </row>
    <row r="6760" spans="1:1">
      <c r="A6760" s="29">
        <v>0.4513888888888889</v>
      </c>
    </row>
    <row r="6761" spans="1:1">
      <c r="A6761" s="27">
        <v>15.4</v>
      </c>
    </row>
    <row r="6762" spans="1:1">
      <c r="A6762" s="28">
        <v>39.700000000000003</v>
      </c>
    </row>
    <row r="6763" spans="1:1">
      <c r="A6763" s="25">
        <v>323</v>
      </c>
    </row>
    <row r="6764" spans="1:1" ht="45">
      <c r="A6764" s="26" t="s">
        <v>73</v>
      </c>
    </row>
    <row r="6765" spans="1:1">
      <c r="A6765" s="27" t="s">
        <v>653</v>
      </c>
    </row>
    <row r="6766" spans="1:1">
      <c r="A6766" s="27">
        <v>448</v>
      </c>
    </row>
    <row r="6767" spans="1:1">
      <c r="A6767" s="27">
        <v>52</v>
      </c>
    </row>
    <row r="6768" spans="1:1">
      <c r="A6768" s="27">
        <v>73</v>
      </c>
    </row>
    <row r="6769" spans="1:1">
      <c r="A6769" s="27">
        <v>125</v>
      </c>
    </row>
    <row r="6770" spans="1:1">
      <c r="A6770" s="27">
        <v>-53</v>
      </c>
    </row>
    <row r="6771" spans="1:1">
      <c r="A6771" s="27">
        <v>128</v>
      </c>
    </row>
    <row r="6772" spans="1:1">
      <c r="A6772" s="27">
        <v>0.28000000000000003</v>
      </c>
    </row>
    <row r="6773" spans="1:1">
      <c r="A6773" s="27">
        <v>2</v>
      </c>
    </row>
    <row r="6774" spans="1:1">
      <c r="A6774" s="27">
        <v>6</v>
      </c>
    </row>
    <row r="6775" spans="1:1">
      <c r="A6775" s="27">
        <v>6</v>
      </c>
    </row>
    <row r="6776" spans="1:1">
      <c r="A6776" s="27">
        <v>8</v>
      </c>
    </row>
    <row r="6777" spans="1:1">
      <c r="A6777" s="27">
        <v>4</v>
      </c>
    </row>
    <row r="6778" spans="1:1">
      <c r="A6778" s="27">
        <v>1</v>
      </c>
    </row>
    <row r="6779" spans="1:1">
      <c r="A6779" s="27">
        <v>673</v>
      </c>
    </row>
    <row r="6780" spans="1:1">
      <c r="A6780" s="27">
        <v>7.7</v>
      </c>
    </row>
    <row r="6781" spans="1:1">
      <c r="A6781" s="29">
        <v>0.61388888888888882</v>
      </c>
    </row>
    <row r="6782" spans="1:1">
      <c r="A6782" s="27">
        <v>19.8</v>
      </c>
    </row>
    <row r="6783" spans="1:1">
      <c r="A6783" s="28">
        <v>44.6</v>
      </c>
    </row>
    <row r="6784" spans="1:1">
      <c r="A6784" s="25">
        <v>324</v>
      </c>
    </row>
    <row r="6785" spans="1:1" ht="30">
      <c r="A6785" s="26" t="s">
        <v>497</v>
      </c>
    </row>
    <row r="6786" spans="1:1">
      <c r="A6786" s="27" t="s">
        <v>653</v>
      </c>
    </row>
    <row r="6787" spans="1:1">
      <c r="A6787" s="27">
        <v>208</v>
      </c>
    </row>
    <row r="6788" spans="1:1">
      <c r="A6788" s="27">
        <v>39</v>
      </c>
    </row>
    <row r="6789" spans="1:1">
      <c r="A6789" s="27">
        <v>86</v>
      </c>
    </row>
    <row r="6790" spans="1:1">
      <c r="A6790" s="27">
        <v>125</v>
      </c>
    </row>
    <row r="6791" spans="1:1">
      <c r="A6791" s="27">
        <v>2</v>
      </c>
    </row>
    <row r="6792" spans="1:1">
      <c r="A6792" s="27">
        <v>36</v>
      </c>
    </row>
    <row r="6793" spans="1:1">
      <c r="A6793" s="27">
        <v>0.6</v>
      </c>
    </row>
    <row r="6794" spans="1:1">
      <c r="A6794" s="27">
        <v>10</v>
      </c>
    </row>
    <row r="6795" spans="1:1">
      <c r="A6795" s="27">
        <v>28</v>
      </c>
    </row>
    <row r="6796" spans="1:1">
      <c r="A6796" s="27">
        <v>0</v>
      </c>
    </row>
    <row r="6797" spans="1:1">
      <c r="A6797" s="27">
        <v>2</v>
      </c>
    </row>
    <row r="6798" spans="1:1">
      <c r="A6798" s="27">
        <v>6</v>
      </c>
    </row>
    <row r="6799" spans="1:1">
      <c r="A6799" s="27">
        <v>1</v>
      </c>
    </row>
    <row r="6800" spans="1:1">
      <c r="A6800" s="27">
        <v>283</v>
      </c>
    </row>
    <row r="6801" spans="1:1">
      <c r="A6801" s="27">
        <v>13.8</v>
      </c>
    </row>
    <row r="6802" spans="1:1">
      <c r="A6802" s="29">
        <v>0.68194444444444446</v>
      </c>
    </row>
    <row r="6803" spans="1:1">
      <c r="A6803" s="27">
        <v>20.7</v>
      </c>
    </row>
    <row r="6804" spans="1:1">
      <c r="A6804" s="28">
        <v>38</v>
      </c>
    </row>
    <row r="6805" spans="1:1">
      <c r="A6805" s="25">
        <v>325</v>
      </c>
    </row>
    <row r="6806" spans="1:1" ht="30">
      <c r="A6806" s="26" t="s">
        <v>670</v>
      </c>
    </row>
    <row r="6807" spans="1:1">
      <c r="A6807" s="27" t="s">
        <v>42</v>
      </c>
    </row>
    <row r="6808" spans="1:1">
      <c r="A6808" s="27">
        <v>669</v>
      </c>
    </row>
    <row r="6809" spans="1:1">
      <c r="A6809" s="27">
        <v>27</v>
      </c>
    </row>
    <row r="6810" spans="1:1">
      <c r="A6810" s="27">
        <v>98</v>
      </c>
    </row>
    <row r="6811" spans="1:1">
      <c r="A6811" s="27">
        <v>125</v>
      </c>
    </row>
    <row r="6812" spans="1:1">
      <c r="A6812" s="27">
        <v>-13</v>
      </c>
    </row>
    <row r="6813" spans="1:1">
      <c r="A6813" s="27">
        <v>531</v>
      </c>
    </row>
    <row r="6814" spans="1:1">
      <c r="A6814" s="27">
        <v>0.19</v>
      </c>
    </row>
    <row r="6815" spans="1:1">
      <c r="A6815" s="27">
        <v>2</v>
      </c>
    </row>
    <row r="6816" spans="1:1">
      <c r="A6816" s="27">
        <v>2</v>
      </c>
    </row>
    <row r="6817" spans="1:1">
      <c r="A6817" s="27">
        <v>1</v>
      </c>
    </row>
    <row r="6818" spans="1:1">
      <c r="A6818" s="27">
        <v>4</v>
      </c>
    </row>
    <row r="6819" spans="1:1">
      <c r="A6819" s="27">
        <v>3</v>
      </c>
    </row>
    <row r="6820" spans="1:1">
      <c r="A6820" s="27">
        <v>0</v>
      </c>
    </row>
    <row r="6821" spans="1:1">
      <c r="A6821" s="27">
        <v>683</v>
      </c>
    </row>
    <row r="6822" spans="1:1">
      <c r="A6822" s="27">
        <v>4</v>
      </c>
    </row>
    <row r="6823" spans="1:1">
      <c r="A6823" s="29">
        <v>0.78055555555555556</v>
      </c>
    </row>
    <row r="6824" spans="1:1">
      <c r="A6824" s="27">
        <v>25.8</v>
      </c>
    </row>
    <row r="6825" spans="1:1">
      <c r="A6825" s="28">
        <v>100</v>
      </c>
    </row>
    <row r="6826" spans="1:1">
      <c r="A6826" s="25">
        <v>326</v>
      </c>
    </row>
    <row r="6827" spans="1:1" ht="45">
      <c r="A6827" s="26" t="s">
        <v>513</v>
      </c>
    </row>
    <row r="6828" spans="1:1">
      <c r="A6828" s="27" t="s">
        <v>42</v>
      </c>
    </row>
    <row r="6829" spans="1:1">
      <c r="A6829" s="27">
        <v>647</v>
      </c>
    </row>
    <row r="6830" spans="1:1">
      <c r="A6830" s="27">
        <v>29</v>
      </c>
    </row>
    <row r="6831" spans="1:1">
      <c r="A6831" s="27">
        <v>95</v>
      </c>
    </row>
    <row r="6832" spans="1:1">
      <c r="A6832" s="27">
        <v>124</v>
      </c>
    </row>
    <row r="6833" spans="1:1">
      <c r="A6833" s="27">
        <v>1</v>
      </c>
    </row>
    <row r="6834" spans="1:1">
      <c r="A6834" s="27">
        <v>560</v>
      </c>
    </row>
    <row r="6835" spans="1:1">
      <c r="A6835" s="27">
        <v>0.19</v>
      </c>
    </row>
    <row r="6836" spans="1:1">
      <c r="A6836" s="27">
        <v>0</v>
      </c>
    </row>
    <row r="6837" spans="1:1">
      <c r="A6837" s="27">
        <v>1</v>
      </c>
    </row>
    <row r="6838" spans="1:1">
      <c r="A6838" s="27">
        <v>0</v>
      </c>
    </row>
    <row r="6839" spans="1:1">
      <c r="A6839" s="27">
        <v>4</v>
      </c>
    </row>
    <row r="6840" spans="1:1">
      <c r="A6840" s="27">
        <v>5</v>
      </c>
    </row>
    <row r="6841" spans="1:1">
      <c r="A6841" s="27">
        <v>0</v>
      </c>
    </row>
    <row r="6842" spans="1:1">
      <c r="A6842" s="27">
        <v>707</v>
      </c>
    </row>
    <row r="6843" spans="1:1">
      <c r="A6843" s="27">
        <v>4.0999999999999996</v>
      </c>
    </row>
    <row r="6844" spans="1:1">
      <c r="A6844" s="29">
        <v>0.68472222222222223</v>
      </c>
    </row>
    <row r="6845" spans="1:1">
      <c r="A6845" s="27">
        <v>21.1</v>
      </c>
    </row>
    <row r="6846" spans="1:1">
      <c r="A6846" s="28">
        <v>100</v>
      </c>
    </row>
    <row r="6847" spans="1:1">
      <c r="A6847" s="25">
        <v>327</v>
      </c>
    </row>
    <row r="6848" spans="1:1" ht="30">
      <c r="A6848" s="26" t="s">
        <v>668</v>
      </c>
    </row>
    <row r="6849" spans="1:1">
      <c r="A6849" s="27" t="s">
        <v>42</v>
      </c>
    </row>
    <row r="6850" spans="1:1">
      <c r="A6850" s="27">
        <v>470</v>
      </c>
    </row>
    <row r="6851" spans="1:1">
      <c r="A6851" s="27">
        <v>33</v>
      </c>
    </row>
    <row r="6852" spans="1:1">
      <c r="A6852" s="27">
        <v>90</v>
      </c>
    </row>
    <row r="6853" spans="1:1">
      <c r="A6853" s="27">
        <v>123</v>
      </c>
    </row>
    <row r="6854" spans="1:1">
      <c r="A6854" s="27">
        <v>-54</v>
      </c>
    </row>
    <row r="6855" spans="1:1">
      <c r="A6855" s="27">
        <v>98</v>
      </c>
    </row>
    <row r="6856" spans="1:1">
      <c r="A6856" s="27">
        <v>0.26</v>
      </c>
    </row>
    <row r="6857" spans="1:1">
      <c r="A6857" s="27">
        <v>1</v>
      </c>
    </row>
    <row r="6858" spans="1:1">
      <c r="A6858" s="27">
        <v>13</v>
      </c>
    </row>
    <row r="6859" spans="1:1">
      <c r="A6859" s="27">
        <v>0</v>
      </c>
    </row>
    <row r="6860" spans="1:1">
      <c r="A6860" s="27">
        <v>2</v>
      </c>
    </row>
    <row r="6861" spans="1:1">
      <c r="A6861" s="27">
        <v>8</v>
      </c>
    </row>
    <row r="6862" spans="1:1">
      <c r="A6862" s="27">
        <v>1</v>
      </c>
    </row>
    <row r="6863" spans="1:1">
      <c r="A6863" s="27">
        <v>775</v>
      </c>
    </row>
    <row r="6864" spans="1:1">
      <c r="A6864" s="27">
        <v>4.3</v>
      </c>
    </row>
    <row r="6865" spans="1:1">
      <c r="A6865" s="29">
        <v>0.88055555555555554</v>
      </c>
    </row>
    <row r="6866" spans="1:1">
      <c r="A6866" s="27">
        <v>26.8</v>
      </c>
    </row>
    <row r="6867" spans="1:1">
      <c r="A6867" s="28">
        <v>100</v>
      </c>
    </row>
    <row r="6868" spans="1:1">
      <c r="A6868" s="25">
        <v>328</v>
      </c>
    </row>
    <row r="6869" spans="1:1" ht="45">
      <c r="A6869" s="26" t="s">
        <v>1152</v>
      </c>
    </row>
    <row r="6870" spans="1:1">
      <c r="A6870" s="27" t="s">
        <v>42</v>
      </c>
    </row>
    <row r="6871" spans="1:1">
      <c r="A6871" s="27">
        <v>441</v>
      </c>
    </row>
    <row r="6872" spans="1:1">
      <c r="A6872" s="27">
        <v>29</v>
      </c>
    </row>
    <row r="6873" spans="1:1">
      <c r="A6873" s="27">
        <v>94</v>
      </c>
    </row>
    <row r="6874" spans="1:1">
      <c r="A6874" s="27">
        <v>123</v>
      </c>
    </row>
    <row r="6875" spans="1:1">
      <c r="A6875" s="27">
        <v>9</v>
      </c>
    </row>
    <row r="6876" spans="1:1">
      <c r="A6876" s="27">
        <v>222</v>
      </c>
    </row>
    <row r="6877" spans="1:1">
      <c r="A6877" s="27">
        <v>0.28000000000000003</v>
      </c>
    </row>
    <row r="6878" spans="1:1">
      <c r="A6878" s="27">
        <v>1</v>
      </c>
    </row>
    <row r="6879" spans="1:1">
      <c r="A6879" s="27">
        <v>10</v>
      </c>
    </row>
    <row r="6880" spans="1:1">
      <c r="A6880" s="27">
        <v>1</v>
      </c>
    </row>
    <row r="6881" spans="1:1">
      <c r="A6881" s="27">
        <v>1</v>
      </c>
    </row>
    <row r="6882" spans="1:1">
      <c r="A6882" s="27">
        <v>9</v>
      </c>
    </row>
    <row r="6883" spans="1:1">
      <c r="A6883" s="27">
        <v>3</v>
      </c>
    </row>
    <row r="6884" spans="1:1">
      <c r="A6884" s="27">
        <v>481</v>
      </c>
    </row>
    <row r="6885" spans="1:1">
      <c r="A6885" s="27">
        <v>6</v>
      </c>
    </row>
    <row r="6886" spans="1:1">
      <c r="A6886" s="29">
        <v>0.89027777777777783</v>
      </c>
    </row>
    <row r="6887" spans="1:1">
      <c r="A6887" s="27">
        <v>29.5</v>
      </c>
    </row>
    <row r="6888" spans="1:1">
      <c r="A6888" s="28">
        <v>0</v>
      </c>
    </row>
    <row r="6889" spans="1:1">
      <c r="A6889" s="25">
        <v>329</v>
      </c>
    </row>
    <row r="6890" spans="1:1" ht="30">
      <c r="A6890" s="26" t="s">
        <v>531</v>
      </c>
    </row>
    <row r="6891" spans="1:1">
      <c r="A6891" s="27" t="s">
        <v>42</v>
      </c>
    </row>
    <row r="6892" spans="1:1">
      <c r="A6892" s="27">
        <v>348</v>
      </c>
    </row>
    <row r="6893" spans="1:1">
      <c r="A6893" s="27">
        <v>26</v>
      </c>
    </row>
    <row r="6894" spans="1:1">
      <c r="A6894" s="27">
        <v>97</v>
      </c>
    </row>
    <row r="6895" spans="1:1">
      <c r="A6895" s="27">
        <v>123</v>
      </c>
    </row>
    <row r="6896" spans="1:1">
      <c r="A6896" s="27">
        <v>-49</v>
      </c>
    </row>
    <row r="6897" spans="1:1">
      <c r="A6897" s="27">
        <v>83</v>
      </c>
    </row>
    <row r="6898" spans="1:1">
      <c r="A6898" s="27">
        <v>0.35</v>
      </c>
    </row>
    <row r="6899" spans="1:1">
      <c r="A6899" s="27">
        <v>6</v>
      </c>
    </row>
    <row r="6900" spans="1:1">
      <c r="A6900" s="27">
        <v>32</v>
      </c>
    </row>
    <row r="6901" spans="1:1">
      <c r="A6901" s="27">
        <v>1</v>
      </c>
    </row>
    <row r="6902" spans="1:1">
      <c r="A6902" s="27">
        <v>2</v>
      </c>
    </row>
    <row r="6903" spans="1:1">
      <c r="A6903" s="27">
        <v>6</v>
      </c>
    </row>
    <row r="6904" spans="1:1">
      <c r="A6904" s="27">
        <v>2</v>
      </c>
    </row>
    <row r="6905" spans="1:1">
      <c r="A6905" s="27">
        <v>568</v>
      </c>
    </row>
    <row r="6906" spans="1:1">
      <c r="A6906" s="27">
        <v>4.5999999999999996</v>
      </c>
    </row>
    <row r="6907" spans="1:1">
      <c r="A6907" s="29">
        <v>0.79583333333333339</v>
      </c>
    </row>
    <row r="6908" spans="1:1">
      <c r="A6908" s="27">
        <v>23.7</v>
      </c>
    </row>
    <row r="6909" spans="1:1">
      <c r="A6909" s="28">
        <v>0</v>
      </c>
    </row>
    <row r="6910" spans="1:1">
      <c r="A6910" s="25">
        <v>330</v>
      </c>
    </row>
    <row r="6911" spans="1:1" ht="30">
      <c r="A6911" s="26" t="s">
        <v>580</v>
      </c>
    </row>
    <row r="6912" spans="1:1">
      <c r="A6912" s="27" t="s">
        <v>44</v>
      </c>
    </row>
    <row r="6913" spans="1:1">
      <c r="A6913" s="27">
        <v>636</v>
      </c>
    </row>
    <row r="6914" spans="1:1">
      <c r="A6914" s="27">
        <v>57</v>
      </c>
    </row>
    <row r="6915" spans="1:1">
      <c r="A6915" s="27">
        <v>65</v>
      </c>
    </row>
    <row r="6916" spans="1:1">
      <c r="A6916" s="27">
        <v>122</v>
      </c>
    </row>
    <row r="6917" spans="1:1">
      <c r="A6917" s="27">
        <v>-3</v>
      </c>
    </row>
    <row r="6918" spans="1:1">
      <c r="A6918" s="27">
        <v>793</v>
      </c>
    </row>
    <row r="6919" spans="1:1">
      <c r="A6919" s="27">
        <v>0.19</v>
      </c>
    </row>
    <row r="6920" spans="1:1">
      <c r="A6920" s="27">
        <v>1</v>
      </c>
    </row>
    <row r="6921" spans="1:1">
      <c r="A6921" s="27">
        <v>1</v>
      </c>
    </row>
    <row r="6922" spans="1:1">
      <c r="A6922" s="27">
        <v>0</v>
      </c>
    </row>
    <row r="6923" spans="1:1">
      <c r="A6923" s="27">
        <v>0</v>
      </c>
    </row>
    <row r="6924" spans="1:1">
      <c r="A6924" s="27">
        <v>6</v>
      </c>
    </row>
    <row r="6925" spans="1:1">
      <c r="A6925" s="27">
        <v>0</v>
      </c>
    </row>
    <row r="6926" spans="1:1">
      <c r="A6926" s="27">
        <v>833</v>
      </c>
    </row>
    <row r="6927" spans="1:1">
      <c r="A6927" s="27">
        <v>6.8</v>
      </c>
    </row>
    <row r="6928" spans="1:1">
      <c r="A6928" s="29">
        <v>0.42430555555555555</v>
      </c>
    </row>
    <row r="6929" spans="1:1">
      <c r="A6929" s="27">
        <v>14.4</v>
      </c>
    </row>
    <row r="6930" spans="1:1">
      <c r="A6930" s="28">
        <v>34.9</v>
      </c>
    </row>
    <row r="6931" spans="1:1">
      <c r="A6931" s="25">
        <v>331</v>
      </c>
    </row>
    <row r="6932" spans="1:1">
      <c r="A6932" s="26" t="s">
        <v>325</v>
      </c>
    </row>
    <row r="6933" spans="1:1">
      <c r="A6933" s="27" t="s">
        <v>42</v>
      </c>
    </row>
    <row r="6934" spans="1:1">
      <c r="A6934" s="27">
        <v>498</v>
      </c>
    </row>
    <row r="6935" spans="1:1">
      <c r="A6935" s="27">
        <v>22</v>
      </c>
    </row>
    <row r="6936" spans="1:1">
      <c r="A6936" s="27">
        <v>100</v>
      </c>
    </row>
    <row r="6937" spans="1:1">
      <c r="A6937" s="27">
        <v>122</v>
      </c>
    </row>
    <row r="6938" spans="1:1">
      <c r="A6938" s="27">
        <v>85</v>
      </c>
    </row>
    <row r="6939" spans="1:1">
      <c r="A6939" s="27">
        <v>495</v>
      </c>
    </row>
    <row r="6940" spans="1:1">
      <c r="A6940" s="27">
        <v>0.24</v>
      </c>
    </row>
    <row r="6941" spans="1:1">
      <c r="A6941" s="27">
        <v>0</v>
      </c>
    </row>
    <row r="6942" spans="1:1">
      <c r="A6942" s="27">
        <v>6</v>
      </c>
    </row>
    <row r="6943" spans="1:1">
      <c r="A6943" s="27">
        <v>0</v>
      </c>
    </row>
    <row r="6944" spans="1:1">
      <c r="A6944" s="27">
        <v>0</v>
      </c>
    </row>
    <row r="6945" spans="1:1">
      <c r="A6945" s="27">
        <v>1</v>
      </c>
    </row>
    <row r="6946" spans="1:1">
      <c r="A6946" s="27">
        <v>0</v>
      </c>
    </row>
    <row r="6947" spans="1:1">
      <c r="A6947" s="27">
        <v>524</v>
      </c>
    </row>
    <row r="6948" spans="1:1">
      <c r="A6948" s="27">
        <v>4.2</v>
      </c>
    </row>
    <row r="6949" spans="1:1">
      <c r="A6949" s="29">
        <v>0.7368055555555556</v>
      </c>
    </row>
    <row r="6950" spans="1:1">
      <c r="A6950" s="27">
        <v>23.6</v>
      </c>
    </row>
    <row r="6951" spans="1:1">
      <c r="A6951" s="28">
        <v>0</v>
      </c>
    </row>
    <row r="6952" spans="1:1">
      <c r="A6952" s="25">
        <v>332</v>
      </c>
    </row>
    <row r="6953" spans="1:1" ht="30">
      <c r="A6953" s="26" t="s">
        <v>778</v>
      </c>
    </row>
    <row r="6954" spans="1:1">
      <c r="A6954" s="27" t="s">
        <v>653</v>
      </c>
    </row>
    <row r="6955" spans="1:1">
      <c r="A6955" s="27">
        <v>332</v>
      </c>
    </row>
    <row r="6956" spans="1:1">
      <c r="A6956" s="27">
        <v>58</v>
      </c>
    </row>
    <row r="6957" spans="1:1">
      <c r="A6957" s="27">
        <v>63</v>
      </c>
    </row>
    <row r="6958" spans="1:1">
      <c r="A6958" s="27">
        <v>121</v>
      </c>
    </row>
    <row r="6959" spans="1:1">
      <c r="A6959" s="27">
        <v>-49</v>
      </c>
    </row>
    <row r="6960" spans="1:1">
      <c r="A6960" s="27">
        <v>284</v>
      </c>
    </row>
    <row r="6961" spans="1:1">
      <c r="A6961" s="27">
        <v>0.36</v>
      </c>
    </row>
    <row r="6962" spans="1:1">
      <c r="A6962" s="27">
        <v>12</v>
      </c>
    </row>
    <row r="6963" spans="1:1">
      <c r="A6963" s="27">
        <v>22</v>
      </c>
    </row>
    <row r="6964" spans="1:1">
      <c r="A6964" s="27">
        <v>0</v>
      </c>
    </row>
    <row r="6965" spans="1:1">
      <c r="A6965" s="27">
        <v>1</v>
      </c>
    </row>
    <row r="6966" spans="1:1">
      <c r="A6966" s="27">
        <v>5</v>
      </c>
    </row>
    <row r="6967" spans="1:1">
      <c r="A6967" s="27">
        <v>0</v>
      </c>
    </row>
    <row r="6968" spans="1:1">
      <c r="A6968" s="27">
        <v>568</v>
      </c>
    </row>
    <row r="6969" spans="1:1">
      <c r="A6969" s="27">
        <v>10.199999999999999</v>
      </c>
    </row>
    <row r="6970" spans="1:1">
      <c r="A6970" s="29">
        <v>0.60069444444444442</v>
      </c>
    </row>
    <row r="6971" spans="1:1">
      <c r="A6971" s="27">
        <v>19.3</v>
      </c>
    </row>
    <row r="6972" spans="1:1">
      <c r="A6972" s="28">
        <v>47.9</v>
      </c>
    </row>
    <row r="6973" spans="1:1">
      <c r="A6973" s="25">
        <v>333</v>
      </c>
    </row>
    <row r="6974" spans="1:1" ht="30">
      <c r="A6974" s="26" t="s">
        <v>471</v>
      </c>
    </row>
    <row r="6975" spans="1:1">
      <c r="A6975" s="27" t="s">
        <v>42</v>
      </c>
    </row>
    <row r="6976" spans="1:1">
      <c r="A6976" s="27">
        <v>506</v>
      </c>
    </row>
    <row r="6977" spans="1:1">
      <c r="A6977" s="27">
        <v>20</v>
      </c>
    </row>
    <row r="6978" spans="1:1">
      <c r="A6978" s="27">
        <v>101</v>
      </c>
    </row>
    <row r="6979" spans="1:1">
      <c r="A6979" s="27">
        <v>121</v>
      </c>
    </row>
    <row r="6980" spans="1:1">
      <c r="A6980" s="27">
        <v>11</v>
      </c>
    </row>
    <row r="6981" spans="1:1">
      <c r="A6981" s="27">
        <v>305</v>
      </c>
    </row>
    <row r="6982" spans="1:1">
      <c r="A6982" s="27">
        <v>0.24</v>
      </c>
    </row>
    <row r="6983" spans="1:1">
      <c r="A6983" s="27">
        <v>0</v>
      </c>
    </row>
    <row r="6984" spans="1:1">
      <c r="A6984" s="27">
        <v>4</v>
      </c>
    </row>
    <row r="6985" spans="1:1">
      <c r="A6985" s="27">
        <v>0</v>
      </c>
    </row>
    <row r="6986" spans="1:1">
      <c r="A6986" s="27">
        <v>6</v>
      </c>
    </row>
    <row r="6987" spans="1:1">
      <c r="A6987" s="27">
        <v>4</v>
      </c>
    </row>
    <row r="6988" spans="1:1">
      <c r="A6988" s="27">
        <v>1</v>
      </c>
    </row>
    <row r="6989" spans="1:1">
      <c r="A6989" s="27">
        <v>577</v>
      </c>
    </row>
    <row r="6990" spans="1:1">
      <c r="A6990" s="27">
        <v>3.5</v>
      </c>
    </row>
    <row r="6991" spans="1:1">
      <c r="A6991" s="29">
        <v>0.86805555555555547</v>
      </c>
    </row>
    <row r="6992" spans="1:1">
      <c r="A6992" s="27">
        <v>25.8</v>
      </c>
    </row>
    <row r="6993" spans="1:1">
      <c r="A6993" s="28">
        <v>0</v>
      </c>
    </row>
    <row r="6994" spans="1:1">
      <c r="A6994" s="25">
        <v>334</v>
      </c>
    </row>
    <row r="6995" spans="1:1" ht="30">
      <c r="A6995" s="26" t="s">
        <v>768</v>
      </c>
    </row>
    <row r="6996" spans="1:1">
      <c r="A6996" s="27" t="s">
        <v>653</v>
      </c>
    </row>
    <row r="6997" spans="1:1">
      <c r="A6997" s="27">
        <v>270</v>
      </c>
    </row>
    <row r="6998" spans="1:1">
      <c r="A6998" s="27">
        <v>72</v>
      </c>
    </row>
    <row r="6999" spans="1:1">
      <c r="A6999" s="27">
        <v>48</v>
      </c>
    </row>
    <row r="7000" spans="1:1">
      <c r="A7000" s="27">
        <v>120</v>
      </c>
    </row>
    <row r="7001" spans="1:1">
      <c r="A7001" s="27">
        <v>8</v>
      </c>
    </row>
    <row r="7002" spans="1:1">
      <c r="A7002" s="27">
        <v>89</v>
      </c>
    </row>
    <row r="7003" spans="1:1">
      <c r="A7003" s="27">
        <v>0.44</v>
      </c>
    </row>
    <row r="7004" spans="1:1">
      <c r="A7004" s="27">
        <v>21</v>
      </c>
    </row>
    <row r="7005" spans="1:1">
      <c r="A7005" s="27">
        <v>36</v>
      </c>
    </row>
    <row r="7006" spans="1:1">
      <c r="A7006" s="27">
        <v>0</v>
      </c>
    </row>
    <row r="7007" spans="1:1">
      <c r="A7007" s="27">
        <v>0</v>
      </c>
    </row>
    <row r="7008" spans="1:1">
      <c r="A7008" s="27">
        <v>13</v>
      </c>
    </row>
    <row r="7009" spans="1:1">
      <c r="A7009" s="27">
        <v>0</v>
      </c>
    </row>
    <row r="7010" spans="1:1">
      <c r="A7010" s="27">
        <v>567</v>
      </c>
    </row>
    <row r="7011" spans="1:1">
      <c r="A7011" s="27">
        <v>12.7</v>
      </c>
    </row>
    <row r="7012" spans="1:1">
      <c r="A7012" s="29">
        <v>0.5708333333333333</v>
      </c>
    </row>
    <row r="7013" spans="1:1">
      <c r="A7013" s="27">
        <v>17.399999999999999</v>
      </c>
    </row>
    <row r="7014" spans="1:1">
      <c r="A7014" s="28">
        <v>48.6</v>
      </c>
    </row>
    <row r="7015" spans="1:1">
      <c r="A7015" s="25">
        <v>335</v>
      </c>
    </row>
    <row r="7016" spans="1:1" ht="30">
      <c r="A7016" s="26" t="s">
        <v>412</v>
      </c>
    </row>
    <row r="7017" spans="1:1">
      <c r="A7017" s="27" t="s">
        <v>653</v>
      </c>
    </row>
    <row r="7018" spans="1:1">
      <c r="A7018" s="27">
        <v>314</v>
      </c>
    </row>
    <row r="7019" spans="1:1">
      <c r="A7019" s="27">
        <v>55</v>
      </c>
    </row>
    <row r="7020" spans="1:1">
      <c r="A7020" s="27">
        <v>65</v>
      </c>
    </row>
    <row r="7021" spans="1:1">
      <c r="A7021" s="27">
        <v>120</v>
      </c>
    </row>
    <row r="7022" spans="1:1">
      <c r="A7022" s="27">
        <v>16</v>
      </c>
    </row>
    <row r="7023" spans="1:1">
      <c r="A7023" s="27">
        <v>187</v>
      </c>
    </row>
    <row r="7024" spans="1:1">
      <c r="A7024" s="27">
        <v>0.38</v>
      </c>
    </row>
    <row r="7025" spans="1:1">
      <c r="A7025" s="27">
        <v>2</v>
      </c>
    </row>
    <row r="7026" spans="1:1">
      <c r="A7026" s="27">
        <v>7</v>
      </c>
    </row>
    <row r="7027" spans="1:1">
      <c r="A7027" s="27">
        <v>3</v>
      </c>
    </row>
    <row r="7028" spans="1:1">
      <c r="A7028" s="27">
        <v>4</v>
      </c>
    </row>
    <row r="7029" spans="1:1">
      <c r="A7029" s="27">
        <v>6</v>
      </c>
    </row>
    <row r="7030" spans="1:1">
      <c r="A7030" s="27">
        <v>0</v>
      </c>
    </row>
    <row r="7031" spans="1:1">
      <c r="A7031" s="27">
        <v>483</v>
      </c>
    </row>
    <row r="7032" spans="1:1">
      <c r="A7032" s="27">
        <v>11.4</v>
      </c>
    </row>
    <row r="7033" spans="1:1">
      <c r="A7033" s="29">
        <v>0.6430555555555556</v>
      </c>
    </row>
    <row r="7034" spans="1:1">
      <c r="A7034" s="27">
        <v>23.1</v>
      </c>
    </row>
    <row r="7035" spans="1:1">
      <c r="A7035" s="28">
        <v>49.8</v>
      </c>
    </row>
    <row r="7036" spans="1:1">
      <c r="A7036" s="25">
        <v>336</v>
      </c>
    </row>
    <row r="7037" spans="1:1" ht="30">
      <c r="A7037" s="26" t="s">
        <v>872</v>
      </c>
    </row>
    <row r="7038" spans="1:1">
      <c r="A7038" s="27" t="s">
        <v>43</v>
      </c>
    </row>
    <row r="7039" spans="1:1">
      <c r="A7039" s="27">
        <v>490</v>
      </c>
    </row>
    <row r="7040" spans="1:1">
      <c r="A7040" s="27">
        <v>54</v>
      </c>
    </row>
    <row r="7041" spans="1:1">
      <c r="A7041" s="27">
        <v>66</v>
      </c>
    </row>
    <row r="7042" spans="1:1">
      <c r="A7042" s="27">
        <v>120</v>
      </c>
    </row>
    <row r="7043" spans="1:1">
      <c r="A7043" s="27">
        <v>5</v>
      </c>
    </row>
    <row r="7044" spans="1:1">
      <c r="A7044" s="27">
        <v>339</v>
      </c>
    </row>
    <row r="7045" spans="1:1">
      <c r="A7045" s="27">
        <v>0.24</v>
      </c>
    </row>
    <row r="7046" spans="1:1">
      <c r="A7046" s="27">
        <v>5</v>
      </c>
    </row>
    <row r="7047" spans="1:1">
      <c r="A7047" s="27">
        <v>9</v>
      </c>
    </row>
    <row r="7048" spans="1:1">
      <c r="A7048" s="27">
        <v>1</v>
      </c>
    </row>
    <row r="7049" spans="1:1">
      <c r="A7049" s="27">
        <v>1</v>
      </c>
    </row>
    <row r="7050" spans="1:1">
      <c r="A7050" s="27">
        <v>8</v>
      </c>
    </row>
    <row r="7051" spans="1:1">
      <c r="A7051" s="27">
        <v>0</v>
      </c>
    </row>
    <row r="7052" spans="1:1">
      <c r="A7052" s="27">
        <v>556</v>
      </c>
    </row>
    <row r="7053" spans="1:1">
      <c r="A7053" s="27">
        <v>9.6999999999999993</v>
      </c>
    </row>
    <row r="7054" spans="1:1">
      <c r="A7054" s="29">
        <v>0.45416666666666666</v>
      </c>
    </row>
    <row r="7055" spans="1:1">
      <c r="A7055" s="27">
        <v>16.100000000000001</v>
      </c>
    </row>
    <row r="7056" spans="1:1">
      <c r="A7056" s="28">
        <v>38.1</v>
      </c>
    </row>
    <row r="7057" spans="1:1">
      <c r="A7057" s="25">
        <v>337</v>
      </c>
    </row>
    <row r="7058" spans="1:1" ht="45">
      <c r="A7058" s="26" t="s">
        <v>268</v>
      </c>
    </row>
    <row r="7059" spans="1:1">
      <c r="A7059" s="27" t="s">
        <v>43</v>
      </c>
    </row>
    <row r="7060" spans="1:1">
      <c r="A7060" s="27">
        <v>205</v>
      </c>
    </row>
    <row r="7061" spans="1:1">
      <c r="A7061" s="27">
        <v>48</v>
      </c>
    </row>
    <row r="7062" spans="1:1">
      <c r="A7062" s="27">
        <v>72</v>
      </c>
    </row>
    <row r="7063" spans="1:1">
      <c r="A7063" s="27">
        <v>120</v>
      </c>
    </row>
    <row r="7064" spans="1:1">
      <c r="A7064" s="27">
        <v>-1</v>
      </c>
    </row>
    <row r="7065" spans="1:1">
      <c r="A7065" s="27">
        <v>54</v>
      </c>
    </row>
    <row r="7066" spans="1:1">
      <c r="A7066" s="27">
        <v>0.59</v>
      </c>
    </row>
    <row r="7067" spans="1:1">
      <c r="A7067" s="27">
        <v>14</v>
      </c>
    </row>
    <row r="7068" spans="1:1">
      <c r="A7068" s="27">
        <v>36</v>
      </c>
    </row>
    <row r="7069" spans="1:1">
      <c r="A7069" s="27">
        <v>0</v>
      </c>
    </row>
    <row r="7070" spans="1:1">
      <c r="A7070" s="27">
        <v>0</v>
      </c>
    </row>
    <row r="7071" spans="1:1">
      <c r="A7071" s="27">
        <v>5</v>
      </c>
    </row>
    <row r="7072" spans="1:1">
      <c r="A7072" s="27">
        <v>0</v>
      </c>
    </row>
    <row r="7073" spans="1:1">
      <c r="A7073" s="27">
        <v>353</v>
      </c>
    </row>
    <row r="7074" spans="1:1">
      <c r="A7074" s="27">
        <v>13.6</v>
      </c>
    </row>
    <row r="7075" spans="1:1">
      <c r="A7075" s="29">
        <v>0.62222222222222223</v>
      </c>
    </row>
    <row r="7076" spans="1:1">
      <c r="A7076" s="27">
        <v>19.7</v>
      </c>
    </row>
    <row r="7077" spans="1:1">
      <c r="A7077" s="28">
        <v>24.1</v>
      </c>
    </row>
    <row r="7078" spans="1:1">
      <c r="A7078" s="25">
        <v>338</v>
      </c>
    </row>
    <row r="7079" spans="1:1" ht="30">
      <c r="A7079" s="26" t="s">
        <v>537</v>
      </c>
    </row>
    <row r="7080" spans="1:1">
      <c r="A7080" s="27" t="s">
        <v>42</v>
      </c>
    </row>
    <row r="7081" spans="1:1">
      <c r="A7081" s="27">
        <v>454</v>
      </c>
    </row>
    <row r="7082" spans="1:1">
      <c r="A7082" s="27">
        <v>30</v>
      </c>
    </row>
    <row r="7083" spans="1:1">
      <c r="A7083" s="27">
        <v>90</v>
      </c>
    </row>
    <row r="7084" spans="1:1">
      <c r="A7084" s="27">
        <v>120</v>
      </c>
    </row>
    <row r="7085" spans="1:1">
      <c r="A7085" s="27">
        <v>-47</v>
      </c>
    </row>
    <row r="7086" spans="1:1">
      <c r="A7086" s="27">
        <v>258</v>
      </c>
    </row>
    <row r="7087" spans="1:1">
      <c r="A7087" s="27">
        <v>0.26</v>
      </c>
    </row>
    <row r="7088" spans="1:1">
      <c r="A7088" s="27">
        <v>4</v>
      </c>
    </row>
    <row r="7089" spans="1:1">
      <c r="A7089" s="27">
        <v>33</v>
      </c>
    </row>
    <row r="7090" spans="1:1">
      <c r="A7090" s="27">
        <v>0</v>
      </c>
    </row>
    <row r="7091" spans="1:1">
      <c r="A7091" s="27">
        <v>1</v>
      </c>
    </row>
    <row r="7092" spans="1:1">
      <c r="A7092" s="27">
        <v>2</v>
      </c>
    </row>
    <row r="7093" spans="1:1">
      <c r="A7093" s="27">
        <v>0</v>
      </c>
    </row>
    <row r="7094" spans="1:1">
      <c r="A7094" s="27">
        <v>684</v>
      </c>
    </row>
    <row r="7095" spans="1:1">
      <c r="A7095" s="27">
        <v>4.4000000000000004</v>
      </c>
    </row>
    <row r="7096" spans="1:1">
      <c r="A7096" s="29">
        <v>0.78888888888888886</v>
      </c>
    </row>
    <row r="7097" spans="1:1">
      <c r="A7097" s="27">
        <v>25.3</v>
      </c>
    </row>
    <row r="7098" spans="1:1">
      <c r="A7098" s="28">
        <v>50</v>
      </c>
    </row>
    <row r="7099" spans="1:1">
      <c r="A7099" s="25">
        <v>339</v>
      </c>
    </row>
    <row r="7100" spans="1:1" ht="30">
      <c r="A7100" s="26" t="s">
        <v>1134</v>
      </c>
    </row>
    <row r="7101" spans="1:1">
      <c r="A7101" s="27" t="s">
        <v>42</v>
      </c>
    </row>
    <row r="7102" spans="1:1">
      <c r="A7102" s="27">
        <v>355</v>
      </c>
    </row>
    <row r="7103" spans="1:1">
      <c r="A7103" s="27">
        <v>24</v>
      </c>
    </row>
    <row r="7104" spans="1:1">
      <c r="A7104" s="27">
        <v>96</v>
      </c>
    </row>
    <row r="7105" spans="1:1">
      <c r="A7105" s="27">
        <v>120</v>
      </c>
    </row>
    <row r="7106" spans="1:1">
      <c r="A7106" s="27">
        <v>75</v>
      </c>
    </row>
    <row r="7107" spans="1:1">
      <c r="A7107" s="27">
        <v>74</v>
      </c>
    </row>
    <row r="7108" spans="1:1">
      <c r="A7108" s="27">
        <v>0.34</v>
      </c>
    </row>
    <row r="7109" spans="1:1">
      <c r="A7109" s="27">
        <v>2</v>
      </c>
    </row>
    <row r="7110" spans="1:1">
      <c r="A7110" s="27">
        <v>21</v>
      </c>
    </row>
    <row r="7111" spans="1:1">
      <c r="A7111" s="27">
        <v>0</v>
      </c>
    </row>
    <row r="7112" spans="1:1">
      <c r="A7112" s="27">
        <v>1</v>
      </c>
    </row>
    <row r="7113" spans="1:1">
      <c r="A7113" s="27">
        <v>3</v>
      </c>
    </row>
    <row r="7114" spans="1:1">
      <c r="A7114" s="27">
        <v>0</v>
      </c>
    </row>
    <row r="7115" spans="1:1">
      <c r="A7115" s="27">
        <v>470</v>
      </c>
    </row>
    <row r="7116" spans="1:1">
      <c r="A7116" s="27">
        <v>5.0999999999999996</v>
      </c>
    </row>
    <row r="7117" spans="1:1">
      <c r="A7117" s="29">
        <v>0.7895833333333333</v>
      </c>
    </row>
    <row r="7118" spans="1:1">
      <c r="A7118" s="27">
        <v>23.4</v>
      </c>
    </row>
    <row r="7119" spans="1:1">
      <c r="A7119" s="28">
        <v>0</v>
      </c>
    </row>
    <row r="7120" spans="1:1">
      <c r="A7120" s="25">
        <v>340</v>
      </c>
    </row>
    <row r="7121" spans="1:1" ht="30">
      <c r="A7121" s="26" t="s">
        <v>804</v>
      </c>
    </row>
    <row r="7122" spans="1:1">
      <c r="A7122" s="27" t="s">
        <v>44</v>
      </c>
    </row>
    <row r="7123" spans="1:1">
      <c r="A7123" s="27">
        <v>262</v>
      </c>
    </row>
    <row r="7124" spans="1:1">
      <c r="A7124" s="27">
        <v>53</v>
      </c>
    </row>
    <row r="7125" spans="1:1">
      <c r="A7125" s="27">
        <v>66</v>
      </c>
    </row>
    <row r="7126" spans="1:1">
      <c r="A7126" s="27">
        <v>119</v>
      </c>
    </row>
    <row r="7127" spans="1:1">
      <c r="A7127" s="27">
        <v>38</v>
      </c>
    </row>
    <row r="7128" spans="1:1">
      <c r="A7128" s="27">
        <v>152</v>
      </c>
    </row>
    <row r="7129" spans="1:1">
      <c r="A7129" s="27">
        <v>0.45</v>
      </c>
    </row>
    <row r="7130" spans="1:1">
      <c r="A7130" s="27">
        <v>1</v>
      </c>
    </row>
    <row r="7131" spans="1:1">
      <c r="A7131" s="27">
        <v>1</v>
      </c>
    </row>
    <row r="7132" spans="1:1">
      <c r="A7132" s="27">
        <v>6</v>
      </c>
    </row>
    <row r="7133" spans="1:1">
      <c r="A7133" s="27">
        <v>7</v>
      </c>
    </row>
    <row r="7134" spans="1:1">
      <c r="A7134" s="27">
        <v>9</v>
      </c>
    </row>
    <row r="7135" spans="1:1">
      <c r="A7135" s="27">
        <v>0</v>
      </c>
    </row>
    <row r="7136" spans="1:1">
      <c r="A7136" s="27">
        <v>508</v>
      </c>
    </row>
    <row r="7137" spans="1:1">
      <c r="A7137" s="27">
        <v>10.4</v>
      </c>
    </row>
    <row r="7138" spans="1:1">
      <c r="A7138" s="29">
        <v>0.70972222222222225</v>
      </c>
    </row>
    <row r="7139" spans="1:1">
      <c r="A7139" s="27">
        <v>23.8</v>
      </c>
    </row>
    <row r="7140" spans="1:1">
      <c r="A7140" s="28">
        <v>45.4</v>
      </c>
    </row>
    <row r="7141" spans="1:1">
      <c r="A7141" s="25">
        <v>341</v>
      </c>
    </row>
    <row r="7142" spans="1:1" ht="30">
      <c r="A7142" s="26" t="s">
        <v>1160</v>
      </c>
    </row>
    <row r="7143" spans="1:1">
      <c r="A7143" s="27" t="s">
        <v>42</v>
      </c>
    </row>
    <row r="7144" spans="1:1">
      <c r="A7144" s="27">
        <v>535</v>
      </c>
    </row>
    <row r="7145" spans="1:1">
      <c r="A7145" s="27">
        <v>25</v>
      </c>
    </row>
    <row r="7146" spans="1:1">
      <c r="A7146" s="27">
        <v>94</v>
      </c>
    </row>
    <row r="7147" spans="1:1">
      <c r="A7147" s="27">
        <v>119</v>
      </c>
    </row>
    <row r="7148" spans="1:1">
      <c r="A7148" s="27">
        <v>-19</v>
      </c>
    </row>
    <row r="7149" spans="1:1">
      <c r="A7149" s="27">
        <v>207</v>
      </c>
    </row>
    <row r="7150" spans="1:1">
      <c r="A7150" s="27">
        <v>0.22</v>
      </c>
    </row>
    <row r="7151" spans="1:1">
      <c r="A7151" s="27">
        <v>1</v>
      </c>
    </row>
    <row r="7152" spans="1:1">
      <c r="A7152" s="27">
        <v>17</v>
      </c>
    </row>
    <row r="7153" spans="1:1">
      <c r="A7153" s="27">
        <v>2</v>
      </c>
    </row>
    <row r="7154" spans="1:1">
      <c r="A7154" s="27">
        <v>2</v>
      </c>
    </row>
    <row r="7155" spans="1:1">
      <c r="A7155" s="27">
        <v>5</v>
      </c>
    </row>
    <row r="7156" spans="1:1">
      <c r="A7156" s="27">
        <v>1</v>
      </c>
    </row>
    <row r="7157" spans="1:1">
      <c r="A7157" s="27">
        <v>603</v>
      </c>
    </row>
    <row r="7158" spans="1:1">
      <c r="A7158" s="27">
        <v>4.0999999999999996</v>
      </c>
    </row>
    <row r="7159" spans="1:1">
      <c r="A7159" s="29">
        <v>0.76041666666666663</v>
      </c>
    </row>
    <row r="7160" spans="1:1">
      <c r="A7160" s="27">
        <v>24.1</v>
      </c>
    </row>
    <row r="7161" spans="1:1">
      <c r="A7161" s="28">
        <v>0</v>
      </c>
    </row>
    <row r="7162" spans="1:1">
      <c r="A7162" s="25">
        <v>342</v>
      </c>
    </row>
    <row r="7163" spans="1:1" ht="30">
      <c r="A7163" s="26" t="s">
        <v>448</v>
      </c>
    </row>
    <row r="7164" spans="1:1">
      <c r="A7164" s="27" t="s">
        <v>44</v>
      </c>
    </row>
    <row r="7165" spans="1:1">
      <c r="A7165" s="27">
        <v>246</v>
      </c>
    </row>
    <row r="7166" spans="1:1">
      <c r="A7166" s="27">
        <v>54</v>
      </c>
    </row>
    <row r="7167" spans="1:1">
      <c r="A7167" s="27">
        <v>64</v>
      </c>
    </row>
    <row r="7168" spans="1:1">
      <c r="A7168" s="27">
        <v>118</v>
      </c>
    </row>
    <row r="7169" spans="1:1">
      <c r="A7169" s="27">
        <v>-1</v>
      </c>
    </row>
    <row r="7170" spans="1:1">
      <c r="A7170" s="27">
        <v>92</v>
      </c>
    </row>
    <row r="7171" spans="1:1">
      <c r="A7171" s="27">
        <v>0.48</v>
      </c>
    </row>
    <row r="7172" spans="1:1">
      <c r="A7172" s="27">
        <v>7</v>
      </c>
    </row>
    <row r="7173" spans="1:1">
      <c r="A7173" s="27">
        <v>28</v>
      </c>
    </row>
    <row r="7174" spans="1:1">
      <c r="A7174" s="27">
        <v>0</v>
      </c>
    </row>
    <row r="7175" spans="1:1">
      <c r="A7175" s="27">
        <v>0</v>
      </c>
    </row>
    <row r="7176" spans="1:1">
      <c r="A7176" s="27">
        <v>7</v>
      </c>
    </row>
    <row r="7177" spans="1:1">
      <c r="A7177" s="27">
        <v>0</v>
      </c>
    </row>
    <row r="7178" spans="1:1">
      <c r="A7178" s="27">
        <v>538</v>
      </c>
    </row>
    <row r="7179" spans="1:1">
      <c r="A7179" s="27">
        <v>10</v>
      </c>
    </row>
    <row r="7180" spans="1:1">
      <c r="A7180" s="29">
        <v>0.6166666666666667</v>
      </c>
    </row>
    <row r="7181" spans="1:1">
      <c r="A7181" s="27">
        <v>19.5</v>
      </c>
    </row>
    <row r="7182" spans="1:1">
      <c r="A7182" s="28">
        <v>20</v>
      </c>
    </row>
    <row r="7183" spans="1:1">
      <c r="A7183" s="25">
        <v>343</v>
      </c>
    </row>
    <row r="7184" spans="1:1" ht="30">
      <c r="A7184" s="26" t="s">
        <v>683</v>
      </c>
    </row>
    <row r="7185" spans="1:1">
      <c r="A7185" s="27" t="s">
        <v>653</v>
      </c>
    </row>
    <row r="7186" spans="1:1">
      <c r="A7186" s="27">
        <v>263</v>
      </c>
    </row>
    <row r="7187" spans="1:1">
      <c r="A7187" s="27">
        <v>45</v>
      </c>
    </row>
    <row r="7188" spans="1:1">
      <c r="A7188" s="27">
        <v>73</v>
      </c>
    </row>
    <row r="7189" spans="1:1">
      <c r="A7189" s="27">
        <v>118</v>
      </c>
    </row>
    <row r="7190" spans="1:1">
      <c r="A7190" s="27">
        <v>4</v>
      </c>
    </row>
    <row r="7191" spans="1:1">
      <c r="A7191" s="27">
        <v>80</v>
      </c>
    </row>
    <row r="7192" spans="1:1">
      <c r="A7192" s="27">
        <v>0.45</v>
      </c>
    </row>
    <row r="7193" spans="1:1">
      <c r="A7193" s="27">
        <v>10</v>
      </c>
    </row>
    <row r="7194" spans="1:1">
      <c r="A7194" s="27">
        <v>24</v>
      </c>
    </row>
    <row r="7195" spans="1:1">
      <c r="A7195" s="27">
        <v>1</v>
      </c>
    </row>
    <row r="7196" spans="1:1">
      <c r="A7196" s="27">
        <v>5</v>
      </c>
    </row>
    <row r="7197" spans="1:1">
      <c r="A7197" s="27">
        <v>5</v>
      </c>
    </row>
    <row r="7198" spans="1:1">
      <c r="A7198" s="27">
        <v>0</v>
      </c>
    </row>
    <row r="7199" spans="1:1">
      <c r="A7199" s="27">
        <v>361</v>
      </c>
    </row>
    <row r="7200" spans="1:1">
      <c r="A7200" s="27">
        <v>12.5</v>
      </c>
    </row>
    <row r="7201" spans="1:1">
      <c r="A7201" s="29">
        <v>0.61041666666666672</v>
      </c>
    </row>
    <row r="7202" spans="1:1">
      <c r="A7202" s="27">
        <v>20.3</v>
      </c>
    </row>
    <row r="7203" spans="1:1">
      <c r="A7203" s="28">
        <v>55.8</v>
      </c>
    </row>
    <row r="7204" spans="1:1">
      <c r="A7204" s="25">
        <v>344</v>
      </c>
    </row>
    <row r="7205" spans="1:1" ht="30">
      <c r="A7205" s="26" t="s">
        <v>705</v>
      </c>
    </row>
    <row r="7206" spans="1:1">
      <c r="A7206" s="27" t="s">
        <v>653</v>
      </c>
    </row>
    <row r="7207" spans="1:1">
      <c r="A7207" s="27">
        <v>385</v>
      </c>
    </row>
    <row r="7208" spans="1:1">
      <c r="A7208" s="27">
        <v>55</v>
      </c>
    </row>
    <row r="7209" spans="1:1">
      <c r="A7209" s="27">
        <v>62</v>
      </c>
    </row>
    <row r="7210" spans="1:1">
      <c r="A7210" s="27">
        <v>117</v>
      </c>
    </row>
    <row r="7211" spans="1:1">
      <c r="A7211" s="27">
        <v>9</v>
      </c>
    </row>
    <row r="7212" spans="1:1">
      <c r="A7212" s="27">
        <v>206</v>
      </c>
    </row>
    <row r="7213" spans="1:1">
      <c r="A7213" s="27">
        <v>0.3</v>
      </c>
    </row>
    <row r="7214" spans="1:1">
      <c r="A7214" s="27">
        <v>6</v>
      </c>
    </row>
    <row r="7215" spans="1:1">
      <c r="A7215" s="27">
        <v>14</v>
      </c>
    </row>
    <row r="7216" spans="1:1">
      <c r="A7216" s="27">
        <v>2</v>
      </c>
    </row>
    <row r="7217" spans="1:1">
      <c r="A7217" s="27">
        <v>5</v>
      </c>
    </row>
    <row r="7218" spans="1:1">
      <c r="A7218" s="27">
        <v>10</v>
      </c>
    </row>
    <row r="7219" spans="1:1">
      <c r="A7219" s="27">
        <v>0</v>
      </c>
    </row>
    <row r="7220" spans="1:1">
      <c r="A7220" s="27">
        <v>509</v>
      </c>
    </row>
    <row r="7221" spans="1:1">
      <c r="A7221" s="27">
        <v>10.8</v>
      </c>
    </row>
    <row r="7222" spans="1:1">
      <c r="A7222" s="29">
        <v>0.6118055555555556</v>
      </c>
    </row>
    <row r="7223" spans="1:1">
      <c r="A7223" s="27">
        <v>21.3</v>
      </c>
    </row>
    <row r="7224" spans="1:1">
      <c r="A7224" s="28">
        <v>51.9</v>
      </c>
    </row>
    <row r="7225" spans="1:1">
      <c r="A7225" s="25">
        <v>345</v>
      </c>
    </row>
    <row r="7226" spans="1:1" ht="30">
      <c r="A7226" s="26" t="s">
        <v>138</v>
      </c>
    </row>
    <row r="7227" spans="1:1">
      <c r="A7227" s="27" t="s">
        <v>43</v>
      </c>
    </row>
    <row r="7228" spans="1:1">
      <c r="A7228" s="27">
        <v>282</v>
      </c>
    </row>
    <row r="7229" spans="1:1">
      <c r="A7229" s="27">
        <v>46</v>
      </c>
    </row>
    <row r="7230" spans="1:1">
      <c r="A7230" s="27">
        <v>70</v>
      </c>
    </row>
    <row r="7231" spans="1:1">
      <c r="A7231" s="27">
        <v>116</v>
      </c>
    </row>
    <row r="7232" spans="1:1">
      <c r="A7232" s="27">
        <v>16</v>
      </c>
    </row>
    <row r="7233" spans="1:1">
      <c r="A7233" s="27">
        <v>52</v>
      </c>
    </row>
    <row r="7234" spans="1:1">
      <c r="A7234" s="27">
        <v>0.41</v>
      </c>
    </row>
    <row r="7235" spans="1:1">
      <c r="A7235" s="27">
        <v>4</v>
      </c>
    </row>
    <row r="7236" spans="1:1">
      <c r="A7236" s="27">
        <v>14</v>
      </c>
    </row>
    <row r="7237" spans="1:1">
      <c r="A7237" s="27">
        <v>2</v>
      </c>
    </row>
    <row r="7238" spans="1:1">
      <c r="A7238" s="27">
        <v>6</v>
      </c>
    </row>
    <row r="7239" spans="1:1">
      <c r="A7239" s="27">
        <v>6</v>
      </c>
    </row>
    <row r="7240" spans="1:1">
      <c r="A7240" s="27">
        <v>0</v>
      </c>
    </row>
    <row r="7241" spans="1:1">
      <c r="A7241" s="27">
        <v>416</v>
      </c>
    </row>
    <row r="7242" spans="1:1">
      <c r="A7242" s="27">
        <v>11.1</v>
      </c>
    </row>
    <row r="7243" spans="1:1">
      <c r="A7243" s="29">
        <v>0.64722222222222225</v>
      </c>
    </row>
    <row r="7244" spans="1:1">
      <c r="A7244" s="27">
        <v>22.3</v>
      </c>
    </row>
    <row r="7245" spans="1:1">
      <c r="A7245" s="28">
        <v>38.299999999999997</v>
      </c>
    </row>
    <row r="7246" spans="1:1">
      <c r="A7246" s="25">
        <v>346</v>
      </c>
    </row>
    <row r="7247" spans="1:1" ht="30">
      <c r="A7247" s="26" t="s">
        <v>291</v>
      </c>
    </row>
    <row r="7248" spans="1:1">
      <c r="A7248" s="27" t="s">
        <v>653</v>
      </c>
    </row>
    <row r="7249" spans="1:1">
      <c r="A7249" s="27">
        <v>176</v>
      </c>
    </row>
    <row r="7250" spans="1:1">
      <c r="A7250" s="27">
        <v>42</v>
      </c>
    </row>
    <row r="7251" spans="1:1">
      <c r="A7251" s="27">
        <v>73</v>
      </c>
    </row>
    <row r="7252" spans="1:1">
      <c r="A7252" s="27">
        <v>115</v>
      </c>
    </row>
    <row r="7253" spans="1:1">
      <c r="A7253" s="27">
        <v>4</v>
      </c>
    </row>
    <row r="7254" spans="1:1">
      <c r="A7254" s="27">
        <v>54</v>
      </c>
    </row>
    <row r="7255" spans="1:1">
      <c r="A7255" s="27">
        <v>0.65</v>
      </c>
    </row>
    <row r="7256" spans="1:1">
      <c r="A7256" s="27">
        <v>5</v>
      </c>
    </row>
    <row r="7257" spans="1:1">
      <c r="A7257" s="27">
        <v>22</v>
      </c>
    </row>
    <row r="7258" spans="1:1">
      <c r="A7258" s="27">
        <v>1</v>
      </c>
    </row>
    <row r="7259" spans="1:1">
      <c r="A7259" s="27">
        <v>1</v>
      </c>
    </row>
    <row r="7260" spans="1:1">
      <c r="A7260" s="27">
        <v>5</v>
      </c>
    </row>
    <row r="7261" spans="1:1">
      <c r="A7261" s="27">
        <v>3</v>
      </c>
    </row>
    <row r="7262" spans="1:1">
      <c r="A7262" s="27">
        <v>395</v>
      </c>
    </row>
    <row r="7263" spans="1:1">
      <c r="A7263" s="27">
        <v>10.6</v>
      </c>
    </row>
    <row r="7264" spans="1:1">
      <c r="A7264" s="29">
        <v>0.71458333333333324</v>
      </c>
    </row>
    <row r="7265" spans="1:1">
      <c r="A7265" s="27">
        <v>21.7</v>
      </c>
    </row>
    <row r="7266" spans="1:1">
      <c r="A7266" s="28">
        <v>45.4</v>
      </c>
    </row>
    <row r="7267" spans="1:1">
      <c r="A7267" s="25">
        <v>347</v>
      </c>
    </row>
    <row r="7268" spans="1:1" ht="30">
      <c r="A7268" s="26" t="s">
        <v>228</v>
      </c>
    </row>
    <row r="7269" spans="1:1">
      <c r="A7269" s="27" t="s">
        <v>42</v>
      </c>
    </row>
    <row r="7270" spans="1:1">
      <c r="A7270" s="27">
        <v>274</v>
      </c>
    </row>
    <row r="7271" spans="1:1">
      <c r="A7271" s="27">
        <v>36</v>
      </c>
    </row>
    <row r="7272" spans="1:1">
      <c r="A7272" s="27">
        <v>79</v>
      </c>
    </row>
    <row r="7273" spans="1:1">
      <c r="A7273" s="27">
        <v>115</v>
      </c>
    </row>
    <row r="7274" spans="1:1">
      <c r="A7274" s="27">
        <v>1</v>
      </c>
    </row>
    <row r="7275" spans="1:1">
      <c r="A7275" s="27">
        <v>100</v>
      </c>
    </row>
    <row r="7276" spans="1:1">
      <c r="A7276" s="27">
        <v>0.42</v>
      </c>
    </row>
    <row r="7277" spans="1:1">
      <c r="A7277" s="27">
        <v>6</v>
      </c>
    </row>
    <row r="7278" spans="1:1">
      <c r="A7278" s="27">
        <v>22</v>
      </c>
    </row>
    <row r="7279" spans="1:1">
      <c r="A7279" s="27">
        <v>0</v>
      </c>
    </row>
    <row r="7280" spans="1:1">
      <c r="A7280" s="27">
        <v>0</v>
      </c>
    </row>
    <row r="7281" spans="1:1">
      <c r="A7281" s="27">
        <v>7</v>
      </c>
    </row>
    <row r="7282" spans="1:1">
      <c r="A7282" s="27">
        <v>1</v>
      </c>
    </row>
    <row r="7283" spans="1:1">
      <c r="A7283" s="27">
        <v>569</v>
      </c>
    </row>
    <row r="7284" spans="1:1">
      <c r="A7284" s="27">
        <v>6.3</v>
      </c>
    </row>
    <row r="7285" spans="1:1">
      <c r="A7285" s="29">
        <v>0.99444444444444446</v>
      </c>
    </row>
    <row r="7286" spans="1:1">
      <c r="A7286" s="27">
        <v>28.9</v>
      </c>
    </row>
    <row r="7287" spans="1:1">
      <c r="A7287" s="28">
        <v>0</v>
      </c>
    </row>
    <row r="7288" spans="1:1">
      <c r="A7288" s="25">
        <v>348</v>
      </c>
    </row>
    <row r="7289" spans="1:1" ht="30">
      <c r="A7289" s="26" t="s">
        <v>1153</v>
      </c>
    </row>
    <row r="7290" spans="1:1">
      <c r="A7290" s="27" t="s">
        <v>42</v>
      </c>
    </row>
    <row r="7291" spans="1:1">
      <c r="A7291" s="27">
        <v>389</v>
      </c>
    </row>
    <row r="7292" spans="1:1">
      <c r="A7292" s="27">
        <v>26</v>
      </c>
    </row>
    <row r="7293" spans="1:1">
      <c r="A7293" s="27">
        <v>89</v>
      </c>
    </row>
    <row r="7294" spans="1:1">
      <c r="A7294" s="27">
        <v>115</v>
      </c>
    </row>
    <row r="7295" spans="1:1">
      <c r="A7295" s="27">
        <v>58</v>
      </c>
    </row>
    <row r="7296" spans="1:1">
      <c r="A7296" s="27">
        <v>102</v>
      </c>
    </row>
    <row r="7297" spans="1:1">
      <c r="A7297" s="27">
        <v>0.3</v>
      </c>
    </row>
    <row r="7298" spans="1:1">
      <c r="A7298" s="27">
        <v>4</v>
      </c>
    </row>
    <row r="7299" spans="1:1">
      <c r="A7299" s="27">
        <v>21</v>
      </c>
    </row>
    <row r="7300" spans="1:1">
      <c r="A7300" s="27">
        <v>1</v>
      </c>
    </row>
    <row r="7301" spans="1:1">
      <c r="A7301" s="27">
        <v>3</v>
      </c>
    </row>
    <row r="7302" spans="1:1">
      <c r="A7302" s="27">
        <v>7</v>
      </c>
    </row>
    <row r="7303" spans="1:1">
      <c r="A7303" s="27">
        <v>0</v>
      </c>
    </row>
    <row r="7304" spans="1:1">
      <c r="A7304" s="27">
        <v>577</v>
      </c>
    </row>
    <row r="7305" spans="1:1">
      <c r="A7305" s="27">
        <v>4.5</v>
      </c>
    </row>
    <row r="7306" spans="1:1">
      <c r="A7306" s="29">
        <v>0.78472222222222221</v>
      </c>
    </row>
    <row r="7307" spans="1:1">
      <c r="A7307" s="27">
        <v>25.1</v>
      </c>
    </row>
    <row r="7308" spans="1:1">
      <c r="A7308" s="28">
        <v>0</v>
      </c>
    </row>
    <row r="7309" spans="1:1">
      <c r="A7309" s="25">
        <v>349</v>
      </c>
    </row>
    <row r="7310" spans="1:1" ht="30">
      <c r="A7310" s="26" t="s">
        <v>750</v>
      </c>
    </row>
    <row r="7311" spans="1:1">
      <c r="A7311" s="27" t="s">
        <v>42</v>
      </c>
    </row>
    <row r="7312" spans="1:1">
      <c r="A7312" s="27">
        <v>449</v>
      </c>
    </row>
    <row r="7313" spans="1:1">
      <c r="A7313" s="27">
        <v>22</v>
      </c>
    </row>
    <row r="7314" spans="1:1">
      <c r="A7314" s="27">
        <v>93</v>
      </c>
    </row>
    <row r="7315" spans="1:1">
      <c r="A7315" s="27">
        <v>115</v>
      </c>
    </row>
    <row r="7316" spans="1:1">
      <c r="A7316" s="27">
        <v>35</v>
      </c>
    </row>
    <row r="7317" spans="1:1">
      <c r="A7317" s="27">
        <v>190</v>
      </c>
    </row>
    <row r="7318" spans="1:1">
      <c r="A7318" s="27">
        <v>0.26</v>
      </c>
    </row>
    <row r="7319" spans="1:1">
      <c r="A7319" s="27">
        <v>0</v>
      </c>
    </row>
    <row r="7320" spans="1:1">
      <c r="A7320" s="27">
        <v>4</v>
      </c>
    </row>
    <row r="7321" spans="1:1">
      <c r="A7321" s="27">
        <v>0</v>
      </c>
    </row>
    <row r="7322" spans="1:1">
      <c r="A7322" s="27">
        <v>4</v>
      </c>
    </row>
    <row r="7323" spans="1:1">
      <c r="A7323" s="27">
        <v>6</v>
      </c>
    </row>
    <row r="7324" spans="1:1">
      <c r="A7324" s="27">
        <v>5</v>
      </c>
    </row>
    <row r="7325" spans="1:1">
      <c r="A7325" s="27">
        <v>494</v>
      </c>
    </row>
    <row r="7326" spans="1:1">
      <c r="A7326" s="27">
        <v>4.5</v>
      </c>
    </row>
    <row r="7327" spans="1:1">
      <c r="A7327" s="29">
        <v>0.75486111111111109</v>
      </c>
    </row>
    <row r="7328" spans="1:1">
      <c r="A7328" s="27">
        <v>23.2</v>
      </c>
    </row>
    <row r="7329" spans="1:1">
      <c r="A7329" s="28">
        <v>50</v>
      </c>
    </row>
    <row r="7330" spans="1:1">
      <c r="A7330" s="25">
        <v>350</v>
      </c>
    </row>
    <row r="7331" spans="1:1" ht="30">
      <c r="A7331" s="26" t="s">
        <v>751</v>
      </c>
    </row>
    <row r="7332" spans="1:1">
      <c r="A7332" s="27" t="s">
        <v>42</v>
      </c>
    </row>
    <row r="7333" spans="1:1">
      <c r="A7333" s="27">
        <v>502</v>
      </c>
    </row>
    <row r="7334" spans="1:1">
      <c r="A7334" s="27">
        <v>22</v>
      </c>
    </row>
    <row r="7335" spans="1:1">
      <c r="A7335" s="27">
        <v>93</v>
      </c>
    </row>
    <row r="7336" spans="1:1">
      <c r="A7336" s="27">
        <v>115</v>
      </c>
    </row>
    <row r="7337" spans="1:1">
      <c r="A7337" s="27">
        <v>18</v>
      </c>
    </row>
    <row r="7338" spans="1:1">
      <c r="A7338" s="27">
        <v>207</v>
      </c>
    </row>
    <row r="7339" spans="1:1">
      <c r="A7339" s="27">
        <v>0.23</v>
      </c>
    </row>
    <row r="7340" spans="1:1">
      <c r="A7340" s="27">
        <v>3</v>
      </c>
    </row>
    <row r="7341" spans="1:1">
      <c r="A7341" s="27">
        <v>8</v>
      </c>
    </row>
    <row r="7342" spans="1:1">
      <c r="A7342" s="27">
        <v>0</v>
      </c>
    </row>
    <row r="7343" spans="1:1">
      <c r="A7343" s="27">
        <v>3</v>
      </c>
    </row>
    <row r="7344" spans="1:1">
      <c r="A7344" s="27">
        <v>4</v>
      </c>
    </row>
    <row r="7345" spans="1:1">
      <c r="A7345" s="27">
        <v>0</v>
      </c>
    </row>
    <row r="7346" spans="1:1">
      <c r="A7346" s="27">
        <v>556</v>
      </c>
    </row>
    <row r="7347" spans="1:1">
      <c r="A7347" s="27">
        <v>4</v>
      </c>
    </row>
    <row r="7348" spans="1:1">
      <c r="A7348" s="29">
        <v>0.75</v>
      </c>
    </row>
    <row r="7349" spans="1:1">
      <c r="A7349" s="27">
        <v>25</v>
      </c>
    </row>
    <row r="7350" spans="1:1">
      <c r="A7350" s="28">
        <v>50</v>
      </c>
    </row>
    <row r="7351" spans="1:1">
      <c r="A7351" s="25">
        <v>351</v>
      </c>
    </row>
    <row r="7352" spans="1:1" ht="45">
      <c r="A7352" s="26" t="s">
        <v>890</v>
      </c>
    </row>
    <row r="7353" spans="1:1">
      <c r="A7353" s="27" t="s">
        <v>43</v>
      </c>
    </row>
    <row r="7354" spans="1:1">
      <c r="A7354" s="27">
        <v>262</v>
      </c>
    </row>
    <row r="7355" spans="1:1">
      <c r="A7355" s="27">
        <v>65</v>
      </c>
    </row>
    <row r="7356" spans="1:1">
      <c r="A7356" s="27">
        <v>49</v>
      </c>
    </row>
    <row r="7357" spans="1:1">
      <c r="A7357" s="27">
        <v>114</v>
      </c>
    </row>
    <row r="7358" spans="1:1">
      <c r="A7358" s="27">
        <v>27</v>
      </c>
    </row>
    <row r="7359" spans="1:1">
      <c r="A7359" s="27">
        <v>207</v>
      </c>
    </row>
    <row r="7360" spans="1:1">
      <c r="A7360" s="27">
        <v>0.44</v>
      </c>
    </row>
    <row r="7361" spans="1:1">
      <c r="A7361" s="27">
        <v>4</v>
      </c>
    </row>
    <row r="7362" spans="1:1">
      <c r="A7362" s="27">
        <v>11</v>
      </c>
    </row>
    <row r="7363" spans="1:1">
      <c r="A7363" s="27">
        <v>2</v>
      </c>
    </row>
    <row r="7364" spans="1:1">
      <c r="A7364" s="27">
        <v>3</v>
      </c>
    </row>
    <row r="7365" spans="1:1">
      <c r="A7365" s="27">
        <v>13</v>
      </c>
    </row>
    <row r="7366" spans="1:1">
      <c r="A7366" s="27">
        <v>2</v>
      </c>
    </row>
    <row r="7367" spans="1:1">
      <c r="A7367" s="27">
        <v>607</v>
      </c>
    </row>
    <row r="7368" spans="1:1">
      <c r="A7368" s="27">
        <v>10.7</v>
      </c>
    </row>
    <row r="7369" spans="1:1">
      <c r="A7369" s="29">
        <v>0.63958333333333328</v>
      </c>
    </row>
    <row r="7370" spans="1:1">
      <c r="A7370" s="27">
        <v>20.399999999999999</v>
      </c>
    </row>
    <row r="7371" spans="1:1">
      <c r="A7371" s="28">
        <v>35.9</v>
      </c>
    </row>
    <row r="7372" spans="1:1">
      <c r="A7372" s="25">
        <v>352</v>
      </c>
    </row>
    <row r="7373" spans="1:1" ht="45">
      <c r="A7373" s="26" t="s">
        <v>254</v>
      </c>
    </row>
    <row r="7374" spans="1:1">
      <c r="A7374" s="27" t="s">
        <v>43</v>
      </c>
    </row>
    <row r="7375" spans="1:1">
      <c r="A7375" s="27">
        <v>224</v>
      </c>
    </row>
    <row r="7376" spans="1:1">
      <c r="A7376" s="27">
        <v>50</v>
      </c>
    </row>
    <row r="7377" spans="1:1">
      <c r="A7377" s="27">
        <v>62</v>
      </c>
    </row>
    <row r="7378" spans="1:1">
      <c r="A7378" s="27">
        <v>112</v>
      </c>
    </row>
    <row r="7379" spans="1:1">
      <c r="A7379" s="27">
        <v>18</v>
      </c>
    </row>
    <row r="7380" spans="1:1">
      <c r="A7380" s="27">
        <v>31</v>
      </c>
    </row>
    <row r="7381" spans="1:1">
      <c r="A7381" s="27">
        <v>0.5</v>
      </c>
    </row>
    <row r="7382" spans="1:1">
      <c r="A7382" s="27">
        <v>8</v>
      </c>
    </row>
    <row r="7383" spans="1:1">
      <c r="A7383" s="27">
        <v>17</v>
      </c>
    </row>
    <row r="7384" spans="1:1">
      <c r="A7384" s="27">
        <v>0</v>
      </c>
    </row>
    <row r="7385" spans="1:1">
      <c r="A7385" s="27">
        <v>0</v>
      </c>
    </row>
    <row r="7386" spans="1:1">
      <c r="A7386" s="27">
        <v>8</v>
      </c>
    </row>
    <row r="7387" spans="1:1">
      <c r="A7387" s="27">
        <v>0</v>
      </c>
    </row>
    <row r="7388" spans="1:1">
      <c r="A7388" s="27">
        <v>484</v>
      </c>
    </row>
    <row r="7389" spans="1:1">
      <c r="A7389" s="27">
        <v>10.3</v>
      </c>
    </row>
    <row r="7390" spans="1:1">
      <c r="A7390" s="29">
        <v>0.58402777777777781</v>
      </c>
    </row>
    <row r="7391" spans="1:1">
      <c r="A7391" s="27">
        <v>17.899999999999999</v>
      </c>
    </row>
    <row r="7392" spans="1:1">
      <c r="A7392" s="28">
        <v>30.3</v>
      </c>
    </row>
    <row r="7393" spans="1:1">
      <c r="A7393" s="25">
        <v>353</v>
      </c>
    </row>
    <row r="7394" spans="1:1" ht="30">
      <c r="A7394" s="26" t="s">
        <v>1161</v>
      </c>
    </row>
    <row r="7395" spans="1:1">
      <c r="A7395" s="27" t="s">
        <v>42</v>
      </c>
    </row>
    <row r="7396" spans="1:1">
      <c r="A7396" s="27">
        <v>508</v>
      </c>
    </row>
    <row r="7397" spans="1:1">
      <c r="A7397" s="27">
        <v>36</v>
      </c>
    </row>
    <row r="7398" spans="1:1">
      <c r="A7398" s="27">
        <v>76</v>
      </c>
    </row>
    <row r="7399" spans="1:1">
      <c r="A7399" s="27">
        <v>112</v>
      </c>
    </row>
    <row r="7400" spans="1:1">
      <c r="A7400" s="27">
        <v>-32</v>
      </c>
    </row>
    <row r="7401" spans="1:1">
      <c r="A7401" s="27">
        <v>210</v>
      </c>
    </row>
    <row r="7402" spans="1:1">
      <c r="A7402" s="27">
        <v>0.22</v>
      </c>
    </row>
    <row r="7403" spans="1:1">
      <c r="A7403" s="27">
        <v>4</v>
      </c>
    </row>
    <row r="7404" spans="1:1">
      <c r="A7404" s="27">
        <v>20</v>
      </c>
    </row>
    <row r="7405" spans="1:1">
      <c r="A7405" s="27">
        <v>1</v>
      </c>
    </row>
    <row r="7406" spans="1:1">
      <c r="A7406" s="27">
        <v>2</v>
      </c>
    </row>
    <row r="7407" spans="1:1">
      <c r="A7407" s="27">
        <v>9</v>
      </c>
    </row>
    <row r="7408" spans="1:1">
      <c r="A7408" s="27">
        <v>6</v>
      </c>
    </row>
    <row r="7409" spans="1:1">
      <c r="A7409" s="27">
        <v>731</v>
      </c>
    </row>
    <row r="7410" spans="1:1">
      <c r="A7410" s="27">
        <v>4.9000000000000004</v>
      </c>
    </row>
    <row r="7411" spans="1:1">
      <c r="A7411" s="29">
        <v>0.73472222222222217</v>
      </c>
    </row>
    <row r="7412" spans="1:1">
      <c r="A7412" s="27">
        <v>23.9</v>
      </c>
    </row>
    <row r="7413" spans="1:1">
      <c r="A7413" s="28">
        <v>0</v>
      </c>
    </row>
    <row r="7414" spans="1:1">
      <c r="A7414" s="25">
        <v>354</v>
      </c>
    </row>
    <row r="7415" spans="1:1" ht="30">
      <c r="A7415" s="26" t="s">
        <v>175</v>
      </c>
    </row>
    <row r="7416" spans="1:1">
      <c r="A7416" s="27" t="s">
        <v>42</v>
      </c>
    </row>
    <row r="7417" spans="1:1">
      <c r="A7417" s="27">
        <v>446</v>
      </c>
    </row>
    <row r="7418" spans="1:1">
      <c r="A7418" s="27">
        <v>24</v>
      </c>
    </row>
    <row r="7419" spans="1:1">
      <c r="A7419" s="27">
        <v>88</v>
      </c>
    </row>
    <row r="7420" spans="1:1">
      <c r="A7420" s="27">
        <v>112</v>
      </c>
    </row>
    <row r="7421" spans="1:1">
      <c r="A7421" s="27">
        <v>23</v>
      </c>
    </row>
    <row r="7422" spans="1:1">
      <c r="A7422" s="27">
        <v>604</v>
      </c>
    </row>
    <row r="7423" spans="1:1">
      <c r="A7423" s="27">
        <v>0.25</v>
      </c>
    </row>
    <row r="7424" spans="1:1">
      <c r="A7424" s="27">
        <v>1</v>
      </c>
    </row>
    <row r="7425" spans="1:1">
      <c r="A7425" s="27">
        <v>5</v>
      </c>
    </row>
    <row r="7426" spans="1:1">
      <c r="A7426" s="27">
        <v>0</v>
      </c>
    </row>
    <row r="7427" spans="1:1">
      <c r="A7427" s="27">
        <v>1</v>
      </c>
    </row>
    <row r="7428" spans="1:1">
      <c r="A7428" s="27">
        <v>4</v>
      </c>
    </row>
    <row r="7429" spans="1:1">
      <c r="A7429" s="27">
        <v>1</v>
      </c>
    </row>
    <row r="7430" spans="1:1">
      <c r="A7430" s="27">
        <v>784</v>
      </c>
    </row>
    <row r="7431" spans="1:1">
      <c r="A7431" s="27">
        <v>3.1</v>
      </c>
    </row>
    <row r="7432" spans="1:1">
      <c r="A7432" s="29">
        <v>0.76527777777777783</v>
      </c>
    </row>
    <row r="7433" spans="1:1">
      <c r="A7433" s="27">
        <v>23.6</v>
      </c>
    </row>
    <row r="7434" spans="1:1">
      <c r="A7434" s="28">
        <v>0</v>
      </c>
    </row>
    <row r="7435" spans="1:1">
      <c r="A7435" s="25">
        <v>355</v>
      </c>
    </row>
    <row r="7436" spans="1:1" ht="45">
      <c r="A7436" s="26" t="s">
        <v>686</v>
      </c>
    </row>
    <row r="7437" spans="1:1">
      <c r="A7437" s="27" t="s">
        <v>653</v>
      </c>
    </row>
    <row r="7438" spans="1:1">
      <c r="A7438" s="27">
        <v>459</v>
      </c>
    </row>
    <row r="7439" spans="1:1">
      <c r="A7439" s="27">
        <v>49</v>
      </c>
    </row>
    <row r="7440" spans="1:1">
      <c r="A7440" s="27">
        <v>58</v>
      </c>
    </row>
    <row r="7441" spans="1:1">
      <c r="A7441" s="27">
        <v>107</v>
      </c>
    </row>
    <row r="7442" spans="1:1">
      <c r="A7442" s="27">
        <v>-28</v>
      </c>
    </row>
    <row r="7443" spans="1:1">
      <c r="A7443" s="27">
        <v>162</v>
      </c>
    </row>
    <row r="7444" spans="1:1">
      <c r="A7444" s="27">
        <v>0.23</v>
      </c>
    </row>
    <row r="7445" spans="1:1">
      <c r="A7445" s="27">
        <v>2</v>
      </c>
    </row>
    <row r="7446" spans="1:1">
      <c r="A7446" s="27">
        <v>3</v>
      </c>
    </row>
    <row r="7447" spans="1:1">
      <c r="A7447" s="27">
        <v>4</v>
      </c>
    </row>
    <row r="7448" spans="1:1">
      <c r="A7448" s="27">
        <v>7</v>
      </c>
    </row>
    <row r="7449" spans="1:1">
      <c r="A7449" s="27">
        <v>9</v>
      </c>
    </row>
    <row r="7450" spans="1:1">
      <c r="A7450" s="27">
        <v>0</v>
      </c>
    </row>
    <row r="7451" spans="1:1">
      <c r="A7451" s="27">
        <v>541</v>
      </c>
    </row>
    <row r="7452" spans="1:1">
      <c r="A7452" s="27">
        <v>9</v>
      </c>
    </row>
    <row r="7453" spans="1:1">
      <c r="A7453" s="29">
        <v>0.59305555555555556</v>
      </c>
    </row>
    <row r="7454" spans="1:1">
      <c r="A7454" s="27">
        <v>21.1</v>
      </c>
    </row>
    <row r="7455" spans="1:1">
      <c r="A7455" s="28">
        <v>53.9</v>
      </c>
    </row>
    <row r="7456" spans="1:1">
      <c r="A7456" s="25">
        <v>356</v>
      </c>
    </row>
    <row r="7457" spans="1:1" ht="30">
      <c r="A7457" s="26" t="s">
        <v>424</v>
      </c>
    </row>
    <row r="7458" spans="1:1">
      <c r="A7458" s="27" t="s">
        <v>42</v>
      </c>
    </row>
    <row r="7459" spans="1:1">
      <c r="A7459" s="27">
        <v>520</v>
      </c>
    </row>
    <row r="7460" spans="1:1">
      <c r="A7460" s="27">
        <v>19</v>
      </c>
    </row>
    <row r="7461" spans="1:1">
      <c r="A7461" s="27">
        <v>88</v>
      </c>
    </row>
    <row r="7462" spans="1:1">
      <c r="A7462" s="27">
        <v>107</v>
      </c>
    </row>
    <row r="7463" spans="1:1">
      <c r="A7463" s="27">
        <v>-18</v>
      </c>
    </row>
    <row r="7464" spans="1:1">
      <c r="A7464" s="27">
        <v>356</v>
      </c>
    </row>
    <row r="7465" spans="1:1">
      <c r="A7465" s="27">
        <v>0.21</v>
      </c>
    </row>
    <row r="7466" spans="1:1">
      <c r="A7466" s="27">
        <v>1</v>
      </c>
    </row>
    <row r="7467" spans="1:1">
      <c r="A7467" s="27">
        <v>11</v>
      </c>
    </row>
    <row r="7468" spans="1:1">
      <c r="A7468" s="27">
        <v>0</v>
      </c>
    </row>
    <row r="7469" spans="1:1">
      <c r="A7469" s="27">
        <v>4</v>
      </c>
    </row>
    <row r="7470" spans="1:1">
      <c r="A7470" s="27">
        <v>5</v>
      </c>
    </row>
    <row r="7471" spans="1:1">
      <c r="A7471" s="27">
        <v>1</v>
      </c>
    </row>
    <row r="7472" spans="1:1">
      <c r="A7472" s="27">
        <v>508</v>
      </c>
    </row>
    <row r="7473" spans="1:1">
      <c r="A7473" s="27">
        <v>3.7</v>
      </c>
    </row>
    <row r="7474" spans="1:1">
      <c r="A7474" s="29">
        <v>0.75138888888888899</v>
      </c>
    </row>
    <row r="7475" spans="1:1">
      <c r="A7475" s="27">
        <v>23.4</v>
      </c>
    </row>
    <row r="7476" spans="1:1">
      <c r="A7476" s="28">
        <v>0</v>
      </c>
    </row>
    <row r="7477" spans="1:1">
      <c r="A7477" s="25">
        <v>357</v>
      </c>
    </row>
    <row r="7478" spans="1:1" ht="30">
      <c r="A7478" s="26" t="s">
        <v>763</v>
      </c>
    </row>
    <row r="7479" spans="1:1">
      <c r="A7479" s="27" t="s">
        <v>653</v>
      </c>
    </row>
    <row r="7480" spans="1:1">
      <c r="A7480" s="27">
        <v>361</v>
      </c>
    </row>
    <row r="7481" spans="1:1">
      <c r="A7481" s="27">
        <v>57</v>
      </c>
    </row>
    <row r="7482" spans="1:1">
      <c r="A7482" s="27">
        <v>49</v>
      </c>
    </row>
    <row r="7483" spans="1:1">
      <c r="A7483" s="27">
        <v>106</v>
      </c>
    </row>
    <row r="7484" spans="1:1">
      <c r="A7484" s="27">
        <v>-2</v>
      </c>
    </row>
    <row r="7485" spans="1:1">
      <c r="A7485" s="27">
        <v>120</v>
      </c>
    </row>
    <row r="7486" spans="1:1">
      <c r="A7486" s="27">
        <v>0.28999999999999998</v>
      </c>
    </row>
    <row r="7487" spans="1:1">
      <c r="A7487" s="27">
        <v>1</v>
      </c>
    </row>
    <row r="7488" spans="1:1">
      <c r="A7488" s="27">
        <v>1</v>
      </c>
    </row>
    <row r="7489" spans="1:1">
      <c r="A7489" s="27">
        <v>3</v>
      </c>
    </row>
    <row r="7490" spans="1:1">
      <c r="A7490" s="27">
        <v>3</v>
      </c>
    </row>
    <row r="7491" spans="1:1">
      <c r="A7491" s="27">
        <v>7</v>
      </c>
    </row>
    <row r="7492" spans="1:1">
      <c r="A7492" s="27">
        <v>1</v>
      </c>
    </row>
    <row r="7493" spans="1:1">
      <c r="A7493" s="27">
        <v>444</v>
      </c>
    </row>
    <row r="7494" spans="1:1">
      <c r="A7494" s="27">
        <v>12.8</v>
      </c>
    </row>
    <row r="7495" spans="1:1">
      <c r="A7495" s="29">
        <v>0.54583333333333328</v>
      </c>
    </row>
    <row r="7496" spans="1:1">
      <c r="A7496" s="27">
        <v>19.899999999999999</v>
      </c>
    </row>
    <row r="7497" spans="1:1">
      <c r="A7497" s="28">
        <v>49.1</v>
      </c>
    </row>
    <row r="7498" spans="1:1">
      <c r="A7498" s="25">
        <v>358</v>
      </c>
    </row>
    <row r="7499" spans="1:1" ht="30">
      <c r="A7499" s="26" t="s">
        <v>215</v>
      </c>
    </row>
    <row r="7500" spans="1:1">
      <c r="A7500" s="27" t="s">
        <v>653</v>
      </c>
    </row>
    <row r="7501" spans="1:1">
      <c r="A7501" s="27">
        <v>270</v>
      </c>
    </row>
    <row r="7502" spans="1:1">
      <c r="A7502" s="27">
        <v>47</v>
      </c>
    </row>
    <row r="7503" spans="1:1">
      <c r="A7503" s="27">
        <v>59</v>
      </c>
    </row>
    <row r="7504" spans="1:1">
      <c r="A7504" s="27">
        <v>106</v>
      </c>
    </row>
    <row r="7505" spans="1:1">
      <c r="A7505" s="27">
        <v>15</v>
      </c>
    </row>
    <row r="7506" spans="1:1">
      <c r="A7506" s="27">
        <v>101</v>
      </c>
    </row>
    <row r="7507" spans="1:1">
      <c r="A7507" s="27">
        <v>0.39</v>
      </c>
    </row>
    <row r="7508" spans="1:1">
      <c r="A7508" s="27">
        <v>4</v>
      </c>
    </row>
    <row r="7509" spans="1:1">
      <c r="A7509" s="27">
        <v>10</v>
      </c>
    </row>
    <row r="7510" spans="1:1">
      <c r="A7510" s="27">
        <v>4</v>
      </c>
    </row>
    <row r="7511" spans="1:1">
      <c r="A7511" s="27">
        <v>5</v>
      </c>
    </row>
    <row r="7512" spans="1:1">
      <c r="A7512" s="27">
        <v>9</v>
      </c>
    </row>
    <row r="7513" spans="1:1">
      <c r="A7513" s="27">
        <v>1</v>
      </c>
    </row>
    <row r="7514" spans="1:1">
      <c r="A7514" s="27">
        <v>495</v>
      </c>
    </row>
    <row r="7515" spans="1:1">
      <c r="A7515" s="27">
        <v>9.5</v>
      </c>
    </row>
    <row r="7516" spans="1:1">
      <c r="A7516" s="29">
        <v>0.55833333333333335</v>
      </c>
    </row>
    <row r="7517" spans="1:1">
      <c r="A7517" s="27">
        <v>19.7</v>
      </c>
    </row>
    <row r="7518" spans="1:1">
      <c r="A7518" s="28">
        <v>41</v>
      </c>
    </row>
    <row r="7519" spans="1:1">
      <c r="A7519" s="25">
        <v>359</v>
      </c>
    </row>
    <row r="7520" spans="1:1" ht="30">
      <c r="A7520" s="26" t="s">
        <v>1174</v>
      </c>
    </row>
    <row r="7521" spans="1:1">
      <c r="A7521" s="27" t="s">
        <v>42</v>
      </c>
    </row>
    <row r="7522" spans="1:1">
      <c r="A7522" s="27">
        <v>558</v>
      </c>
    </row>
    <row r="7523" spans="1:1">
      <c r="A7523" s="27">
        <v>21</v>
      </c>
    </row>
    <row r="7524" spans="1:1">
      <c r="A7524" s="27">
        <v>85</v>
      </c>
    </row>
    <row r="7525" spans="1:1">
      <c r="A7525" s="27">
        <v>106</v>
      </c>
    </row>
    <row r="7526" spans="1:1">
      <c r="A7526" s="27">
        <v>7</v>
      </c>
    </row>
    <row r="7527" spans="1:1">
      <c r="A7527" s="27">
        <v>514</v>
      </c>
    </row>
    <row r="7528" spans="1:1">
      <c r="A7528" s="27">
        <v>0.19</v>
      </c>
    </row>
    <row r="7529" spans="1:1">
      <c r="A7529" s="27">
        <v>0</v>
      </c>
    </row>
    <row r="7530" spans="1:1">
      <c r="A7530" s="27">
        <v>0</v>
      </c>
    </row>
    <row r="7531" spans="1:1">
      <c r="A7531" s="27">
        <v>4</v>
      </c>
    </row>
    <row r="7532" spans="1:1">
      <c r="A7532" s="27">
        <v>6</v>
      </c>
    </row>
    <row r="7533" spans="1:1">
      <c r="A7533" s="27">
        <v>4</v>
      </c>
    </row>
    <row r="7534" spans="1:1">
      <c r="A7534" s="27">
        <v>0</v>
      </c>
    </row>
    <row r="7535" spans="1:1">
      <c r="A7535" s="27">
        <v>637</v>
      </c>
    </row>
    <row r="7536" spans="1:1">
      <c r="A7536" s="27">
        <v>3.3</v>
      </c>
    </row>
    <row r="7537" spans="1:1">
      <c r="A7537" s="29">
        <v>0.76874999999999993</v>
      </c>
    </row>
    <row r="7538" spans="1:1">
      <c r="A7538" s="27">
        <v>23.7</v>
      </c>
    </row>
    <row r="7539" spans="1:1">
      <c r="A7539" s="28">
        <v>0</v>
      </c>
    </row>
    <row r="7540" spans="1:1">
      <c r="A7540" s="25">
        <v>360</v>
      </c>
    </row>
    <row r="7541" spans="1:1" ht="30">
      <c r="A7541" s="26" t="s">
        <v>1113</v>
      </c>
    </row>
    <row r="7542" spans="1:1">
      <c r="A7542" s="27" t="s">
        <v>42</v>
      </c>
    </row>
    <row r="7543" spans="1:1">
      <c r="A7543" s="27">
        <v>339</v>
      </c>
    </row>
    <row r="7544" spans="1:1">
      <c r="A7544" s="27">
        <v>14</v>
      </c>
    </row>
    <row r="7545" spans="1:1">
      <c r="A7545" s="27">
        <v>92</v>
      </c>
    </row>
    <row r="7546" spans="1:1">
      <c r="A7546" s="27">
        <v>106</v>
      </c>
    </row>
    <row r="7547" spans="1:1">
      <c r="A7547" s="27">
        <v>17</v>
      </c>
    </row>
    <row r="7548" spans="1:1">
      <c r="A7548" s="27">
        <v>104</v>
      </c>
    </row>
    <row r="7549" spans="1:1">
      <c r="A7549" s="27">
        <v>0.31</v>
      </c>
    </row>
    <row r="7550" spans="1:1">
      <c r="A7550" s="27">
        <v>5</v>
      </c>
    </row>
    <row r="7551" spans="1:1">
      <c r="A7551" s="27">
        <v>22</v>
      </c>
    </row>
    <row r="7552" spans="1:1">
      <c r="A7552" s="27">
        <v>0</v>
      </c>
    </row>
    <row r="7553" spans="1:1">
      <c r="A7553" s="27">
        <v>2</v>
      </c>
    </row>
    <row r="7554" spans="1:1">
      <c r="A7554" s="27">
        <v>0</v>
      </c>
    </row>
    <row r="7555" spans="1:1">
      <c r="A7555" s="27">
        <v>0</v>
      </c>
    </row>
    <row r="7556" spans="1:1">
      <c r="A7556" s="27">
        <v>340</v>
      </c>
    </row>
    <row r="7557" spans="1:1">
      <c r="A7557" s="27">
        <v>4.0999999999999996</v>
      </c>
    </row>
    <row r="7558" spans="1:1">
      <c r="A7558" s="29">
        <v>0.84861111111111109</v>
      </c>
    </row>
    <row r="7559" spans="1:1">
      <c r="A7559" s="27">
        <v>25.2</v>
      </c>
    </row>
    <row r="7560" spans="1:1">
      <c r="A7560" s="28">
        <v>0</v>
      </c>
    </row>
    <row r="7561" spans="1:1">
      <c r="A7561" s="25">
        <v>361</v>
      </c>
    </row>
    <row r="7562" spans="1:1" ht="45">
      <c r="A7562" s="26" t="s">
        <v>395</v>
      </c>
    </row>
    <row r="7563" spans="1:1">
      <c r="A7563" s="27" t="s">
        <v>44</v>
      </c>
    </row>
    <row r="7564" spans="1:1">
      <c r="A7564" s="27">
        <v>244</v>
      </c>
    </row>
    <row r="7565" spans="1:1">
      <c r="A7565" s="27">
        <v>57</v>
      </c>
    </row>
    <row r="7566" spans="1:1">
      <c r="A7566" s="27">
        <v>48</v>
      </c>
    </row>
    <row r="7567" spans="1:1">
      <c r="A7567" s="27">
        <v>105</v>
      </c>
    </row>
    <row r="7568" spans="1:1">
      <c r="A7568" s="27">
        <v>11</v>
      </c>
    </row>
    <row r="7569" spans="1:1">
      <c r="A7569" s="27">
        <v>40</v>
      </c>
    </row>
    <row r="7570" spans="1:1">
      <c r="A7570" s="27">
        <v>0.43</v>
      </c>
    </row>
    <row r="7571" spans="1:1">
      <c r="A7571" s="27">
        <v>6</v>
      </c>
    </row>
    <row r="7572" spans="1:1">
      <c r="A7572" s="27">
        <v>15</v>
      </c>
    </row>
    <row r="7573" spans="1:1">
      <c r="A7573" s="27">
        <v>1</v>
      </c>
    </row>
    <row r="7574" spans="1:1">
      <c r="A7574" s="27">
        <v>1</v>
      </c>
    </row>
    <row r="7575" spans="1:1">
      <c r="A7575" s="27">
        <v>9</v>
      </c>
    </row>
    <row r="7576" spans="1:1">
      <c r="A7576" s="27">
        <v>0</v>
      </c>
    </row>
    <row r="7577" spans="1:1">
      <c r="A7577" s="27">
        <v>442</v>
      </c>
    </row>
    <row r="7578" spans="1:1">
      <c r="A7578" s="27">
        <v>12.9</v>
      </c>
    </row>
    <row r="7579" spans="1:1">
      <c r="A7579" s="29">
        <v>0.60416666666666663</v>
      </c>
    </row>
    <row r="7580" spans="1:1">
      <c r="A7580" s="27">
        <v>18.2</v>
      </c>
    </row>
    <row r="7581" spans="1:1">
      <c r="A7581" s="28">
        <v>43</v>
      </c>
    </row>
    <row r="7582" spans="1:1">
      <c r="A7582" s="25">
        <v>362</v>
      </c>
    </row>
    <row r="7583" spans="1:1" ht="30">
      <c r="A7583" s="26" t="s">
        <v>185</v>
      </c>
    </row>
    <row r="7584" spans="1:1">
      <c r="A7584" s="27" t="s">
        <v>44</v>
      </c>
    </row>
    <row r="7585" spans="1:1">
      <c r="A7585" s="27">
        <v>206</v>
      </c>
    </row>
    <row r="7586" spans="1:1">
      <c r="A7586" s="27">
        <v>54</v>
      </c>
    </row>
    <row r="7587" spans="1:1">
      <c r="A7587" s="27">
        <v>51</v>
      </c>
    </row>
    <row r="7588" spans="1:1">
      <c r="A7588" s="27">
        <v>105</v>
      </c>
    </row>
    <row r="7589" spans="1:1">
      <c r="A7589" s="27">
        <v>31</v>
      </c>
    </row>
    <row r="7590" spans="1:1">
      <c r="A7590" s="27">
        <v>51</v>
      </c>
    </row>
    <row r="7591" spans="1:1">
      <c r="A7591" s="27">
        <v>0.51</v>
      </c>
    </row>
    <row r="7592" spans="1:1">
      <c r="A7592" s="27">
        <v>5</v>
      </c>
    </row>
    <row r="7593" spans="1:1">
      <c r="A7593" s="27">
        <v>16</v>
      </c>
    </row>
    <row r="7594" spans="1:1">
      <c r="A7594" s="27">
        <v>0</v>
      </c>
    </row>
    <row r="7595" spans="1:1">
      <c r="A7595" s="27">
        <v>0</v>
      </c>
    </row>
    <row r="7596" spans="1:1">
      <c r="A7596" s="27">
        <v>10</v>
      </c>
    </row>
    <row r="7597" spans="1:1">
      <c r="A7597" s="27">
        <v>1</v>
      </c>
    </row>
    <row r="7598" spans="1:1">
      <c r="A7598" s="27">
        <v>415</v>
      </c>
    </row>
    <row r="7599" spans="1:1">
      <c r="A7599" s="27">
        <v>13</v>
      </c>
    </row>
    <row r="7600" spans="1:1">
      <c r="A7600" s="29">
        <v>0.5541666666666667</v>
      </c>
    </row>
    <row r="7601" spans="1:1">
      <c r="A7601" s="27">
        <v>16.399999999999999</v>
      </c>
    </row>
    <row r="7602" spans="1:1">
      <c r="A7602" s="28">
        <v>42.2</v>
      </c>
    </row>
    <row r="7603" spans="1:1">
      <c r="A7603" s="25">
        <v>363</v>
      </c>
    </row>
    <row r="7604" spans="1:1" ht="45">
      <c r="A7604" s="26" t="s">
        <v>1120</v>
      </c>
    </row>
    <row r="7605" spans="1:1">
      <c r="A7605" s="27" t="s">
        <v>42</v>
      </c>
    </row>
    <row r="7606" spans="1:1">
      <c r="A7606" s="27">
        <v>474</v>
      </c>
    </row>
    <row r="7607" spans="1:1">
      <c r="A7607" s="27">
        <v>21</v>
      </c>
    </row>
    <row r="7608" spans="1:1">
      <c r="A7608" s="27">
        <v>84</v>
      </c>
    </row>
    <row r="7609" spans="1:1">
      <c r="A7609" s="27">
        <v>105</v>
      </c>
    </row>
    <row r="7610" spans="1:1">
      <c r="A7610" s="27">
        <v>42</v>
      </c>
    </row>
    <row r="7611" spans="1:1">
      <c r="A7611" s="27">
        <v>90</v>
      </c>
    </row>
    <row r="7612" spans="1:1">
      <c r="A7612" s="27">
        <v>0.22</v>
      </c>
    </row>
    <row r="7613" spans="1:1">
      <c r="A7613" s="27">
        <v>2</v>
      </c>
    </row>
    <row r="7614" spans="1:1">
      <c r="A7614" s="27">
        <v>6</v>
      </c>
    </row>
    <row r="7615" spans="1:1">
      <c r="A7615" s="27">
        <v>1</v>
      </c>
    </row>
    <row r="7616" spans="1:1">
      <c r="A7616" s="27">
        <v>5</v>
      </c>
    </row>
    <row r="7617" spans="1:1">
      <c r="A7617" s="27">
        <v>5</v>
      </c>
    </row>
    <row r="7618" spans="1:1">
      <c r="A7618" s="27">
        <v>3</v>
      </c>
    </row>
    <row r="7619" spans="1:1">
      <c r="A7619" s="27">
        <v>348</v>
      </c>
    </row>
    <row r="7620" spans="1:1">
      <c r="A7620" s="27">
        <v>6</v>
      </c>
    </row>
    <row r="7621" spans="1:1">
      <c r="A7621" s="29">
        <v>0.82361111111111107</v>
      </c>
    </row>
    <row r="7622" spans="1:1">
      <c r="A7622" s="27">
        <v>27.2</v>
      </c>
    </row>
    <row r="7623" spans="1:1">
      <c r="A7623" s="28">
        <v>0</v>
      </c>
    </row>
    <row r="7624" spans="1:1">
      <c r="A7624" s="25">
        <v>364</v>
      </c>
    </row>
    <row r="7625" spans="1:1" ht="30">
      <c r="A7625" s="26" t="s">
        <v>77</v>
      </c>
    </row>
    <row r="7626" spans="1:1">
      <c r="A7626" s="27" t="s">
        <v>42</v>
      </c>
    </row>
    <row r="7627" spans="1:1">
      <c r="A7627" s="27">
        <v>272</v>
      </c>
    </row>
    <row r="7628" spans="1:1">
      <c r="A7628" s="27">
        <v>22</v>
      </c>
    </row>
    <row r="7629" spans="1:1">
      <c r="A7629" s="27">
        <v>81</v>
      </c>
    </row>
    <row r="7630" spans="1:1">
      <c r="A7630" s="27">
        <v>103</v>
      </c>
    </row>
    <row r="7631" spans="1:1">
      <c r="A7631" s="27">
        <v>-6</v>
      </c>
    </row>
    <row r="7632" spans="1:1">
      <c r="A7632" s="27">
        <v>199</v>
      </c>
    </row>
    <row r="7633" spans="1:1">
      <c r="A7633" s="27">
        <v>0.38</v>
      </c>
    </row>
    <row r="7634" spans="1:1">
      <c r="A7634" s="27">
        <v>7</v>
      </c>
    </row>
    <row r="7635" spans="1:1">
      <c r="A7635" s="27">
        <v>40</v>
      </c>
    </row>
    <row r="7636" spans="1:1">
      <c r="A7636" s="27">
        <v>0</v>
      </c>
    </row>
    <row r="7637" spans="1:1">
      <c r="A7637" s="27">
        <v>1</v>
      </c>
    </row>
    <row r="7638" spans="1:1">
      <c r="A7638" s="27">
        <v>2</v>
      </c>
    </row>
    <row r="7639" spans="1:1">
      <c r="A7639" s="27">
        <v>0</v>
      </c>
    </row>
    <row r="7640" spans="1:1">
      <c r="A7640" s="27">
        <v>487</v>
      </c>
    </row>
    <row r="7641" spans="1:1">
      <c r="A7641" s="27">
        <v>4.5</v>
      </c>
    </row>
    <row r="7642" spans="1:1">
      <c r="A7642" s="29">
        <v>0.74791666666666667</v>
      </c>
    </row>
    <row r="7643" spans="1:1">
      <c r="A7643" s="27">
        <v>22.8</v>
      </c>
    </row>
    <row r="7644" spans="1:1">
      <c r="A7644" s="28">
        <v>100</v>
      </c>
    </row>
    <row r="7645" spans="1:1">
      <c r="A7645" s="25">
        <v>365</v>
      </c>
    </row>
    <row r="7646" spans="1:1" ht="30">
      <c r="A7646" s="26" t="s">
        <v>467</v>
      </c>
    </row>
    <row r="7647" spans="1:1">
      <c r="A7647" s="27" t="s">
        <v>653</v>
      </c>
    </row>
    <row r="7648" spans="1:1">
      <c r="A7648" s="27">
        <v>326</v>
      </c>
    </row>
    <row r="7649" spans="1:1">
      <c r="A7649" s="27">
        <v>58</v>
      </c>
    </row>
    <row r="7650" spans="1:1">
      <c r="A7650" s="27">
        <v>43</v>
      </c>
    </row>
    <row r="7651" spans="1:1">
      <c r="A7651" s="27">
        <v>101</v>
      </c>
    </row>
    <row r="7652" spans="1:1">
      <c r="A7652" s="27">
        <v>-40</v>
      </c>
    </row>
    <row r="7653" spans="1:1">
      <c r="A7653" s="27">
        <v>82</v>
      </c>
    </row>
    <row r="7654" spans="1:1">
      <c r="A7654" s="27">
        <v>0.31</v>
      </c>
    </row>
    <row r="7655" spans="1:1">
      <c r="A7655" s="27">
        <v>8</v>
      </c>
    </row>
    <row r="7656" spans="1:1">
      <c r="A7656" s="27">
        <v>15</v>
      </c>
    </row>
    <row r="7657" spans="1:1">
      <c r="A7657" s="27">
        <v>4</v>
      </c>
    </row>
    <row r="7658" spans="1:1">
      <c r="A7658" s="27">
        <v>6</v>
      </c>
    </row>
    <row r="7659" spans="1:1">
      <c r="A7659" s="27">
        <v>8</v>
      </c>
    </row>
    <row r="7660" spans="1:1">
      <c r="A7660" s="27">
        <v>2</v>
      </c>
    </row>
    <row r="7661" spans="1:1">
      <c r="A7661" s="27">
        <v>488</v>
      </c>
    </row>
    <row r="7662" spans="1:1">
      <c r="A7662" s="27">
        <v>11.9</v>
      </c>
    </row>
    <row r="7663" spans="1:1">
      <c r="A7663" s="29">
        <v>0.62222222222222223</v>
      </c>
    </row>
    <row r="7664" spans="1:1">
      <c r="A7664" s="27">
        <v>21.3</v>
      </c>
    </row>
    <row r="7665" spans="1:1">
      <c r="A7665" s="28">
        <v>40.9</v>
      </c>
    </row>
    <row r="7666" spans="1:1">
      <c r="A7666" s="25">
        <v>366</v>
      </c>
    </row>
    <row r="7667" spans="1:1" ht="30">
      <c r="A7667" s="26" t="s">
        <v>1164</v>
      </c>
    </row>
    <row r="7668" spans="1:1">
      <c r="A7668" s="27" t="s">
        <v>42</v>
      </c>
    </row>
    <row r="7669" spans="1:1">
      <c r="A7669" s="27">
        <v>309</v>
      </c>
    </row>
    <row r="7670" spans="1:1">
      <c r="A7670" s="27">
        <v>26</v>
      </c>
    </row>
    <row r="7671" spans="1:1">
      <c r="A7671" s="27">
        <v>75</v>
      </c>
    </row>
    <row r="7672" spans="1:1">
      <c r="A7672" s="27">
        <v>101</v>
      </c>
    </row>
    <row r="7673" spans="1:1">
      <c r="A7673" s="27">
        <v>-6</v>
      </c>
    </row>
    <row r="7674" spans="1:1">
      <c r="A7674" s="27">
        <v>269</v>
      </c>
    </row>
    <row r="7675" spans="1:1">
      <c r="A7675" s="27">
        <v>0.33</v>
      </c>
    </row>
    <row r="7676" spans="1:1">
      <c r="A7676" s="27">
        <v>1</v>
      </c>
    </row>
    <row r="7677" spans="1:1">
      <c r="A7677" s="27">
        <v>11</v>
      </c>
    </row>
    <row r="7678" spans="1:1">
      <c r="A7678" s="27">
        <v>0</v>
      </c>
    </row>
    <row r="7679" spans="1:1">
      <c r="A7679" s="27">
        <v>2</v>
      </c>
    </row>
    <row r="7680" spans="1:1">
      <c r="A7680" s="27">
        <v>3</v>
      </c>
    </row>
    <row r="7681" spans="1:1">
      <c r="A7681" s="27">
        <v>2</v>
      </c>
    </row>
    <row r="7682" spans="1:1">
      <c r="A7682" s="27">
        <v>659</v>
      </c>
    </row>
    <row r="7683" spans="1:1">
      <c r="A7683" s="27">
        <v>3.9</v>
      </c>
    </row>
    <row r="7684" spans="1:1">
      <c r="A7684" s="29">
        <v>0.89513888888888893</v>
      </c>
    </row>
    <row r="7685" spans="1:1">
      <c r="A7685" s="27">
        <v>26.4</v>
      </c>
    </row>
    <row r="7686" spans="1:1">
      <c r="A7686" s="28">
        <v>0</v>
      </c>
    </row>
    <row r="7687" spans="1:1">
      <c r="A7687" s="25">
        <v>367</v>
      </c>
    </row>
    <row r="7688" spans="1:1" ht="30">
      <c r="A7688" s="26" t="s">
        <v>897</v>
      </c>
    </row>
    <row r="7689" spans="1:1">
      <c r="A7689" s="27" t="s">
        <v>44</v>
      </c>
    </row>
    <row r="7690" spans="1:1">
      <c r="A7690" s="27">
        <v>377</v>
      </c>
    </row>
    <row r="7691" spans="1:1">
      <c r="A7691" s="27">
        <v>39</v>
      </c>
    </row>
    <row r="7692" spans="1:1">
      <c r="A7692" s="27">
        <v>61</v>
      </c>
    </row>
    <row r="7693" spans="1:1">
      <c r="A7693" s="27">
        <v>100</v>
      </c>
    </row>
    <row r="7694" spans="1:1">
      <c r="A7694" s="27">
        <v>-16</v>
      </c>
    </row>
    <row r="7695" spans="1:1">
      <c r="A7695" s="27">
        <v>68</v>
      </c>
    </row>
    <row r="7696" spans="1:1">
      <c r="A7696" s="27">
        <v>0.27</v>
      </c>
    </row>
    <row r="7697" spans="1:1">
      <c r="A7697" s="27">
        <v>3</v>
      </c>
    </row>
    <row r="7698" spans="1:1">
      <c r="A7698" s="27">
        <v>4</v>
      </c>
    </row>
    <row r="7699" spans="1:1">
      <c r="A7699" s="27">
        <v>1</v>
      </c>
    </row>
    <row r="7700" spans="1:1">
      <c r="A7700" s="27">
        <v>2</v>
      </c>
    </row>
    <row r="7701" spans="1:1">
      <c r="A7701" s="27">
        <v>6</v>
      </c>
    </row>
    <row r="7702" spans="1:1">
      <c r="A7702" s="27">
        <v>0</v>
      </c>
    </row>
    <row r="7703" spans="1:1">
      <c r="A7703" s="27">
        <v>417</v>
      </c>
    </row>
    <row r="7704" spans="1:1">
      <c r="A7704" s="27">
        <v>9.3000000000000007</v>
      </c>
    </row>
    <row r="7705" spans="1:1">
      <c r="A7705" s="29">
        <v>0.50972222222222219</v>
      </c>
    </row>
    <row r="7706" spans="1:1">
      <c r="A7706" s="27">
        <v>17.399999999999999</v>
      </c>
    </row>
    <row r="7707" spans="1:1">
      <c r="A7707" s="28">
        <v>35</v>
      </c>
    </row>
    <row r="7708" spans="1:1">
      <c r="A7708" s="25">
        <v>368</v>
      </c>
    </row>
    <row r="7709" spans="1:1" ht="30">
      <c r="A7709" s="26" t="s">
        <v>570</v>
      </c>
    </row>
    <row r="7710" spans="1:1">
      <c r="A7710" s="27" t="s">
        <v>44</v>
      </c>
    </row>
    <row r="7711" spans="1:1">
      <c r="A7711" s="27">
        <v>272</v>
      </c>
    </row>
    <row r="7712" spans="1:1">
      <c r="A7712" s="27">
        <v>38</v>
      </c>
    </row>
    <row r="7713" spans="1:1">
      <c r="A7713" s="27">
        <v>62</v>
      </c>
    </row>
    <row r="7714" spans="1:1">
      <c r="A7714" s="27">
        <v>100</v>
      </c>
    </row>
    <row r="7715" spans="1:1">
      <c r="A7715" s="27">
        <v>8</v>
      </c>
    </row>
    <row r="7716" spans="1:1">
      <c r="A7716" s="27">
        <v>307</v>
      </c>
    </row>
    <row r="7717" spans="1:1">
      <c r="A7717" s="27">
        <v>0.37</v>
      </c>
    </row>
    <row r="7718" spans="1:1">
      <c r="A7718" s="27">
        <v>5</v>
      </c>
    </row>
    <row r="7719" spans="1:1">
      <c r="A7719" s="27">
        <v>16</v>
      </c>
    </row>
    <row r="7720" spans="1:1">
      <c r="A7720" s="27">
        <v>0</v>
      </c>
    </row>
    <row r="7721" spans="1:1">
      <c r="A7721" s="27">
        <v>0</v>
      </c>
    </row>
    <row r="7722" spans="1:1">
      <c r="A7722" s="27">
        <v>8</v>
      </c>
    </row>
    <row r="7723" spans="1:1">
      <c r="A7723" s="27">
        <v>0</v>
      </c>
    </row>
    <row r="7724" spans="1:1">
      <c r="A7724" s="27">
        <v>471</v>
      </c>
    </row>
    <row r="7725" spans="1:1">
      <c r="A7725" s="27">
        <v>8.1</v>
      </c>
    </row>
    <row r="7726" spans="1:1">
      <c r="A7726" s="29">
        <v>0.56111111111111112</v>
      </c>
    </row>
    <row r="7727" spans="1:1">
      <c r="A7727" s="27">
        <v>18.5</v>
      </c>
    </row>
    <row r="7728" spans="1:1">
      <c r="A7728" s="28">
        <v>34.1</v>
      </c>
    </row>
    <row r="7729" spans="1:1">
      <c r="A7729" s="25">
        <v>369</v>
      </c>
    </row>
    <row r="7730" spans="1:1" ht="45">
      <c r="A7730" s="26" t="s">
        <v>434</v>
      </c>
    </row>
    <row r="7731" spans="1:1">
      <c r="A7731" s="27" t="s">
        <v>42</v>
      </c>
    </row>
    <row r="7732" spans="1:1">
      <c r="A7732" s="27">
        <v>181</v>
      </c>
    </row>
    <row r="7733" spans="1:1">
      <c r="A7733" s="27">
        <v>25</v>
      </c>
    </row>
    <row r="7734" spans="1:1">
      <c r="A7734" s="27">
        <v>74</v>
      </c>
    </row>
    <row r="7735" spans="1:1">
      <c r="A7735" s="27">
        <v>99</v>
      </c>
    </row>
    <row r="7736" spans="1:1">
      <c r="A7736" s="27">
        <v>6</v>
      </c>
    </row>
    <row r="7737" spans="1:1">
      <c r="A7737" s="27">
        <v>63</v>
      </c>
    </row>
    <row r="7738" spans="1:1">
      <c r="A7738" s="27">
        <v>0.55000000000000004</v>
      </c>
    </row>
    <row r="7739" spans="1:1">
      <c r="A7739" s="27">
        <v>4</v>
      </c>
    </row>
    <row r="7740" spans="1:1">
      <c r="A7740" s="27">
        <v>26</v>
      </c>
    </row>
    <row r="7741" spans="1:1">
      <c r="A7741" s="27">
        <v>0</v>
      </c>
    </row>
    <row r="7742" spans="1:1">
      <c r="A7742" s="27">
        <v>0</v>
      </c>
    </row>
    <row r="7743" spans="1:1">
      <c r="A7743" s="27">
        <v>3</v>
      </c>
    </row>
    <row r="7744" spans="1:1">
      <c r="A7744" s="27">
        <v>2</v>
      </c>
    </row>
    <row r="7745" spans="1:1">
      <c r="A7745" s="27">
        <v>327</v>
      </c>
    </row>
    <row r="7746" spans="1:1">
      <c r="A7746" s="27">
        <v>7.6</v>
      </c>
    </row>
    <row r="7747" spans="1:1">
      <c r="A7747" s="29">
        <v>0.82777777777777783</v>
      </c>
    </row>
    <row r="7748" spans="1:1">
      <c r="A7748" s="27">
        <v>23.8</v>
      </c>
    </row>
    <row r="7749" spans="1:1">
      <c r="A7749" s="28">
        <v>0</v>
      </c>
    </row>
    <row r="7750" spans="1:1">
      <c r="A7750" s="25">
        <v>370</v>
      </c>
    </row>
    <row r="7751" spans="1:1" ht="30">
      <c r="A7751" s="26" t="s">
        <v>279</v>
      </c>
    </row>
    <row r="7752" spans="1:1">
      <c r="A7752" s="27" t="s">
        <v>42</v>
      </c>
    </row>
    <row r="7753" spans="1:1">
      <c r="A7753" s="27">
        <v>272</v>
      </c>
    </row>
    <row r="7754" spans="1:1">
      <c r="A7754" s="27">
        <v>21</v>
      </c>
    </row>
    <row r="7755" spans="1:1">
      <c r="A7755" s="27">
        <v>78</v>
      </c>
    </row>
    <row r="7756" spans="1:1">
      <c r="A7756" s="27">
        <v>99</v>
      </c>
    </row>
    <row r="7757" spans="1:1">
      <c r="A7757" s="27">
        <v>-19</v>
      </c>
    </row>
    <row r="7758" spans="1:1">
      <c r="A7758" s="27">
        <v>147</v>
      </c>
    </row>
    <row r="7759" spans="1:1">
      <c r="A7759" s="27">
        <v>0.36</v>
      </c>
    </row>
    <row r="7760" spans="1:1">
      <c r="A7760" s="27">
        <v>0</v>
      </c>
    </row>
    <row r="7761" spans="1:1">
      <c r="A7761" s="27">
        <v>13</v>
      </c>
    </row>
    <row r="7762" spans="1:1">
      <c r="A7762" s="27">
        <v>1</v>
      </c>
    </row>
    <row r="7763" spans="1:1">
      <c r="A7763" s="27">
        <v>3</v>
      </c>
    </row>
    <row r="7764" spans="1:1">
      <c r="A7764" s="27">
        <v>2</v>
      </c>
    </row>
    <row r="7765" spans="1:1">
      <c r="A7765" s="27">
        <v>1</v>
      </c>
    </row>
    <row r="7766" spans="1:1">
      <c r="A7766" s="27">
        <v>465</v>
      </c>
    </row>
    <row r="7767" spans="1:1">
      <c r="A7767" s="27">
        <v>4.5</v>
      </c>
    </row>
    <row r="7768" spans="1:1">
      <c r="A7768" s="29">
        <v>0.82777777777777783</v>
      </c>
    </row>
    <row r="7769" spans="1:1">
      <c r="A7769" s="27">
        <v>26.2</v>
      </c>
    </row>
    <row r="7770" spans="1:1">
      <c r="A7770" s="28">
        <v>50</v>
      </c>
    </row>
    <row r="7771" spans="1:1">
      <c r="A7771" s="25">
        <v>371</v>
      </c>
    </row>
    <row r="7772" spans="1:1" ht="30">
      <c r="A7772" s="26" t="s">
        <v>432</v>
      </c>
    </row>
    <row r="7773" spans="1:1">
      <c r="A7773" s="27" t="s">
        <v>42</v>
      </c>
    </row>
    <row r="7774" spans="1:1">
      <c r="A7774" s="27">
        <v>403</v>
      </c>
    </row>
    <row r="7775" spans="1:1">
      <c r="A7775" s="27">
        <v>14</v>
      </c>
    </row>
    <row r="7776" spans="1:1">
      <c r="A7776" s="27">
        <v>85</v>
      </c>
    </row>
    <row r="7777" spans="1:1">
      <c r="A7777" s="27">
        <v>99</v>
      </c>
    </row>
    <row r="7778" spans="1:1">
      <c r="A7778" s="27">
        <v>34</v>
      </c>
    </row>
    <row r="7779" spans="1:1">
      <c r="A7779" s="27">
        <v>144</v>
      </c>
    </row>
    <row r="7780" spans="1:1">
      <c r="A7780" s="27">
        <v>0.25</v>
      </c>
    </row>
    <row r="7781" spans="1:1">
      <c r="A7781" s="27">
        <v>2</v>
      </c>
    </row>
    <row r="7782" spans="1:1">
      <c r="A7782" s="27">
        <v>7</v>
      </c>
    </row>
    <row r="7783" spans="1:1">
      <c r="A7783" s="27">
        <v>1</v>
      </c>
    </row>
    <row r="7784" spans="1:1">
      <c r="A7784" s="27">
        <v>1</v>
      </c>
    </row>
    <row r="7785" spans="1:1">
      <c r="A7785" s="27">
        <v>3</v>
      </c>
    </row>
    <row r="7786" spans="1:1">
      <c r="A7786" s="27">
        <v>0</v>
      </c>
    </row>
    <row r="7787" spans="1:1">
      <c r="A7787" s="27">
        <v>566</v>
      </c>
    </row>
    <row r="7788" spans="1:1">
      <c r="A7788" s="27">
        <v>2.5</v>
      </c>
    </row>
    <row r="7789" spans="1:1">
      <c r="A7789" s="29">
        <v>0.81874999999999998</v>
      </c>
    </row>
    <row r="7790" spans="1:1">
      <c r="A7790" s="27">
        <v>23.8</v>
      </c>
    </row>
    <row r="7791" spans="1:1">
      <c r="A7791" s="28">
        <v>0</v>
      </c>
    </row>
    <row r="7792" spans="1:1">
      <c r="A7792" s="25">
        <v>372</v>
      </c>
    </row>
    <row r="7793" spans="1:1" ht="30">
      <c r="A7793" s="26" t="s">
        <v>403</v>
      </c>
    </row>
    <row r="7794" spans="1:1">
      <c r="A7794" s="27" t="s">
        <v>653</v>
      </c>
    </row>
    <row r="7795" spans="1:1">
      <c r="A7795" s="27">
        <v>259</v>
      </c>
    </row>
    <row r="7796" spans="1:1">
      <c r="A7796" s="27">
        <v>43</v>
      </c>
    </row>
    <row r="7797" spans="1:1">
      <c r="A7797" s="27">
        <v>55</v>
      </c>
    </row>
    <row r="7798" spans="1:1">
      <c r="A7798" s="27">
        <v>98</v>
      </c>
    </row>
    <row r="7799" spans="1:1">
      <c r="A7799" s="27">
        <v>-2</v>
      </c>
    </row>
    <row r="7800" spans="1:1">
      <c r="A7800" s="27">
        <v>68</v>
      </c>
    </row>
    <row r="7801" spans="1:1">
      <c r="A7801" s="27">
        <v>0.38</v>
      </c>
    </row>
    <row r="7802" spans="1:1">
      <c r="A7802" s="27">
        <v>4</v>
      </c>
    </row>
    <row r="7803" spans="1:1">
      <c r="A7803" s="27">
        <v>8</v>
      </c>
    </row>
    <row r="7804" spans="1:1">
      <c r="A7804" s="27">
        <v>4</v>
      </c>
    </row>
    <row r="7805" spans="1:1">
      <c r="A7805" s="27">
        <v>6</v>
      </c>
    </row>
    <row r="7806" spans="1:1">
      <c r="A7806" s="27">
        <v>7</v>
      </c>
    </row>
    <row r="7807" spans="1:1">
      <c r="A7807" s="27">
        <v>2</v>
      </c>
    </row>
    <row r="7808" spans="1:1">
      <c r="A7808" s="27">
        <v>374</v>
      </c>
    </row>
    <row r="7809" spans="1:1">
      <c r="A7809" s="27">
        <v>11.5</v>
      </c>
    </row>
    <row r="7810" spans="1:1">
      <c r="A7810" s="29">
        <v>0.64027777777777783</v>
      </c>
    </row>
    <row r="7811" spans="1:1">
      <c r="A7811" s="27">
        <v>21.7</v>
      </c>
    </row>
    <row r="7812" spans="1:1">
      <c r="A7812" s="28">
        <v>38.200000000000003</v>
      </c>
    </row>
    <row r="7813" spans="1:1">
      <c r="A7813" s="25">
        <v>373</v>
      </c>
    </row>
    <row r="7814" spans="1:1" ht="45">
      <c r="A7814" s="26" t="s">
        <v>507</v>
      </c>
    </row>
    <row r="7815" spans="1:1">
      <c r="A7815" s="27" t="s">
        <v>653</v>
      </c>
    </row>
    <row r="7816" spans="1:1">
      <c r="A7816" s="27">
        <v>100</v>
      </c>
    </row>
    <row r="7817" spans="1:1">
      <c r="A7817" s="27">
        <v>40</v>
      </c>
    </row>
    <row r="7818" spans="1:1">
      <c r="A7818" s="27">
        <v>58</v>
      </c>
    </row>
    <row r="7819" spans="1:1">
      <c r="A7819" s="27">
        <v>98</v>
      </c>
    </row>
    <row r="7820" spans="1:1">
      <c r="A7820" s="27">
        <v>1</v>
      </c>
    </row>
    <row r="7821" spans="1:1">
      <c r="A7821" s="27">
        <v>20</v>
      </c>
    </row>
    <row r="7822" spans="1:1">
      <c r="A7822" s="27">
        <v>0.98</v>
      </c>
    </row>
    <row r="7823" spans="1:1">
      <c r="A7823" s="27">
        <v>16</v>
      </c>
    </row>
    <row r="7824" spans="1:1">
      <c r="A7824" s="27">
        <v>39</v>
      </c>
    </row>
    <row r="7825" spans="1:1">
      <c r="A7825" s="27">
        <v>0</v>
      </c>
    </row>
    <row r="7826" spans="1:1">
      <c r="A7826" s="27">
        <v>0</v>
      </c>
    </row>
    <row r="7827" spans="1:1">
      <c r="A7827" s="27">
        <v>10</v>
      </c>
    </row>
    <row r="7828" spans="1:1">
      <c r="A7828" s="27">
        <v>1</v>
      </c>
    </row>
    <row r="7829" spans="1:1">
      <c r="A7829" s="27">
        <v>216</v>
      </c>
    </row>
    <row r="7830" spans="1:1">
      <c r="A7830" s="27">
        <v>18.5</v>
      </c>
    </row>
    <row r="7831" spans="1:1">
      <c r="A7831" s="29">
        <v>0.76944444444444438</v>
      </c>
    </row>
    <row r="7832" spans="1:1">
      <c r="A7832" s="27">
        <v>22.6</v>
      </c>
    </row>
    <row r="7833" spans="1:1">
      <c r="A7833" s="28">
        <v>41.9</v>
      </c>
    </row>
    <row r="7834" spans="1:1">
      <c r="A7834" s="25">
        <v>374</v>
      </c>
    </row>
    <row r="7835" spans="1:1" ht="30">
      <c r="A7835" s="26" t="s">
        <v>83</v>
      </c>
    </row>
    <row r="7836" spans="1:1">
      <c r="A7836" s="27" t="s">
        <v>44</v>
      </c>
    </row>
    <row r="7837" spans="1:1">
      <c r="A7837" s="27">
        <v>265</v>
      </c>
    </row>
    <row r="7838" spans="1:1">
      <c r="A7838" s="27">
        <v>53</v>
      </c>
    </row>
    <row r="7839" spans="1:1">
      <c r="A7839" s="27">
        <v>44</v>
      </c>
    </row>
    <row r="7840" spans="1:1">
      <c r="A7840" s="27">
        <v>97</v>
      </c>
    </row>
    <row r="7841" spans="1:1">
      <c r="A7841" s="27">
        <v>-29</v>
      </c>
    </row>
    <row r="7842" spans="1:1">
      <c r="A7842" s="27">
        <v>74</v>
      </c>
    </row>
    <row r="7843" spans="1:1">
      <c r="A7843" s="27">
        <v>0.37</v>
      </c>
    </row>
    <row r="7844" spans="1:1">
      <c r="A7844" s="27">
        <v>7</v>
      </c>
    </row>
    <row r="7845" spans="1:1">
      <c r="A7845" s="27">
        <v>15</v>
      </c>
    </row>
    <row r="7846" spans="1:1">
      <c r="A7846" s="27">
        <v>1</v>
      </c>
    </row>
    <row r="7847" spans="1:1">
      <c r="A7847" s="27">
        <v>1</v>
      </c>
    </row>
    <row r="7848" spans="1:1">
      <c r="A7848" s="27">
        <v>15</v>
      </c>
    </row>
    <row r="7849" spans="1:1">
      <c r="A7849" s="27">
        <v>0</v>
      </c>
    </row>
    <row r="7850" spans="1:1">
      <c r="A7850" s="27">
        <v>448</v>
      </c>
    </row>
    <row r="7851" spans="1:1">
      <c r="A7851" s="27">
        <v>11.8</v>
      </c>
    </row>
    <row r="7852" spans="1:1">
      <c r="A7852" s="29">
        <v>0.6069444444444444</v>
      </c>
    </row>
    <row r="7853" spans="1:1">
      <c r="A7853" s="27">
        <v>19.5</v>
      </c>
    </row>
    <row r="7854" spans="1:1">
      <c r="A7854" s="28">
        <v>34.200000000000003</v>
      </c>
    </row>
    <row r="7855" spans="1:1">
      <c r="A7855" s="25">
        <v>375</v>
      </c>
    </row>
    <row r="7856" spans="1:1" ht="30">
      <c r="A7856" s="26" t="s">
        <v>25</v>
      </c>
    </row>
    <row r="7857" spans="1:1">
      <c r="A7857" s="27" t="s">
        <v>44</v>
      </c>
    </row>
    <row r="7858" spans="1:1">
      <c r="A7858" s="27">
        <v>161</v>
      </c>
    </row>
    <row r="7859" spans="1:1">
      <c r="A7859" s="27">
        <v>49</v>
      </c>
    </row>
    <row r="7860" spans="1:1">
      <c r="A7860" s="27">
        <v>48</v>
      </c>
    </row>
    <row r="7861" spans="1:1">
      <c r="A7861" s="27">
        <v>97</v>
      </c>
    </row>
    <row r="7862" spans="1:1">
      <c r="A7862" s="27">
        <v>23</v>
      </c>
    </row>
    <row r="7863" spans="1:1">
      <c r="A7863" s="27">
        <v>45</v>
      </c>
    </row>
    <row r="7864" spans="1:1">
      <c r="A7864" s="27">
        <v>0.6</v>
      </c>
    </row>
    <row r="7865" spans="1:1">
      <c r="A7865" s="27">
        <v>11</v>
      </c>
    </row>
    <row r="7866" spans="1:1">
      <c r="A7866" s="27">
        <v>22</v>
      </c>
    </row>
    <row r="7867" spans="1:1">
      <c r="A7867" s="27">
        <v>0</v>
      </c>
    </row>
    <row r="7868" spans="1:1">
      <c r="A7868" s="27">
        <v>0</v>
      </c>
    </row>
    <row r="7869" spans="1:1">
      <c r="A7869" s="27">
        <v>9</v>
      </c>
    </row>
    <row r="7870" spans="1:1">
      <c r="A7870" s="27">
        <v>0</v>
      </c>
    </row>
    <row r="7871" spans="1:1">
      <c r="A7871" s="27">
        <v>352</v>
      </c>
    </row>
    <row r="7872" spans="1:1">
      <c r="A7872" s="27">
        <v>13.9</v>
      </c>
    </row>
    <row r="7873" spans="1:1">
      <c r="A7873" s="29">
        <v>0.63888888888888895</v>
      </c>
    </row>
    <row r="7874" spans="1:1">
      <c r="A7874" s="27">
        <v>18.8</v>
      </c>
    </row>
    <row r="7875" spans="1:1">
      <c r="A7875" s="28">
        <v>31.6</v>
      </c>
    </row>
    <row r="7876" spans="1:1">
      <c r="A7876" s="25">
        <v>376</v>
      </c>
    </row>
    <row r="7877" spans="1:1" ht="30">
      <c r="A7877" s="26" t="s">
        <v>523</v>
      </c>
    </row>
    <row r="7878" spans="1:1">
      <c r="A7878" s="27" t="s">
        <v>43</v>
      </c>
    </row>
    <row r="7879" spans="1:1">
      <c r="A7879" s="27">
        <v>171</v>
      </c>
    </row>
    <row r="7880" spans="1:1">
      <c r="A7880" s="27">
        <v>39</v>
      </c>
    </row>
    <row r="7881" spans="1:1">
      <c r="A7881" s="27">
        <v>58</v>
      </c>
    </row>
    <row r="7882" spans="1:1">
      <c r="A7882" s="27">
        <v>97</v>
      </c>
    </row>
    <row r="7883" spans="1:1">
      <c r="A7883" s="27">
        <v>10</v>
      </c>
    </row>
    <row r="7884" spans="1:1">
      <c r="A7884" s="27">
        <v>37</v>
      </c>
    </row>
    <row r="7885" spans="1:1">
      <c r="A7885" s="27">
        <v>0.56999999999999995</v>
      </c>
    </row>
    <row r="7886" spans="1:1">
      <c r="A7886" s="27">
        <v>9</v>
      </c>
    </row>
    <row r="7887" spans="1:1">
      <c r="A7887" s="27">
        <v>20</v>
      </c>
    </row>
    <row r="7888" spans="1:1">
      <c r="A7888" s="27">
        <v>0</v>
      </c>
    </row>
    <row r="7889" spans="1:1">
      <c r="A7889" s="27">
        <v>0</v>
      </c>
    </row>
    <row r="7890" spans="1:1">
      <c r="A7890" s="27">
        <v>11</v>
      </c>
    </row>
    <row r="7891" spans="1:1">
      <c r="A7891" s="27">
        <v>1</v>
      </c>
    </row>
    <row r="7892" spans="1:1">
      <c r="A7892" s="27">
        <v>387</v>
      </c>
    </row>
    <row r="7893" spans="1:1">
      <c r="A7893" s="27">
        <v>10.1</v>
      </c>
    </row>
    <row r="7894" spans="1:1">
      <c r="A7894" s="29">
        <v>0.65277777777777779</v>
      </c>
    </row>
    <row r="7895" spans="1:1">
      <c r="A7895" s="27">
        <v>17.600000000000001</v>
      </c>
    </row>
    <row r="7896" spans="1:1">
      <c r="A7896" s="28">
        <v>40.299999999999997</v>
      </c>
    </row>
    <row r="7897" spans="1:1">
      <c r="A7897" s="25">
        <v>377</v>
      </c>
    </row>
    <row r="7898" spans="1:1" ht="30">
      <c r="A7898" s="26" t="s">
        <v>800</v>
      </c>
    </row>
    <row r="7899" spans="1:1">
      <c r="A7899" s="27" t="s">
        <v>653</v>
      </c>
    </row>
    <row r="7900" spans="1:1">
      <c r="A7900" s="27">
        <v>257</v>
      </c>
    </row>
    <row r="7901" spans="1:1">
      <c r="A7901" s="27">
        <v>34</v>
      </c>
    </row>
    <row r="7902" spans="1:1">
      <c r="A7902" s="27">
        <v>63</v>
      </c>
    </row>
    <row r="7903" spans="1:1">
      <c r="A7903" s="27">
        <v>97</v>
      </c>
    </row>
    <row r="7904" spans="1:1">
      <c r="A7904" s="27">
        <v>-41</v>
      </c>
    </row>
    <row r="7905" spans="1:1">
      <c r="A7905" s="27">
        <v>45</v>
      </c>
    </row>
    <row r="7906" spans="1:1">
      <c r="A7906" s="27">
        <v>0.38</v>
      </c>
    </row>
    <row r="7907" spans="1:1">
      <c r="A7907" s="27">
        <v>5</v>
      </c>
    </row>
    <row r="7908" spans="1:1">
      <c r="A7908" s="27">
        <v>23</v>
      </c>
    </row>
    <row r="7909" spans="1:1">
      <c r="A7909" s="27">
        <v>3</v>
      </c>
    </row>
    <row r="7910" spans="1:1">
      <c r="A7910" s="27">
        <v>4</v>
      </c>
    </row>
    <row r="7911" spans="1:1">
      <c r="A7911" s="27">
        <v>5</v>
      </c>
    </row>
    <row r="7912" spans="1:1">
      <c r="A7912" s="27">
        <v>0</v>
      </c>
    </row>
    <row r="7913" spans="1:1">
      <c r="A7913" s="27">
        <v>336</v>
      </c>
    </row>
    <row r="7914" spans="1:1">
      <c r="A7914" s="27">
        <v>10.1</v>
      </c>
    </row>
    <row r="7915" spans="1:1">
      <c r="A7915" s="29">
        <v>0.6020833333333333</v>
      </c>
    </row>
    <row r="7916" spans="1:1">
      <c r="A7916" s="27">
        <v>21</v>
      </c>
    </row>
    <row r="7917" spans="1:1">
      <c r="A7917" s="28">
        <v>45.8</v>
      </c>
    </row>
    <row r="7918" spans="1:1">
      <c r="A7918" s="25">
        <v>378</v>
      </c>
    </row>
    <row r="7919" spans="1:1" ht="30">
      <c r="A7919" s="26" t="s">
        <v>139</v>
      </c>
    </row>
    <row r="7920" spans="1:1">
      <c r="A7920" s="27" t="s">
        <v>42</v>
      </c>
    </row>
    <row r="7921" spans="1:1">
      <c r="A7921" s="27">
        <v>163</v>
      </c>
    </row>
    <row r="7922" spans="1:1">
      <c r="A7922" s="27">
        <v>26</v>
      </c>
    </row>
    <row r="7923" spans="1:1">
      <c r="A7923" s="27">
        <v>71</v>
      </c>
    </row>
    <row r="7924" spans="1:1">
      <c r="A7924" s="27">
        <v>97</v>
      </c>
    </row>
    <row r="7925" spans="1:1">
      <c r="A7925" s="27">
        <v>-31</v>
      </c>
    </row>
    <row r="7926" spans="1:1">
      <c r="A7926" s="27">
        <v>62</v>
      </c>
    </row>
    <row r="7927" spans="1:1">
      <c r="A7927" s="27">
        <v>0.59</v>
      </c>
    </row>
    <row r="7928" spans="1:1">
      <c r="A7928" s="27">
        <v>1</v>
      </c>
    </row>
    <row r="7929" spans="1:1">
      <c r="A7929" s="27">
        <v>28</v>
      </c>
    </row>
    <row r="7930" spans="1:1">
      <c r="A7930" s="27">
        <v>1</v>
      </c>
    </row>
    <row r="7931" spans="1:1">
      <c r="A7931" s="27">
        <v>1</v>
      </c>
    </row>
    <row r="7932" spans="1:1">
      <c r="A7932" s="27">
        <v>2</v>
      </c>
    </row>
    <row r="7933" spans="1:1">
      <c r="A7933" s="27">
        <v>1</v>
      </c>
    </row>
    <row r="7934" spans="1:1">
      <c r="A7934" s="27">
        <v>356</v>
      </c>
    </row>
    <row r="7935" spans="1:1">
      <c r="A7935" s="27">
        <v>7.3</v>
      </c>
    </row>
    <row r="7936" spans="1:1">
      <c r="A7936" s="29">
        <v>0.90486111111111101</v>
      </c>
    </row>
    <row r="7937" spans="1:1">
      <c r="A7937" s="27">
        <v>25.6</v>
      </c>
    </row>
    <row r="7938" spans="1:1">
      <c r="A7938" s="28">
        <v>0</v>
      </c>
    </row>
    <row r="7939" spans="1:1">
      <c r="A7939" s="25">
        <v>379</v>
      </c>
    </row>
    <row r="7940" spans="1:1" ht="30">
      <c r="A7940" s="26" t="s">
        <v>280</v>
      </c>
    </row>
    <row r="7941" spans="1:1">
      <c r="A7941" s="27" t="s">
        <v>42</v>
      </c>
    </row>
    <row r="7942" spans="1:1">
      <c r="A7942" s="27">
        <v>442</v>
      </c>
    </row>
    <row r="7943" spans="1:1">
      <c r="A7943" s="27">
        <v>23</v>
      </c>
    </row>
    <row r="7944" spans="1:1">
      <c r="A7944" s="27">
        <v>74</v>
      </c>
    </row>
    <row r="7945" spans="1:1">
      <c r="A7945" s="27">
        <v>97</v>
      </c>
    </row>
    <row r="7946" spans="1:1">
      <c r="A7946" s="27">
        <v>-9</v>
      </c>
    </row>
    <row r="7947" spans="1:1">
      <c r="A7947" s="27">
        <v>474</v>
      </c>
    </row>
    <row r="7948" spans="1:1">
      <c r="A7948" s="27">
        <v>0.22</v>
      </c>
    </row>
    <row r="7949" spans="1:1">
      <c r="A7949" s="27">
        <v>3</v>
      </c>
    </row>
    <row r="7950" spans="1:1">
      <c r="A7950" s="27">
        <v>11</v>
      </c>
    </row>
    <row r="7951" spans="1:1">
      <c r="A7951" s="27">
        <v>1</v>
      </c>
    </row>
    <row r="7952" spans="1:1">
      <c r="A7952" s="27">
        <v>3</v>
      </c>
    </row>
    <row r="7953" spans="1:1">
      <c r="A7953" s="27">
        <v>2</v>
      </c>
    </row>
    <row r="7954" spans="1:1">
      <c r="A7954" s="27">
        <v>0</v>
      </c>
    </row>
    <row r="7955" spans="1:1">
      <c r="A7955" s="27">
        <v>523</v>
      </c>
    </row>
    <row r="7956" spans="1:1">
      <c r="A7956" s="27">
        <v>4.4000000000000004</v>
      </c>
    </row>
    <row r="7957" spans="1:1">
      <c r="A7957" s="29">
        <v>0.71666666666666667</v>
      </c>
    </row>
    <row r="7958" spans="1:1">
      <c r="A7958" s="27">
        <v>23.9</v>
      </c>
    </row>
    <row r="7959" spans="1:1">
      <c r="A7959" s="28">
        <v>0</v>
      </c>
    </row>
    <row r="7960" spans="1:1">
      <c r="A7960" s="25">
        <v>380</v>
      </c>
    </row>
    <row r="7961" spans="1:1" ht="30">
      <c r="A7961" s="26" t="s">
        <v>88</v>
      </c>
    </row>
    <row r="7962" spans="1:1">
      <c r="A7962" s="27" t="s">
        <v>43</v>
      </c>
    </row>
    <row r="7963" spans="1:1">
      <c r="A7963" s="27">
        <v>263</v>
      </c>
    </row>
    <row r="7964" spans="1:1">
      <c r="A7964" s="27">
        <v>49</v>
      </c>
    </row>
    <row r="7965" spans="1:1">
      <c r="A7965" s="27">
        <v>47</v>
      </c>
    </row>
    <row r="7966" spans="1:1">
      <c r="A7966" s="27">
        <v>96</v>
      </c>
    </row>
    <row r="7967" spans="1:1">
      <c r="A7967" s="27">
        <v>0</v>
      </c>
    </row>
    <row r="7968" spans="1:1">
      <c r="A7968" s="27">
        <v>74</v>
      </c>
    </row>
    <row r="7969" spans="1:1">
      <c r="A7969" s="27">
        <v>0.36</v>
      </c>
    </row>
    <row r="7970" spans="1:1">
      <c r="A7970" s="27">
        <v>5</v>
      </c>
    </row>
    <row r="7971" spans="1:1">
      <c r="A7971" s="27">
        <v>15</v>
      </c>
    </row>
    <row r="7972" spans="1:1">
      <c r="A7972" s="27">
        <v>7</v>
      </c>
    </row>
    <row r="7973" spans="1:1">
      <c r="A7973" s="27">
        <v>10</v>
      </c>
    </row>
    <row r="7974" spans="1:1">
      <c r="A7974" s="27">
        <v>7</v>
      </c>
    </row>
    <row r="7975" spans="1:1">
      <c r="A7975" s="27">
        <v>0</v>
      </c>
    </row>
    <row r="7976" spans="1:1">
      <c r="A7976" s="27">
        <v>510</v>
      </c>
    </row>
    <row r="7977" spans="1:1">
      <c r="A7977" s="27">
        <v>9.6</v>
      </c>
    </row>
    <row r="7978" spans="1:1">
      <c r="A7978" s="29">
        <v>0.59236111111111112</v>
      </c>
    </row>
    <row r="7979" spans="1:1">
      <c r="A7979" s="27">
        <v>19.7</v>
      </c>
    </row>
    <row r="7980" spans="1:1">
      <c r="A7980" s="28">
        <v>27.3</v>
      </c>
    </row>
    <row r="7981" spans="1:1">
      <c r="A7981" s="25">
        <v>381</v>
      </c>
    </row>
    <row r="7982" spans="1:1" ht="30">
      <c r="A7982" s="26" t="s">
        <v>834</v>
      </c>
    </row>
    <row r="7983" spans="1:1">
      <c r="A7983" s="27" t="s">
        <v>43</v>
      </c>
    </row>
    <row r="7984" spans="1:1">
      <c r="A7984" s="27">
        <v>273</v>
      </c>
    </row>
    <row r="7985" spans="1:1">
      <c r="A7985" s="27">
        <v>45</v>
      </c>
    </row>
    <row r="7986" spans="1:1">
      <c r="A7986" s="27">
        <v>51</v>
      </c>
    </row>
    <row r="7987" spans="1:1">
      <c r="A7987" s="27">
        <v>96</v>
      </c>
    </row>
    <row r="7988" spans="1:1">
      <c r="A7988" s="27">
        <v>12</v>
      </c>
    </row>
    <row r="7989" spans="1:1">
      <c r="A7989" s="27">
        <v>253</v>
      </c>
    </row>
    <row r="7990" spans="1:1">
      <c r="A7990" s="27">
        <v>0.35</v>
      </c>
    </row>
    <row r="7991" spans="1:1">
      <c r="A7991" s="27">
        <v>2</v>
      </c>
    </row>
    <row r="7992" spans="1:1">
      <c r="A7992" s="27">
        <v>3</v>
      </c>
    </row>
    <row r="7993" spans="1:1">
      <c r="A7993" s="27">
        <v>0</v>
      </c>
    </row>
    <row r="7994" spans="1:1">
      <c r="A7994" s="27">
        <v>0</v>
      </c>
    </row>
    <row r="7995" spans="1:1">
      <c r="A7995" s="27">
        <v>9</v>
      </c>
    </row>
    <row r="7996" spans="1:1">
      <c r="A7996" s="27">
        <v>1</v>
      </c>
    </row>
    <row r="7997" spans="1:1">
      <c r="A7997" s="27">
        <v>493</v>
      </c>
    </row>
    <row r="7998" spans="1:1">
      <c r="A7998" s="27">
        <v>9.1</v>
      </c>
    </row>
    <row r="7999" spans="1:1">
      <c r="A7999" s="29">
        <v>0.53263888888888888</v>
      </c>
    </row>
    <row r="8000" spans="1:1">
      <c r="A8000" s="27">
        <v>17.3</v>
      </c>
    </row>
    <row r="8001" spans="1:1">
      <c r="A8001" s="28">
        <v>43</v>
      </c>
    </row>
    <row r="8002" spans="1:1">
      <c r="A8002" s="25">
        <v>382</v>
      </c>
    </row>
    <row r="8003" spans="1:1" ht="30">
      <c r="A8003" s="26" t="s">
        <v>710</v>
      </c>
    </row>
    <row r="8004" spans="1:1">
      <c r="A8004" s="27" t="s">
        <v>653</v>
      </c>
    </row>
    <row r="8005" spans="1:1">
      <c r="A8005" s="27">
        <v>321</v>
      </c>
    </row>
    <row r="8006" spans="1:1">
      <c r="A8006" s="27">
        <v>40</v>
      </c>
    </row>
    <row r="8007" spans="1:1">
      <c r="A8007" s="27">
        <v>55</v>
      </c>
    </row>
    <row r="8008" spans="1:1">
      <c r="A8008" s="27">
        <v>95</v>
      </c>
    </row>
    <row r="8009" spans="1:1">
      <c r="A8009" s="27">
        <v>55</v>
      </c>
    </row>
    <row r="8010" spans="1:1">
      <c r="A8010" s="27">
        <v>50</v>
      </c>
    </row>
    <row r="8011" spans="1:1">
      <c r="A8011" s="27">
        <v>0.3</v>
      </c>
    </row>
    <row r="8012" spans="1:1">
      <c r="A8012" s="27">
        <v>0</v>
      </c>
    </row>
    <row r="8013" spans="1:1">
      <c r="A8013" s="27">
        <v>0</v>
      </c>
    </row>
    <row r="8014" spans="1:1">
      <c r="A8014" s="27">
        <v>4</v>
      </c>
    </row>
    <row r="8015" spans="1:1">
      <c r="A8015" s="27">
        <v>5</v>
      </c>
    </row>
    <row r="8016" spans="1:1">
      <c r="A8016" s="27">
        <v>4</v>
      </c>
    </row>
    <row r="8017" spans="1:1">
      <c r="A8017" s="27">
        <v>0</v>
      </c>
    </row>
    <row r="8018" spans="1:1">
      <c r="A8018" s="27">
        <v>369</v>
      </c>
    </row>
    <row r="8019" spans="1:1">
      <c r="A8019" s="27">
        <v>10.8</v>
      </c>
    </row>
    <row r="8020" spans="1:1">
      <c r="A8020" s="29">
        <v>0.50208333333333333</v>
      </c>
    </row>
    <row r="8021" spans="1:1">
      <c r="A8021" s="27">
        <v>17.5</v>
      </c>
    </row>
    <row r="8022" spans="1:1">
      <c r="A8022" s="28">
        <v>51.2</v>
      </c>
    </row>
    <row r="8023" spans="1:1">
      <c r="A8023" s="25">
        <v>383</v>
      </c>
    </row>
    <row r="8024" spans="1:1" ht="30">
      <c r="A8024" s="26" t="s">
        <v>151</v>
      </c>
    </row>
    <row r="8025" spans="1:1">
      <c r="A8025" s="27" t="s">
        <v>44</v>
      </c>
    </row>
    <row r="8026" spans="1:1">
      <c r="A8026" s="27">
        <v>158</v>
      </c>
    </row>
    <row r="8027" spans="1:1">
      <c r="A8027" s="27">
        <v>38</v>
      </c>
    </row>
    <row r="8028" spans="1:1">
      <c r="A8028" s="27">
        <v>57</v>
      </c>
    </row>
    <row r="8029" spans="1:1">
      <c r="A8029" s="27">
        <v>95</v>
      </c>
    </row>
    <row r="8030" spans="1:1">
      <c r="A8030" s="27">
        <v>-6</v>
      </c>
    </row>
    <row r="8031" spans="1:1">
      <c r="A8031" s="27">
        <v>83</v>
      </c>
    </row>
    <row r="8032" spans="1:1">
      <c r="A8032" s="27">
        <v>0.6</v>
      </c>
    </row>
    <row r="8033" spans="1:1">
      <c r="A8033" s="27">
        <v>4</v>
      </c>
    </row>
    <row r="8034" spans="1:1">
      <c r="A8034" s="27">
        <v>14</v>
      </c>
    </row>
    <row r="8035" spans="1:1">
      <c r="A8035" s="27">
        <v>0</v>
      </c>
    </row>
    <row r="8036" spans="1:1">
      <c r="A8036" s="27">
        <v>0</v>
      </c>
    </row>
    <row r="8037" spans="1:1">
      <c r="A8037" s="27">
        <v>5</v>
      </c>
    </row>
    <row r="8038" spans="1:1">
      <c r="A8038" s="27">
        <v>1</v>
      </c>
    </row>
    <row r="8039" spans="1:1">
      <c r="A8039" s="27">
        <v>278</v>
      </c>
    </row>
    <row r="8040" spans="1:1">
      <c r="A8040" s="27">
        <v>13.7</v>
      </c>
    </row>
    <row r="8041" spans="1:1">
      <c r="A8041" s="29">
        <v>0.67222222222222217</v>
      </c>
    </row>
    <row r="8042" spans="1:1">
      <c r="A8042" s="27">
        <v>20.2</v>
      </c>
    </row>
    <row r="8043" spans="1:1">
      <c r="A8043" s="28">
        <v>31.7</v>
      </c>
    </row>
    <row r="8044" spans="1:1">
      <c r="A8044" s="25">
        <v>384</v>
      </c>
    </row>
    <row r="8045" spans="1:1" ht="45">
      <c r="A8045" s="26" t="s">
        <v>522</v>
      </c>
    </row>
    <row r="8046" spans="1:1">
      <c r="A8046" s="27" t="s">
        <v>42</v>
      </c>
    </row>
    <row r="8047" spans="1:1">
      <c r="A8047" s="27">
        <v>223</v>
      </c>
    </row>
    <row r="8048" spans="1:1">
      <c r="A8048" s="27">
        <v>26</v>
      </c>
    </row>
    <row r="8049" spans="1:1">
      <c r="A8049" s="27">
        <v>69</v>
      </c>
    </row>
    <row r="8050" spans="1:1">
      <c r="A8050" s="27">
        <v>95</v>
      </c>
    </row>
    <row r="8051" spans="1:1">
      <c r="A8051" s="27">
        <v>1</v>
      </c>
    </row>
    <row r="8052" spans="1:1">
      <c r="A8052" s="27">
        <v>74</v>
      </c>
    </row>
    <row r="8053" spans="1:1">
      <c r="A8053" s="27">
        <v>0.43</v>
      </c>
    </row>
    <row r="8054" spans="1:1">
      <c r="A8054" s="27">
        <v>8</v>
      </c>
    </row>
    <row r="8055" spans="1:1">
      <c r="A8055" s="27">
        <v>28</v>
      </c>
    </row>
    <row r="8056" spans="1:1">
      <c r="A8056" s="27">
        <v>0</v>
      </c>
    </row>
    <row r="8057" spans="1:1">
      <c r="A8057" s="27">
        <v>2</v>
      </c>
    </row>
    <row r="8058" spans="1:1">
      <c r="A8058" s="27">
        <v>4</v>
      </c>
    </row>
    <row r="8059" spans="1:1">
      <c r="A8059" s="27">
        <v>2</v>
      </c>
    </row>
    <row r="8060" spans="1:1">
      <c r="A8060" s="27">
        <v>507</v>
      </c>
    </row>
    <row r="8061" spans="1:1">
      <c r="A8061" s="27">
        <v>5.0999999999999996</v>
      </c>
    </row>
    <row r="8062" spans="1:1">
      <c r="A8062" s="29">
        <v>0.82708333333333339</v>
      </c>
    </row>
    <row r="8063" spans="1:1">
      <c r="A8063" s="27">
        <v>24.2</v>
      </c>
    </row>
    <row r="8064" spans="1:1">
      <c r="A8064" s="28">
        <v>100</v>
      </c>
    </row>
    <row r="8065" spans="1:1">
      <c r="A8065" s="25">
        <v>385</v>
      </c>
    </row>
    <row r="8066" spans="1:1" ht="30">
      <c r="A8066" s="26" t="s">
        <v>482</v>
      </c>
    </row>
    <row r="8067" spans="1:1">
      <c r="A8067" s="27" t="s">
        <v>653</v>
      </c>
    </row>
    <row r="8068" spans="1:1">
      <c r="A8068" s="27">
        <v>205</v>
      </c>
    </row>
    <row r="8069" spans="1:1">
      <c r="A8069" s="27">
        <v>40</v>
      </c>
    </row>
    <row r="8070" spans="1:1">
      <c r="A8070" s="27">
        <v>54</v>
      </c>
    </row>
    <row r="8071" spans="1:1">
      <c r="A8071" s="27">
        <v>94</v>
      </c>
    </row>
    <row r="8072" spans="1:1">
      <c r="A8072" s="27">
        <v>-8</v>
      </c>
    </row>
    <row r="8073" spans="1:1">
      <c r="A8073" s="27">
        <v>50</v>
      </c>
    </row>
    <row r="8074" spans="1:1">
      <c r="A8074" s="27">
        <v>0.46</v>
      </c>
    </row>
    <row r="8075" spans="1:1">
      <c r="A8075" s="27">
        <v>8</v>
      </c>
    </row>
    <row r="8076" spans="1:1">
      <c r="A8076" s="27">
        <v>19</v>
      </c>
    </row>
    <row r="8077" spans="1:1">
      <c r="A8077" s="27">
        <v>0</v>
      </c>
    </row>
    <row r="8078" spans="1:1">
      <c r="A8078" s="27">
        <v>0</v>
      </c>
    </row>
    <row r="8079" spans="1:1">
      <c r="A8079" s="27">
        <v>6</v>
      </c>
    </row>
    <row r="8080" spans="1:1">
      <c r="A8080" s="27">
        <v>1</v>
      </c>
    </row>
    <row r="8081" spans="1:1">
      <c r="A8081" s="27">
        <v>309</v>
      </c>
    </row>
    <row r="8082" spans="1:1">
      <c r="A8082" s="27">
        <v>12.9</v>
      </c>
    </row>
    <row r="8083" spans="1:1">
      <c r="A8083" s="29">
        <v>0.66180555555555554</v>
      </c>
    </row>
    <row r="8084" spans="1:1">
      <c r="A8084" s="27">
        <v>21.5</v>
      </c>
    </row>
    <row r="8085" spans="1:1">
      <c r="A8085" s="28">
        <v>51</v>
      </c>
    </row>
    <row r="8086" spans="1:1">
      <c r="A8086" s="25">
        <v>386</v>
      </c>
    </row>
    <row r="8087" spans="1:1" ht="45">
      <c r="A8087" s="26" t="s">
        <v>56</v>
      </c>
    </row>
    <row r="8088" spans="1:1">
      <c r="A8088" s="27" t="s">
        <v>653</v>
      </c>
    </row>
    <row r="8089" spans="1:1">
      <c r="A8089" s="27">
        <v>182</v>
      </c>
    </row>
    <row r="8090" spans="1:1">
      <c r="A8090" s="27">
        <v>39</v>
      </c>
    </row>
    <row r="8091" spans="1:1">
      <c r="A8091" s="27">
        <v>55</v>
      </c>
    </row>
    <row r="8092" spans="1:1">
      <c r="A8092" s="27">
        <v>94</v>
      </c>
    </row>
    <row r="8093" spans="1:1">
      <c r="A8093" s="27">
        <v>-17</v>
      </c>
    </row>
    <row r="8094" spans="1:1">
      <c r="A8094" s="27">
        <v>84</v>
      </c>
    </row>
    <row r="8095" spans="1:1">
      <c r="A8095" s="27">
        <v>0.52</v>
      </c>
    </row>
    <row r="8096" spans="1:1">
      <c r="A8096" s="27">
        <v>10</v>
      </c>
    </row>
    <row r="8097" spans="1:1">
      <c r="A8097" s="27">
        <v>35</v>
      </c>
    </row>
    <row r="8098" spans="1:1">
      <c r="A8098" s="27">
        <v>0</v>
      </c>
    </row>
    <row r="8099" spans="1:1">
      <c r="A8099" s="27">
        <v>0</v>
      </c>
    </row>
    <row r="8100" spans="1:1">
      <c r="A8100" s="27">
        <v>2</v>
      </c>
    </row>
    <row r="8101" spans="1:1">
      <c r="A8101" s="27">
        <v>0</v>
      </c>
    </row>
    <row r="8102" spans="1:1">
      <c r="A8102" s="27">
        <v>240</v>
      </c>
    </row>
    <row r="8103" spans="1:1">
      <c r="A8103" s="27">
        <v>16.3</v>
      </c>
    </row>
    <row r="8104" spans="1:1">
      <c r="A8104" s="29">
        <v>0.59236111111111112</v>
      </c>
    </row>
    <row r="8105" spans="1:1">
      <c r="A8105" s="27">
        <v>18.600000000000001</v>
      </c>
    </row>
    <row r="8106" spans="1:1">
      <c r="A8106" s="28">
        <v>48.6</v>
      </c>
    </row>
    <row r="8107" spans="1:1">
      <c r="A8107" s="25">
        <v>387</v>
      </c>
    </row>
    <row r="8108" spans="1:1" ht="30">
      <c r="A8108" s="26" t="s">
        <v>27</v>
      </c>
    </row>
    <row r="8109" spans="1:1">
      <c r="A8109" s="27" t="s">
        <v>653</v>
      </c>
    </row>
    <row r="8110" spans="1:1">
      <c r="A8110" s="27">
        <v>190</v>
      </c>
    </row>
    <row r="8111" spans="1:1">
      <c r="A8111" s="27">
        <v>32</v>
      </c>
    </row>
    <row r="8112" spans="1:1">
      <c r="A8112" s="27">
        <v>62</v>
      </c>
    </row>
    <row r="8113" spans="1:1">
      <c r="A8113" s="27">
        <v>94</v>
      </c>
    </row>
    <row r="8114" spans="1:1">
      <c r="A8114" s="27">
        <v>28</v>
      </c>
    </row>
    <row r="8115" spans="1:1">
      <c r="A8115" s="27">
        <v>38</v>
      </c>
    </row>
    <row r="8116" spans="1:1">
      <c r="A8116" s="27">
        <v>0.49</v>
      </c>
    </row>
    <row r="8117" spans="1:1">
      <c r="A8117" s="27">
        <v>5</v>
      </c>
    </row>
    <row r="8118" spans="1:1">
      <c r="A8118" s="27">
        <v>23</v>
      </c>
    </row>
    <row r="8119" spans="1:1">
      <c r="A8119" s="27">
        <v>1</v>
      </c>
    </row>
    <row r="8120" spans="1:1">
      <c r="A8120" s="27">
        <v>1</v>
      </c>
    </row>
    <row r="8121" spans="1:1">
      <c r="A8121" s="27">
        <v>8</v>
      </c>
    </row>
    <row r="8122" spans="1:1">
      <c r="A8122" s="27">
        <v>0</v>
      </c>
    </row>
    <row r="8123" spans="1:1">
      <c r="A8123" s="27">
        <v>288</v>
      </c>
    </row>
    <row r="8124" spans="1:1">
      <c r="A8124" s="27">
        <v>11.1</v>
      </c>
    </row>
    <row r="8125" spans="1:1">
      <c r="A8125" s="29">
        <v>0.60277777777777775</v>
      </c>
    </row>
    <row r="8126" spans="1:1">
      <c r="A8126" s="27">
        <v>18.100000000000001</v>
      </c>
    </row>
    <row r="8127" spans="1:1">
      <c r="A8127" s="28">
        <v>36.4</v>
      </c>
    </row>
    <row r="8128" spans="1:1">
      <c r="A8128" s="25">
        <v>388</v>
      </c>
    </row>
    <row r="8129" spans="1:1" ht="45">
      <c r="A8129" s="26" t="s">
        <v>421</v>
      </c>
    </row>
    <row r="8130" spans="1:1">
      <c r="A8130" s="27" t="s">
        <v>42</v>
      </c>
    </row>
    <row r="8131" spans="1:1">
      <c r="A8131" s="27">
        <v>249</v>
      </c>
    </row>
    <row r="8132" spans="1:1">
      <c r="A8132" s="27">
        <v>22</v>
      </c>
    </row>
    <row r="8133" spans="1:1">
      <c r="A8133" s="27">
        <v>72</v>
      </c>
    </row>
    <row r="8134" spans="1:1">
      <c r="A8134" s="27">
        <v>94</v>
      </c>
    </row>
    <row r="8135" spans="1:1">
      <c r="A8135" s="27">
        <v>31</v>
      </c>
    </row>
    <row r="8136" spans="1:1">
      <c r="A8136" s="27">
        <v>105</v>
      </c>
    </row>
    <row r="8137" spans="1:1">
      <c r="A8137" s="27">
        <v>0.38</v>
      </c>
    </row>
    <row r="8138" spans="1:1">
      <c r="A8138" s="27">
        <v>5</v>
      </c>
    </row>
    <row r="8139" spans="1:1">
      <c r="A8139" s="27">
        <v>19</v>
      </c>
    </row>
    <row r="8140" spans="1:1">
      <c r="A8140" s="27">
        <v>1</v>
      </c>
    </row>
    <row r="8141" spans="1:1">
      <c r="A8141" s="27">
        <v>2</v>
      </c>
    </row>
    <row r="8142" spans="1:1">
      <c r="A8142" s="27">
        <v>5</v>
      </c>
    </row>
    <row r="8143" spans="1:1">
      <c r="A8143" s="27">
        <v>1</v>
      </c>
    </row>
    <row r="8144" spans="1:1">
      <c r="A8144" s="27">
        <v>355</v>
      </c>
    </row>
    <row r="8145" spans="1:1">
      <c r="A8145" s="27">
        <v>6.2</v>
      </c>
    </row>
    <row r="8146" spans="1:1">
      <c r="A8146" s="29">
        <v>0.87083333333333324</v>
      </c>
    </row>
    <row r="8147" spans="1:1">
      <c r="A8147" s="27">
        <v>25</v>
      </c>
    </row>
    <row r="8148" spans="1:1">
      <c r="A8148" s="28">
        <v>50</v>
      </c>
    </row>
    <row r="8149" spans="1:1">
      <c r="A8149" s="25">
        <v>389</v>
      </c>
    </row>
    <row r="8150" spans="1:1" ht="45">
      <c r="A8150" s="26" t="s">
        <v>825</v>
      </c>
    </row>
    <row r="8151" spans="1:1">
      <c r="A8151" s="27" t="s">
        <v>44</v>
      </c>
    </row>
    <row r="8152" spans="1:1">
      <c r="A8152" s="27">
        <v>342</v>
      </c>
    </row>
    <row r="8153" spans="1:1">
      <c r="A8153" s="27">
        <v>42</v>
      </c>
    </row>
    <row r="8154" spans="1:1">
      <c r="A8154" s="27">
        <v>51</v>
      </c>
    </row>
    <row r="8155" spans="1:1">
      <c r="A8155" s="27">
        <v>93</v>
      </c>
    </row>
    <row r="8156" spans="1:1">
      <c r="A8156" s="27">
        <v>-46</v>
      </c>
    </row>
    <row r="8157" spans="1:1">
      <c r="A8157" s="27">
        <v>149</v>
      </c>
    </row>
    <row r="8158" spans="1:1">
      <c r="A8158" s="27">
        <v>0.27</v>
      </c>
    </row>
    <row r="8159" spans="1:1">
      <c r="A8159" s="27">
        <v>1</v>
      </c>
    </row>
    <row r="8160" spans="1:1">
      <c r="A8160" s="27">
        <v>3</v>
      </c>
    </row>
    <row r="8161" spans="1:1">
      <c r="A8161" s="27">
        <v>3</v>
      </c>
    </row>
    <row r="8162" spans="1:1">
      <c r="A8162" s="27">
        <v>7</v>
      </c>
    </row>
    <row r="8163" spans="1:1">
      <c r="A8163" s="27">
        <v>10</v>
      </c>
    </row>
    <row r="8164" spans="1:1">
      <c r="A8164" s="27">
        <v>0</v>
      </c>
    </row>
    <row r="8165" spans="1:1">
      <c r="A8165" s="27">
        <v>495</v>
      </c>
    </row>
    <row r="8166" spans="1:1">
      <c r="A8166" s="27">
        <v>8.5</v>
      </c>
    </row>
    <row r="8167" spans="1:1">
      <c r="A8167" s="29">
        <v>0.60972222222222217</v>
      </c>
    </row>
    <row r="8168" spans="1:1">
      <c r="A8168" s="27">
        <v>21</v>
      </c>
    </row>
    <row r="8169" spans="1:1">
      <c r="A8169" s="28">
        <v>43.9</v>
      </c>
    </row>
    <row r="8170" spans="1:1">
      <c r="A8170" s="25">
        <v>390</v>
      </c>
    </row>
    <row r="8171" spans="1:1" ht="30">
      <c r="A8171" s="26" t="s">
        <v>245</v>
      </c>
    </row>
    <row r="8172" spans="1:1">
      <c r="A8172" s="27" t="s">
        <v>42</v>
      </c>
    </row>
    <row r="8173" spans="1:1">
      <c r="A8173" s="27">
        <v>317</v>
      </c>
    </row>
    <row r="8174" spans="1:1">
      <c r="A8174" s="27">
        <v>19</v>
      </c>
    </row>
    <row r="8175" spans="1:1">
      <c r="A8175" s="27">
        <v>74</v>
      </c>
    </row>
    <row r="8176" spans="1:1">
      <c r="A8176" s="27">
        <v>93</v>
      </c>
    </row>
    <row r="8177" spans="1:1">
      <c r="A8177" s="27">
        <v>46</v>
      </c>
    </row>
    <row r="8178" spans="1:1">
      <c r="A8178" s="27">
        <v>90</v>
      </c>
    </row>
    <row r="8179" spans="1:1">
      <c r="A8179" s="27">
        <v>0.28999999999999998</v>
      </c>
    </row>
    <row r="8180" spans="1:1">
      <c r="A8180" s="27">
        <v>1</v>
      </c>
    </row>
    <row r="8181" spans="1:1">
      <c r="A8181" s="27">
        <v>7</v>
      </c>
    </row>
    <row r="8182" spans="1:1">
      <c r="A8182" s="27">
        <v>0</v>
      </c>
    </row>
    <row r="8183" spans="1:1">
      <c r="A8183" s="27">
        <v>2</v>
      </c>
    </row>
    <row r="8184" spans="1:1">
      <c r="A8184" s="27">
        <v>4</v>
      </c>
    </row>
    <row r="8185" spans="1:1">
      <c r="A8185" s="27">
        <v>0</v>
      </c>
    </row>
    <row r="8186" spans="1:1">
      <c r="A8186" s="27">
        <v>432</v>
      </c>
    </row>
    <row r="8187" spans="1:1">
      <c r="A8187" s="27">
        <v>4.4000000000000004</v>
      </c>
    </row>
    <row r="8188" spans="1:1">
      <c r="A8188" s="29">
        <v>0.85277777777777775</v>
      </c>
    </row>
    <row r="8189" spans="1:1">
      <c r="A8189" s="27">
        <v>25.1</v>
      </c>
    </row>
    <row r="8190" spans="1:1">
      <c r="A8190" s="28">
        <v>33.299999999999997</v>
      </c>
    </row>
    <row r="8191" spans="1:1">
      <c r="A8191" s="25">
        <v>391</v>
      </c>
    </row>
    <row r="8192" spans="1:1" ht="45">
      <c r="A8192" s="26" t="s">
        <v>92</v>
      </c>
    </row>
    <row r="8193" spans="1:1">
      <c r="A8193" s="27" t="s">
        <v>44</v>
      </c>
    </row>
    <row r="8194" spans="1:1">
      <c r="A8194" s="27">
        <v>249</v>
      </c>
    </row>
    <row r="8195" spans="1:1">
      <c r="A8195" s="27">
        <v>47</v>
      </c>
    </row>
    <row r="8196" spans="1:1">
      <c r="A8196" s="27">
        <v>45</v>
      </c>
    </row>
    <row r="8197" spans="1:1">
      <c r="A8197" s="27">
        <v>92</v>
      </c>
    </row>
    <row r="8198" spans="1:1">
      <c r="A8198" s="27">
        <v>2</v>
      </c>
    </row>
    <row r="8199" spans="1:1">
      <c r="A8199" s="27">
        <v>74</v>
      </c>
    </row>
    <row r="8200" spans="1:1">
      <c r="A8200" s="27">
        <v>0.37</v>
      </c>
    </row>
    <row r="8201" spans="1:1">
      <c r="A8201" s="27">
        <v>5</v>
      </c>
    </row>
    <row r="8202" spans="1:1">
      <c r="A8202" s="27">
        <v>8</v>
      </c>
    </row>
    <row r="8203" spans="1:1">
      <c r="A8203" s="27">
        <v>2</v>
      </c>
    </row>
    <row r="8204" spans="1:1">
      <c r="A8204" s="27">
        <v>2</v>
      </c>
    </row>
    <row r="8205" spans="1:1">
      <c r="A8205" s="27">
        <v>11</v>
      </c>
    </row>
    <row r="8206" spans="1:1">
      <c r="A8206" s="27">
        <v>0</v>
      </c>
    </row>
    <row r="8207" spans="1:1">
      <c r="A8207" s="27">
        <v>556</v>
      </c>
    </row>
    <row r="8208" spans="1:1">
      <c r="A8208" s="27">
        <v>8.5</v>
      </c>
    </row>
    <row r="8209" spans="1:1">
      <c r="A8209" s="29">
        <v>0.63402777777777775</v>
      </c>
    </row>
    <row r="8210" spans="1:1">
      <c r="A8210" s="27">
        <v>21.4</v>
      </c>
    </row>
    <row r="8211" spans="1:1">
      <c r="A8211" s="28">
        <v>35.6</v>
      </c>
    </row>
    <row r="8212" spans="1:1">
      <c r="A8212" s="25">
        <v>392</v>
      </c>
    </row>
    <row r="8213" spans="1:1" ht="30">
      <c r="A8213" s="26" t="s">
        <v>353</v>
      </c>
    </row>
    <row r="8214" spans="1:1">
      <c r="A8214" s="27" t="s">
        <v>42</v>
      </c>
    </row>
    <row r="8215" spans="1:1">
      <c r="A8215" s="27">
        <v>471</v>
      </c>
    </row>
    <row r="8216" spans="1:1">
      <c r="A8216" s="27">
        <v>27</v>
      </c>
    </row>
    <row r="8217" spans="1:1">
      <c r="A8217" s="27">
        <v>64</v>
      </c>
    </row>
    <row r="8218" spans="1:1">
      <c r="A8218" s="27">
        <v>91</v>
      </c>
    </row>
    <row r="8219" spans="1:1">
      <c r="A8219" s="27">
        <v>-23</v>
      </c>
    </row>
    <row r="8220" spans="1:1">
      <c r="A8220" s="27">
        <v>183</v>
      </c>
    </row>
    <row r="8221" spans="1:1">
      <c r="A8221" s="27">
        <v>0.19</v>
      </c>
    </row>
    <row r="8222" spans="1:1">
      <c r="A8222" s="27">
        <v>12</v>
      </c>
    </row>
    <row r="8223" spans="1:1">
      <c r="A8223" s="27">
        <v>33</v>
      </c>
    </row>
    <row r="8224" spans="1:1">
      <c r="A8224" s="27">
        <v>0</v>
      </c>
    </row>
    <row r="8225" spans="1:1">
      <c r="A8225" s="27">
        <v>0</v>
      </c>
    </row>
    <row r="8226" spans="1:1">
      <c r="A8226" s="27">
        <v>4</v>
      </c>
    </row>
    <row r="8227" spans="1:1">
      <c r="A8227" s="27">
        <v>0</v>
      </c>
    </row>
    <row r="8228" spans="1:1">
      <c r="A8228" s="27">
        <v>603</v>
      </c>
    </row>
    <row r="8229" spans="1:1">
      <c r="A8229" s="27">
        <v>4.5</v>
      </c>
    </row>
    <row r="8230" spans="1:1">
      <c r="A8230" s="29">
        <v>0.59444444444444444</v>
      </c>
    </row>
    <row r="8231" spans="1:1">
      <c r="A8231" s="27">
        <v>19.8</v>
      </c>
    </row>
    <row r="8232" spans="1:1">
      <c r="A8232" s="28">
        <v>0</v>
      </c>
    </row>
    <row r="8233" spans="1:1">
      <c r="A8233" s="25">
        <v>393</v>
      </c>
    </row>
    <row r="8234" spans="1:1" ht="30">
      <c r="A8234" s="26" t="s">
        <v>1168</v>
      </c>
    </row>
    <row r="8235" spans="1:1">
      <c r="A8235" s="27" t="s">
        <v>42</v>
      </c>
    </row>
    <row r="8236" spans="1:1">
      <c r="A8236" s="27">
        <v>346</v>
      </c>
    </row>
    <row r="8237" spans="1:1">
      <c r="A8237" s="27">
        <v>20</v>
      </c>
    </row>
    <row r="8238" spans="1:1">
      <c r="A8238" s="27">
        <v>71</v>
      </c>
    </row>
    <row r="8239" spans="1:1">
      <c r="A8239" s="27">
        <v>91</v>
      </c>
    </row>
    <row r="8240" spans="1:1">
      <c r="A8240" s="27">
        <v>55</v>
      </c>
    </row>
    <row r="8241" spans="1:1">
      <c r="A8241" s="27">
        <v>326</v>
      </c>
    </row>
    <row r="8242" spans="1:1">
      <c r="A8242" s="27">
        <v>0.26</v>
      </c>
    </row>
    <row r="8243" spans="1:1">
      <c r="A8243" s="27">
        <v>0</v>
      </c>
    </row>
    <row r="8244" spans="1:1">
      <c r="A8244" s="27">
        <v>0</v>
      </c>
    </row>
    <row r="8245" spans="1:1">
      <c r="A8245" s="27">
        <v>1</v>
      </c>
    </row>
    <row r="8246" spans="1:1">
      <c r="A8246" s="27">
        <v>4</v>
      </c>
    </row>
    <row r="8247" spans="1:1">
      <c r="A8247" s="27">
        <v>4</v>
      </c>
    </row>
    <row r="8248" spans="1:1">
      <c r="A8248" s="27">
        <v>0</v>
      </c>
    </row>
    <row r="8249" spans="1:1">
      <c r="A8249" s="27">
        <v>428</v>
      </c>
    </row>
    <row r="8250" spans="1:1">
      <c r="A8250" s="27">
        <v>4.7</v>
      </c>
    </row>
    <row r="8251" spans="1:1">
      <c r="A8251" s="29">
        <v>0.82708333333333339</v>
      </c>
    </row>
    <row r="8252" spans="1:1">
      <c r="A8252" s="27">
        <v>24.7</v>
      </c>
    </row>
    <row r="8253" spans="1:1">
      <c r="A8253" s="28">
        <v>0</v>
      </c>
    </row>
    <row r="8254" spans="1:1">
      <c r="A8254" s="25">
        <v>394</v>
      </c>
    </row>
    <row r="8255" spans="1:1" ht="30">
      <c r="A8255" s="26" t="s">
        <v>882</v>
      </c>
    </row>
    <row r="8256" spans="1:1">
      <c r="A8256" s="27" t="s">
        <v>653</v>
      </c>
    </row>
    <row r="8257" spans="1:1">
      <c r="A8257" s="27">
        <v>232</v>
      </c>
    </row>
    <row r="8258" spans="1:1">
      <c r="A8258" s="27">
        <v>55</v>
      </c>
    </row>
    <row r="8259" spans="1:1">
      <c r="A8259" s="27">
        <v>34</v>
      </c>
    </row>
    <row r="8260" spans="1:1">
      <c r="A8260" s="27">
        <v>89</v>
      </c>
    </row>
    <row r="8261" spans="1:1">
      <c r="A8261" s="27">
        <v>-20</v>
      </c>
    </row>
    <row r="8262" spans="1:1">
      <c r="A8262" s="27">
        <v>106</v>
      </c>
    </row>
    <row r="8263" spans="1:1">
      <c r="A8263" s="27">
        <v>0.38</v>
      </c>
    </row>
    <row r="8264" spans="1:1">
      <c r="A8264" s="27">
        <v>7</v>
      </c>
    </row>
    <row r="8265" spans="1:1">
      <c r="A8265" s="27">
        <v>14</v>
      </c>
    </row>
    <row r="8266" spans="1:1">
      <c r="A8266" s="27">
        <v>1</v>
      </c>
    </row>
    <row r="8267" spans="1:1">
      <c r="A8267" s="27">
        <v>1</v>
      </c>
    </row>
    <row r="8268" spans="1:1">
      <c r="A8268" s="27">
        <v>3</v>
      </c>
    </row>
    <row r="8269" spans="1:1">
      <c r="A8269" s="27">
        <v>1</v>
      </c>
    </row>
    <row r="8270" spans="1:1">
      <c r="A8270" s="27">
        <v>560</v>
      </c>
    </row>
    <row r="8271" spans="1:1">
      <c r="A8271" s="27">
        <v>9.8000000000000007</v>
      </c>
    </row>
    <row r="8272" spans="1:1">
      <c r="A8272" s="29">
        <v>0.55763888888888891</v>
      </c>
    </row>
    <row r="8273" spans="1:1">
      <c r="A8273" s="27">
        <v>18.399999999999999</v>
      </c>
    </row>
    <row r="8274" spans="1:1">
      <c r="A8274" s="28">
        <v>37.299999999999997</v>
      </c>
    </row>
    <row r="8275" spans="1:1">
      <c r="A8275" s="25">
        <v>395</v>
      </c>
    </row>
    <row r="8276" spans="1:1" ht="30">
      <c r="A8276" s="26" t="s">
        <v>693</v>
      </c>
    </row>
    <row r="8277" spans="1:1">
      <c r="A8277" s="27" t="s">
        <v>653</v>
      </c>
    </row>
    <row r="8278" spans="1:1">
      <c r="A8278" s="27">
        <v>292</v>
      </c>
    </row>
    <row r="8279" spans="1:1">
      <c r="A8279" s="27">
        <v>43</v>
      </c>
    </row>
    <row r="8280" spans="1:1">
      <c r="A8280" s="27">
        <v>46</v>
      </c>
    </row>
    <row r="8281" spans="1:1">
      <c r="A8281" s="27">
        <v>89</v>
      </c>
    </row>
    <row r="8282" spans="1:1">
      <c r="A8282" s="27">
        <v>40</v>
      </c>
    </row>
    <row r="8283" spans="1:1">
      <c r="A8283" s="27">
        <v>101</v>
      </c>
    </row>
    <row r="8284" spans="1:1">
      <c r="A8284" s="27">
        <v>0.3</v>
      </c>
    </row>
    <row r="8285" spans="1:1">
      <c r="A8285" s="27">
        <v>2</v>
      </c>
    </row>
    <row r="8286" spans="1:1">
      <c r="A8286" s="27">
        <v>9</v>
      </c>
    </row>
    <row r="8287" spans="1:1">
      <c r="A8287" s="27">
        <v>2</v>
      </c>
    </row>
    <row r="8288" spans="1:1">
      <c r="A8288" s="27">
        <v>6</v>
      </c>
    </row>
    <row r="8289" spans="1:1">
      <c r="A8289" s="27">
        <v>10</v>
      </c>
    </row>
    <row r="8290" spans="1:1">
      <c r="A8290" s="27">
        <v>1</v>
      </c>
    </row>
    <row r="8291" spans="1:1">
      <c r="A8291" s="27">
        <v>341</v>
      </c>
    </row>
    <row r="8292" spans="1:1">
      <c r="A8292" s="27">
        <v>12.6</v>
      </c>
    </row>
    <row r="8293" spans="1:1">
      <c r="A8293" s="29">
        <v>0.57986111111111105</v>
      </c>
    </row>
    <row r="8294" spans="1:1">
      <c r="A8294" s="27">
        <v>19.8</v>
      </c>
    </row>
    <row r="8295" spans="1:1">
      <c r="A8295" s="28">
        <v>53.2</v>
      </c>
    </row>
    <row r="8296" spans="1:1">
      <c r="A8296" s="25">
        <v>396</v>
      </c>
    </row>
    <row r="8297" spans="1:1" ht="45">
      <c r="A8297" s="26" t="s">
        <v>489</v>
      </c>
    </row>
    <row r="8298" spans="1:1">
      <c r="A8298" s="27" t="s">
        <v>43</v>
      </c>
    </row>
    <row r="8299" spans="1:1">
      <c r="A8299" s="27">
        <v>207</v>
      </c>
    </row>
    <row r="8300" spans="1:1">
      <c r="A8300" s="27">
        <v>33</v>
      </c>
    </row>
    <row r="8301" spans="1:1">
      <c r="A8301" s="27">
        <v>55</v>
      </c>
    </row>
    <row r="8302" spans="1:1">
      <c r="A8302" s="27">
        <v>88</v>
      </c>
    </row>
    <row r="8303" spans="1:1">
      <c r="A8303" s="27">
        <v>2</v>
      </c>
    </row>
    <row r="8304" spans="1:1">
      <c r="A8304" s="27">
        <v>51</v>
      </c>
    </row>
    <row r="8305" spans="1:1">
      <c r="A8305" s="27">
        <v>0.43</v>
      </c>
    </row>
    <row r="8306" spans="1:1">
      <c r="A8306" s="27">
        <v>4</v>
      </c>
    </row>
    <row r="8307" spans="1:1">
      <c r="A8307" s="27">
        <v>10</v>
      </c>
    </row>
    <row r="8308" spans="1:1">
      <c r="A8308" s="27">
        <v>0</v>
      </c>
    </row>
    <row r="8309" spans="1:1">
      <c r="A8309" s="27">
        <v>0</v>
      </c>
    </row>
    <row r="8310" spans="1:1">
      <c r="A8310" s="27">
        <v>6</v>
      </c>
    </row>
    <row r="8311" spans="1:1">
      <c r="A8311" s="27">
        <v>0</v>
      </c>
    </row>
    <row r="8312" spans="1:1">
      <c r="A8312" s="27">
        <v>363</v>
      </c>
    </row>
    <row r="8313" spans="1:1">
      <c r="A8313" s="27">
        <v>9.1</v>
      </c>
    </row>
    <row r="8314" spans="1:1">
      <c r="A8314" s="29">
        <v>0.56874999999999998</v>
      </c>
    </row>
    <row r="8315" spans="1:1">
      <c r="A8315" s="27">
        <v>18.3</v>
      </c>
    </row>
    <row r="8316" spans="1:1">
      <c r="A8316" s="28">
        <v>40.299999999999997</v>
      </c>
    </row>
    <row r="8317" spans="1:1">
      <c r="A8317" s="25">
        <v>397</v>
      </c>
    </row>
    <row r="8318" spans="1:1" ht="30">
      <c r="A8318" s="26" t="s">
        <v>297</v>
      </c>
    </row>
    <row r="8319" spans="1:1">
      <c r="A8319" s="27" t="s">
        <v>653</v>
      </c>
    </row>
    <row r="8320" spans="1:1">
      <c r="A8320" s="27">
        <v>225</v>
      </c>
    </row>
    <row r="8321" spans="1:1">
      <c r="A8321" s="27">
        <v>31</v>
      </c>
    </row>
    <row r="8322" spans="1:1">
      <c r="A8322" s="27">
        <v>56</v>
      </c>
    </row>
    <row r="8323" spans="1:1">
      <c r="A8323" s="27">
        <v>87</v>
      </c>
    </row>
    <row r="8324" spans="1:1">
      <c r="A8324" s="27">
        <v>-34</v>
      </c>
    </row>
    <row r="8325" spans="1:1">
      <c r="A8325" s="27">
        <v>70</v>
      </c>
    </row>
    <row r="8326" spans="1:1">
      <c r="A8326" s="27">
        <v>0.39</v>
      </c>
    </row>
    <row r="8327" spans="1:1">
      <c r="A8327" s="27">
        <v>11</v>
      </c>
    </row>
    <row r="8328" spans="1:1">
      <c r="A8328" s="27">
        <v>24</v>
      </c>
    </row>
    <row r="8329" spans="1:1">
      <c r="A8329" s="27">
        <v>3</v>
      </c>
    </row>
    <row r="8330" spans="1:1">
      <c r="A8330" s="27">
        <v>5</v>
      </c>
    </row>
    <row r="8331" spans="1:1">
      <c r="A8331" s="27">
        <v>4</v>
      </c>
    </row>
    <row r="8332" spans="1:1">
      <c r="A8332" s="27">
        <v>0</v>
      </c>
    </row>
    <row r="8333" spans="1:1">
      <c r="A8333" s="27">
        <v>329</v>
      </c>
    </row>
    <row r="8334" spans="1:1">
      <c r="A8334" s="27">
        <v>9.4</v>
      </c>
    </row>
    <row r="8335" spans="1:1">
      <c r="A8335" s="29">
        <v>0.61944444444444446</v>
      </c>
    </row>
    <row r="8336" spans="1:1">
      <c r="A8336" s="27">
        <v>19.2</v>
      </c>
    </row>
    <row r="8337" spans="1:1">
      <c r="A8337" s="28">
        <v>45.3</v>
      </c>
    </row>
    <row r="8338" spans="1:1">
      <c r="A8338" s="25">
        <v>398</v>
      </c>
    </row>
    <row r="8339" spans="1:1" ht="30">
      <c r="A8339" s="26" t="s">
        <v>517</v>
      </c>
    </row>
    <row r="8340" spans="1:1">
      <c r="A8340" s="27" t="s">
        <v>42</v>
      </c>
    </row>
    <row r="8341" spans="1:1">
      <c r="A8341" s="27">
        <v>425</v>
      </c>
    </row>
    <row r="8342" spans="1:1">
      <c r="A8342" s="27">
        <v>18</v>
      </c>
    </row>
    <row r="8343" spans="1:1">
      <c r="A8343" s="27">
        <v>69</v>
      </c>
    </row>
    <row r="8344" spans="1:1">
      <c r="A8344" s="27">
        <v>87</v>
      </c>
    </row>
    <row r="8345" spans="1:1">
      <c r="A8345" s="27">
        <v>59</v>
      </c>
    </row>
    <row r="8346" spans="1:1">
      <c r="A8346" s="27">
        <v>353</v>
      </c>
    </row>
    <row r="8347" spans="1:1">
      <c r="A8347" s="27">
        <v>0.2</v>
      </c>
    </row>
    <row r="8348" spans="1:1">
      <c r="A8348" s="27">
        <v>1</v>
      </c>
    </row>
    <row r="8349" spans="1:1">
      <c r="A8349" s="27">
        <v>7</v>
      </c>
    </row>
    <row r="8350" spans="1:1">
      <c r="A8350" s="27">
        <v>1</v>
      </c>
    </row>
    <row r="8351" spans="1:1">
      <c r="A8351" s="27">
        <v>3</v>
      </c>
    </row>
    <row r="8352" spans="1:1">
      <c r="A8352" s="27">
        <v>4</v>
      </c>
    </row>
    <row r="8353" spans="1:1">
      <c r="A8353" s="27">
        <v>0</v>
      </c>
    </row>
    <row r="8354" spans="1:1">
      <c r="A8354" s="27">
        <v>446</v>
      </c>
    </row>
    <row r="8355" spans="1:1">
      <c r="A8355" s="27">
        <v>4</v>
      </c>
    </row>
    <row r="8356" spans="1:1">
      <c r="A8356" s="29">
        <v>0.75902777777777775</v>
      </c>
    </row>
    <row r="8357" spans="1:1">
      <c r="A8357" s="27">
        <v>23.9</v>
      </c>
    </row>
    <row r="8358" spans="1:1">
      <c r="A8358" s="28">
        <v>100</v>
      </c>
    </row>
    <row r="8359" spans="1:1">
      <c r="A8359" s="25">
        <v>399</v>
      </c>
    </row>
    <row r="8360" spans="1:1" ht="45">
      <c r="A8360" s="26" t="s">
        <v>747</v>
      </c>
    </row>
    <row r="8361" spans="1:1">
      <c r="A8361" s="27" t="s">
        <v>42</v>
      </c>
    </row>
    <row r="8362" spans="1:1">
      <c r="A8362" s="27">
        <v>183</v>
      </c>
    </row>
    <row r="8363" spans="1:1">
      <c r="A8363" s="27">
        <v>18</v>
      </c>
    </row>
    <row r="8364" spans="1:1">
      <c r="A8364" s="27">
        <v>69</v>
      </c>
    </row>
    <row r="8365" spans="1:1">
      <c r="A8365" s="27">
        <v>87</v>
      </c>
    </row>
    <row r="8366" spans="1:1">
      <c r="A8366" s="27">
        <v>33</v>
      </c>
    </row>
    <row r="8367" spans="1:1">
      <c r="A8367" s="27">
        <v>92</v>
      </c>
    </row>
    <row r="8368" spans="1:1">
      <c r="A8368" s="27">
        <v>0.48</v>
      </c>
    </row>
    <row r="8369" spans="1:1">
      <c r="A8369" s="27">
        <v>5</v>
      </c>
    </row>
    <row r="8370" spans="1:1">
      <c r="A8370" s="27">
        <v>27</v>
      </c>
    </row>
    <row r="8371" spans="1:1">
      <c r="A8371" s="27">
        <v>0</v>
      </c>
    </row>
    <row r="8372" spans="1:1">
      <c r="A8372" s="27">
        <v>0</v>
      </c>
    </row>
    <row r="8373" spans="1:1">
      <c r="A8373" s="27">
        <v>5</v>
      </c>
    </row>
    <row r="8374" spans="1:1">
      <c r="A8374" s="27">
        <v>0</v>
      </c>
    </row>
    <row r="8375" spans="1:1">
      <c r="A8375" s="27">
        <v>314</v>
      </c>
    </row>
    <row r="8376" spans="1:1">
      <c r="A8376" s="27">
        <v>5.7</v>
      </c>
    </row>
    <row r="8377" spans="1:1">
      <c r="A8377" s="29">
        <v>0.69861111111111107</v>
      </c>
    </row>
    <row r="8378" spans="1:1">
      <c r="A8378" s="27">
        <v>20.6</v>
      </c>
    </row>
    <row r="8379" spans="1:1">
      <c r="A8379" s="28">
        <v>50</v>
      </c>
    </row>
    <row r="8380" spans="1:1">
      <c r="A8380" s="25">
        <v>400</v>
      </c>
    </row>
    <row r="8381" spans="1:1" ht="30">
      <c r="A8381" s="26" t="s">
        <v>76</v>
      </c>
    </row>
    <row r="8382" spans="1:1">
      <c r="A8382" s="27" t="s">
        <v>653</v>
      </c>
    </row>
    <row r="8383" spans="1:1">
      <c r="A8383" s="27">
        <v>356</v>
      </c>
    </row>
    <row r="8384" spans="1:1">
      <c r="A8384" s="27">
        <v>34</v>
      </c>
    </row>
    <row r="8385" spans="1:1">
      <c r="A8385" s="27">
        <v>52</v>
      </c>
    </row>
    <row r="8386" spans="1:1">
      <c r="A8386" s="27">
        <v>86</v>
      </c>
    </row>
    <row r="8387" spans="1:1">
      <c r="A8387" s="27">
        <v>-47</v>
      </c>
    </row>
    <row r="8388" spans="1:1">
      <c r="A8388" s="27">
        <v>180</v>
      </c>
    </row>
    <row r="8389" spans="1:1">
      <c r="A8389" s="27">
        <v>0.24</v>
      </c>
    </row>
    <row r="8390" spans="1:1">
      <c r="A8390" s="27">
        <v>3</v>
      </c>
    </row>
    <row r="8391" spans="1:1">
      <c r="A8391" s="27">
        <v>9</v>
      </c>
    </row>
    <row r="8392" spans="1:1">
      <c r="A8392" s="27">
        <v>2</v>
      </c>
    </row>
    <row r="8393" spans="1:1">
      <c r="A8393" s="27">
        <v>3</v>
      </c>
    </row>
    <row r="8394" spans="1:1">
      <c r="A8394" s="27">
        <v>7</v>
      </c>
    </row>
    <row r="8395" spans="1:1">
      <c r="A8395" s="27">
        <v>0</v>
      </c>
    </row>
    <row r="8396" spans="1:1">
      <c r="A8396" s="27">
        <v>410</v>
      </c>
    </row>
    <row r="8397" spans="1:1">
      <c r="A8397" s="27">
        <v>8.3000000000000007</v>
      </c>
    </row>
    <row r="8398" spans="1:1">
      <c r="A8398" s="29">
        <v>0.60833333333333328</v>
      </c>
    </row>
    <row r="8399" spans="1:1">
      <c r="A8399" s="27">
        <v>19.3</v>
      </c>
    </row>
    <row r="8400" spans="1:1">
      <c r="A8400" s="28">
        <v>49.9</v>
      </c>
    </row>
    <row r="8401" spans="1:1">
      <c r="A8401" s="25">
        <v>401</v>
      </c>
    </row>
    <row r="8402" spans="1:1" ht="30">
      <c r="A8402" s="26" t="s">
        <v>727</v>
      </c>
    </row>
    <row r="8403" spans="1:1">
      <c r="A8403" s="27" t="s">
        <v>653</v>
      </c>
    </row>
    <row r="8404" spans="1:1">
      <c r="A8404" s="27">
        <v>287</v>
      </c>
    </row>
    <row r="8405" spans="1:1">
      <c r="A8405" s="27">
        <v>34</v>
      </c>
    </row>
    <row r="8406" spans="1:1">
      <c r="A8406" s="27">
        <v>52</v>
      </c>
    </row>
    <row r="8407" spans="1:1">
      <c r="A8407" s="27">
        <v>86</v>
      </c>
    </row>
    <row r="8408" spans="1:1">
      <c r="A8408" s="27">
        <v>-21</v>
      </c>
    </row>
    <row r="8409" spans="1:1">
      <c r="A8409" s="27">
        <v>146</v>
      </c>
    </row>
    <row r="8410" spans="1:1">
      <c r="A8410" s="27">
        <v>0.3</v>
      </c>
    </row>
    <row r="8411" spans="1:1">
      <c r="A8411" s="27">
        <v>0</v>
      </c>
    </row>
    <row r="8412" spans="1:1">
      <c r="A8412" s="27">
        <v>1</v>
      </c>
    </row>
    <row r="8413" spans="1:1">
      <c r="A8413" s="27">
        <v>1</v>
      </c>
    </row>
    <row r="8414" spans="1:1">
      <c r="A8414" s="27">
        <v>3</v>
      </c>
    </row>
    <row r="8415" spans="1:1">
      <c r="A8415" s="27">
        <v>1</v>
      </c>
    </row>
    <row r="8416" spans="1:1">
      <c r="A8416" s="27">
        <v>0</v>
      </c>
    </row>
    <row r="8417" spans="1:1">
      <c r="A8417" s="27">
        <v>409</v>
      </c>
    </row>
    <row r="8418" spans="1:1">
      <c r="A8418" s="27">
        <v>8.3000000000000007</v>
      </c>
    </row>
    <row r="8419" spans="1:1">
      <c r="A8419" s="29">
        <v>0.51527777777777783</v>
      </c>
    </row>
    <row r="8420" spans="1:1">
      <c r="A8420" s="27">
        <v>17.600000000000001</v>
      </c>
    </row>
    <row r="8421" spans="1:1">
      <c r="A8421" s="28">
        <v>50.4</v>
      </c>
    </row>
    <row r="8422" spans="1:1">
      <c r="A8422" s="25">
        <v>402</v>
      </c>
    </row>
    <row r="8423" spans="1:1" ht="30">
      <c r="A8423" s="26" t="s">
        <v>201</v>
      </c>
    </row>
    <row r="8424" spans="1:1">
      <c r="A8424" s="27" t="s">
        <v>42</v>
      </c>
    </row>
    <row r="8425" spans="1:1">
      <c r="A8425" s="27">
        <v>192</v>
      </c>
    </row>
    <row r="8426" spans="1:1">
      <c r="A8426" s="27">
        <v>24</v>
      </c>
    </row>
    <row r="8427" spans="1:1">
      <c r="A8427" s="27">
        <v>62</v>
      </c>
    </row>
    <row r="8428" spans="1:1">
      <c r="A8428" s="27">
        <v>86</v>
      </c>
    </row>
    <row r="8429" spans="1:1">
      <c r="A8429" s="27">
        <v>18</v>
      </c>
    </row>
    <row r="8430" spans="1:1">
      <c r="A8430" s="27">
        <v>45</v>
      </c>
    </row>
    <row r="8431" spans="1:1">
      <c r="A8431" s="27">
        <v>0.45</v>
      </c>
    </row>
    <row r="8432" spans="1:1">
      <c r="A8432" s="27">
        <v>8</v>
      </c>
    </row>
    <row r="8433" spans="1:1">
      <c r="A8433" s="27">
        <v>23</v>
      </c>
    </row>
    <row r="8434" spans="1:1">
      <c r="A8434" s="27">
        <v>0</v>
      </c>
    </row>
    <row r="8435" spans="1:1">
      <c r="A8435" s="27">
        <v>0</v>
      </c>
    </row>
    <row r="8436" spans="1:1">
      <c r="A8436" s="27">
        <v>4</v>
      </c>
    </row>
    <row r="8437" spans="1:1">
      <c r="A8437" s="27">
        <v>1</v>
      </c>
    </row>
    <row r="8438" spans="1:1">
      <c r="A8438" s="27">
        <v>434</v>
      </c>
    </row>
    <row r="8439" spans="1:1">
      <c r="A8439" s="27">
        <v>5.5</v>
      </c>
    </row>
    <row r="8440" spans="1:1">
      <c r="A8440" s="29">
        <v>0.84444444444444444</v>
      </c>
    </row>
    <row r="8441" spans="1:1">
      <c r="A8441" s="27">
        <v>24.8</v>
      </c>
    </row>
    <row r="8442" spans="1:1">
      <c r="A8442" s="28">
        <v>0</v>
      </c>
    </row>
    <row r="8443" spans="1:1">
      <c r="A8443" s="25">
        <v>403</v>
      </c>
    </row>
    <row r="8444" spans="1:1" ht="30">
      <c r="A8444" s="26" t="s">
        <v>519</v>
      </c>
    </row>
    <row r="8445" spans="1:1">
      <c r="A8445" s="27" t="s">
        <v>43</v>
      </c>
    </row>
    <row r="8446" spans="1:1">
      <c r="A8446" s="27">
        <v>608</v>
      </c>
    </row>
    <row r="8447" spans="1:1">
      <c r="A8447" s="27">
        <v>42</v>
      </c>
    </row>
    <row r="8448" spans="1:1">
      <c r="A8448" s="27">
        <v>43</v>
      </c>
    </row>
    <row r="8449" spans="1:1">
      <c r="A8449" s="27">
        <v>85</v>
      </c>
    </row>
    <row r="8450" spans="1:1">
      <c r="A8450" s="27">
        <v>-10</v>
      </c>
    </row>
    <row r="8451" spans="1:1">
      <c r="A8451" s="27">
        <v>883</v>
      </c>
    </row>
    <row r="8452" spans="1:1">
      <c r="A8452" s="27">
        <v>0.14000000000000001</v>
      </c>
    </row>
    <row r="8453" spans="1:1">
      <c r="A8453" s="27">
        <v>3</v>
      </c>
    </row>
    <row r="8454" spans="1:1">
      <c r="A8454" s="27">
        <v>3</v>
      </c>
    </row>
    <row r="8455" spans="1:1">
      <c r="A8455" s="27">
        <v>0</v>
      </c>
    </row>
    <row r="8456" spans="1:1">
      <c r="A8456" s="27">
        <v>0</v>
      </c>
    </row>
    <row r="8457" spans="1:1">
      <c r="A8457" s="27">
        <v>8</v>
      </c>
    </row>
    <row r="8458" spans="1:1">
      <c r="A8458" s="27">
        <v>0</v>
      </c>
    </row>
    <row r="8459" spans="1:1">
      <c r="A8459" s="27">
        <v>405</v>
      </c>
    </row>
    <row r="8460" spans="1:1">
      <c r="A8460" s="27">
        <v>10.4</v>
      </c>
    </row>
    <row r="8461" spans="1:1">
      <c r="A8461" s="29">
        <v>0.34930555555555554</v>
      </c>
    </row>
    <row r="8462" spans="1:1">
      <c r="A8462" s="27">
        <v>12.1</v>
      </c>
    </row>
    <row r="8463" spans="1:1">
      <c r="A8463" s="28">
        <v>44.8</v>
      </c>
    </row>
    <row r="8464" spans="1:1">
      <c r="A8464" s="25">
        <v>404</v>
      </c>
    </row>
    <row r="8465" spans="1:1" ht="30">
      <c r="A8465" s="26" t="s">
        <v>404</v>
      </c>
    </row>
    <row r="8466" spans="1:1">
      <c r="A8466" s="27" t="s">
        <v>42</v>
      </c>
    </row>
    <row r="8467" spans="1:1">
      <c r="A8467" s="27">
        <v>268</v>
      </c>
    </row>
    <row r="8468" spans="1:1">
      <c r="A8468" s="27">
        <v>26</v>
      </c>
    </row>
    <row r="8469" spans="1:1">
      <c r="A8469" s="27">
        <v>59</v>
      </c>
    </row>
    <row r="8470" spans="1:1">
      <c r="A8470" s="27">
        <v>85</v>
      </c>
    </row>
    <row r="8471" spans="1:1">
      <c r="A8471" s="27">
        <v>47</v>
      </c>
    </row>
    <row r="8472" spans="1:1">
      <c r="A8472" s="27">
        <v>83</v>
      </c>
    </row>
    <row r="8473" spans="1:1">
      <c r="A8473" s="27">
        <v>0.32</v>
      </c>
    </row>
    <row r="8474" spans="1:1">
      <c r="A8474" s="27">
        <v>7</v>
      </c>
    </row>
    <row r="8475" spans="1:1">
      <c r="A8475" s="27">
        <v>20</v>
      </c>
    </row>
    <row r="8476" spans="1:1">
      <c r="A8476" s="27">
        <v>2</v>
      </c>
    </row>
    <row r="8477" spans="1:1">
      <c r="A8477" s="27">
        <v>2</v>
      </c>
    </row>
    <row r="8478" spans="1:1">
      <c r="A8478" s="27">
        <v>4</v>
      </c>
    </row>
    <row r="8479" spans="1:1">
      <c r="A8479" s="27">
        <v>1</v>
      </c>
    </row>
    <row r="8480" spans="1:1">
      <c r="A8480" s="27">
        <v>410</v>
      </c>
    </row>
    <row r="8481" spans="1:1">
      <c r="A8481" s="27">
        <v>6.3</v>
      </c>
    </row>
    <row r="8482" spans="1:1">
      <c r="A8482" s="29">
        <v>0.94861111111111107</v>
      </c>
    </row>
    <row r="8483" spans="1:1">
      <c r="A8483" s="27">
        <v>27.7</v>
      </c>
    </row>
    <row r="8484" spans="1:1">
      <c r="A8484" s="28">
        <v>0</v>
      </c>
    </row>
    <row r="8485" spans="1:1">
      <c r="A8485" s="25">
        <v>405</v>
      </c>
    </row>
    <row r="8486" spans="1:1" ht="30">
      <c r="A8486" s="26" t="s">
        <v>443</v>
      </c>
    </row>
    <row r="8487" spans="1:1">
      <c r="A8487" s="27" t="s">
        <v>653</v>
      </c>
    </row>
    <row r="8488" spans="1:1">
      <c r="A8488" s="27">
        <v>129</v>
      </c>
    </row>
    <row r="8489" spans="1:1">
      <c r="A8489" s="27">
        <v>29</v>
      </c>
    </row>
    <row r="8490" spans="1:1">
      <c r="A8490" s="27">
        <v>55</v>
      </c>
    </row>
    <row r="8491" spans="1:1">
      <c r="A8491" s="27">
        <v>84</v>
      </c>
    </row>
    <row r="8492" spans="1:1">
      <c r="A8492" s="27">
        <v>1</v>
      </c>
    </row>
    <row r="8493" spans="1:1">
      <c r="A8493" s="27">
        <v>38</v>
      </c>
    </row>
    <row r="8494" spans="1:1">
      <c r="A8494" s="27">
        <v>0.65</v>
      </c>
    </row>
    <row r="8495" spans="1:1">
      <c r="A8495" s="27">
        <v>7</v>
      </c>
    </row>
    <row r="8496" spans="1:1">
      <c r="A8496" s="27">
        <v>19</v>
      </c>
    </row>
    <row r="8497" spans="1:1">
      <c r="A8497" s="27">
        <v>0</v>
      </c>
    </row>
    <row r="8498" spans="1:1">
      <c r="A8498" s="27">
        <v>0</v>
      </c>
    </row>
    <row r="8499" spans="1:1">
      <c r="A8499" s="27">
        <v>3</v>
      </c>
    </row>
    <row r="8500" spans="1:1">
      <c r="A8500" s="27">
        <v>0</v>
      </c>
    </row>
    <row r="8501" spans="1:1">
      <c r="A8501" s="27">
        <v>212</v>
      </c>
    </row>
    <row r="8502" spans="1:1">
      <c r="A8502" s="27">
        <v>13.7</v>
      </c>
    </row>
    <row r="8503" spans="1:1">
      <c r="A8503" s="29">
        <v>0.64652777777777781</v>
      </c>
    </row>
    <row r="8504" spans="1:1">
      <c r="A8504" s="27">
        <v>19.100000000000001</v>
      </c>
    </row>
    <row r="8505" spans="1:1">
      <c r="A8505" s="28">
        <v>46.4</v>
      </c>
    </row>
    <row r="8506" spans="1:1">
      <c r="A8506" s="25">
        <v>406</v>
      </c>
    </row>
    <row r="8507" spans="1:1" ht="30">
      <c r="A8507" s="26" t="s">
        <v>566</v>
      </c>
    </row>
    <row r="8508" spans="1:1">
      <c r="A8508" s="27" t="s">
        <v>43</v>
      </c>
    </row>
    <row r="8509" spans="1:1">
      <c r="A8509" s="27">
        <v>171</v>
      </c>
    </row>
    <row r="8510" spans="1:1">
      <c r="A8510" s="27">
        <v>39</v>
      </c>
    </row>
    <row r="8511" spans="1:1">
      <c r="A8511" s="27">
        <v>44</v>
      </c>
    </row>
    <row r="8512" spans="1:1">
      <c r="A8512" s="27">
        <v>83</v>
      </c>
    </row>
    <row r="8513" spans="1:1">
      <c r="A8513" s="27">
        <v>18</v>
      </c>
    </row>
    <row r="8514" spans="1:1">
      <c r="A8514" s="27">
        <v>38</v>
      </c>
    </row>
    <row r="8515" spans="1:1">
      <c r="A8515" s="27">
        <v>0.49</v>
      </c>
    </row>
    <row r="8516" spans="1:1">
      <c r="A8516" s="27">
        <v>2</v>
      </c>
    </row>
    <row r="8517" spans="1:1">
      <c r="A8517" s="27">
        <v>7</v>
      </c>
    </row>
    <row r="8518" spans="1:1">
      <c r="A8518" s="27">
        <v>0</v>
      </c>
    </row>
    <row r="8519" spans="1:1">
      <c r="A8519" s="27">
        <v>0</v>
      </c>
    </row>
    <row r="8520" spans="1:1">
      <c r="A8520" s="27">
        <v>9</v>
      </c>
    </row>
    <row r="8521" spans="1:1">
      <c r="A8521" s="27">
        <v>2</v>
      </c>
    </row>
    <row r="8522" spans="1:1">
      <c r="A8522" s="27">
        <v>369</v>
      </c>
    </row>
    <row r="8523" spans="1:1">
      <c r="A8523" s="27">
        <v>10.6</v>
      </c>
    </row>
    <row r="8524" spans="1:1">
      <c r="A8524" s="29">
        <v>0.57152777777777775</v>
      </c>
    </row>
    <row r="8525" spans="1:1">
      <c r="A8525" s="27">
        <v>18.7</v>
      </c>
    </row>
    <row r="8526" spans="1:1">
      <c r="A8526" s="28">
        <v>24</v>
      </c>
    </row>
    <row r="8527" spans="1:1">
      <c r="A8527" s="25">
        <v>407</v>
      </c>
    </row>
    <row r="8528" spans="1:1" ht="30">
      <c r="A8528" s="26" t="s">
        <v>156</v>
      </c>
    </row>
    <row r="8529" spans="1:1">
      <c r="A8529" s="27" t="s">
        <v>653</v>
      </c>
    </row>
    <row r="8530" spans="1:1">
      <c r="A8530" s="27">
        <v>177</v>
      </c>
    </row>
    <row r="8531" spans="1:1">
      <c r="A8531" s="27">
        <v>37</v>
      </c>
    </row>
    <row r="8532" spans="1:1">
      <c r="A8532" s="27">
        <v>46</v>
      </c>
    </row>
    <row r="8533" spans="1:1">
      <c r="A8533" s="27">
        <v>83</v>
      </c>
    </row>
    <row r="8534" spans="1:1">
      <c r="A8534" s="27">
        <v>-37</v>
      </c>
    </row>
    <row r="8535" spans="1:1">
      <c r="A8535" s="27">
        <v>68</v>
      </c>
    </row>
    <row r="8536" spans="1:1">
      <c r="A8536" s="27">
        <v>0.47</v>
      </c>
    </row>
    <row r="8537" spans="1:1">
      <c r="A8537" s="27">
        <v>9</v>
      </c>
    </row>
    <row r="8538" spans="1:1">
      <c r="A8538" s="27">
        <v>20</v>
      </c>
    </row>
    <row r="8539" spans="1:1">
      <c r="A8539" s="27">
        <v>0</v>
      </c>
    </row>
    <row r="8540" spans="1:1">
      <c r="A8540" s="27">
        <v>0</v>
      </c>
    </row>
    <row r="8541" spans="1:1">
      <c r="A8541" s="27">
        <v>5</v>
      </c>
    </row>
    <row r="8542" spans="1:1">
      <c r="A8542" s="27">
        <v>0</v>
      </c>
    </row>
    <row r="8543" spans="1:1">
      <c r="A8543" s="27">
        <v>282</v>
      </c>
    </row>
    <row r="8544" spans="1:1">
      <c r="A8544" s="27">
        <v>13.1</v>
      </c>
    </row>
    <row r="8545" spans="1:1">
      <c r="A8545" s="29">
        <v>0.57986111111111105</v>
      </c>
    </row>
    <row r="8546" spans="1:1">
      <c r="A8546" s="27">
        <v>19.100000000000001</v>
      </c>
    </row>
    <row r="8547" spans="1:1">
      <c r="A8547" s="28">
        <v>42.3</v>
      </c>
    </row>
    <row r="8548" spans="1:1">
      <c r="A8548" s="25">
        <v>408</v>
      </c>
    </row>
    <row r="8549" spans="1:1" ht="30">
      <c r="A8549" s="26" t="s">
        <v>286</v>
      </c>
    </row>
    <row r="8550" spans="1:1">
      <c r="A8550" s="27" t="s">
        <v>42</v>
      </c>
    </row>
    <row r="8551" spans="1:1">
      <c r="A8551" s="27">
        <v>184</v>
      </c>
    </row>
    <row r="8552" spans="1:1">
      <c r="A8552" s="27">
        <v>12</v>
      </c>
    </row>
    <row r="8553" spans="1:1">
      <c r="A8553" s="27">
        <v>71</v>
      </c>
    </row>
    <row r="8554" spans="1:1">
      <c r="A8554" s="27">
        <v>83</v>
      </c>
    </row>
    <row r="8555" spans="1:1">
      <c r="A8555" s="27">
        <v>-22</v>
      </c>
    </row>
    <row r="8556" spans="1:1">
      <c r="A8556" s="27">
        <v>30</v>
      </c>
    </row>
    <row r="8557" spans="1:1">
      <c r="A8557" s="27">
        <v>0.45</v>
      </c>
    </row>
    <row r="8558" spans="1:1">
      <c r="A8558" s="27">
        <v>4</v>
      </c>
    </row>
    <row r="8559" spans="1:1">
      <c r="A8559" s="27">
        <v>37</v>
      </c>
    </row>
    <row r="8560" spans="1:1">
      <c r="A8560" s="27">
        <v>0</v>
      </c>
    </row>
    <row r="8561" spans="1:1">
      <c r="A8561" s="27">
        <v>0</v>
      </c>
    </row>
    <row r="8562" spans="1:1">
      <c r="A8562" s="27">
        <v>3</v>
      </c>
    </row>
    <row r="8563" spans="1:1">
      <c r="A8563" s="27">
        <v>0</v>
      </c>
    </row>
    <row r="8564" spans="1:1">
      <c r="A8564" s="27">
        <v>230</v>
      </c>
    </row>
    <row r="8565" spans="1:1">
      <c r="A8565" s="27">
        <v>5.2</v>
      </c>
    </row>
    <row r="8566" spans="1:1">
      <c r="A8566" s="29">
        <v>0.74305555555555547</v>
      </c>
    </row>
    <row r="8567" spans="1:1">
      <c r="A8567" s="27">
        <v>22.1</v>
      </c>
    </row>
    <row r="8568" spans="1:1">
      <c r="A8568" s="28">
        <v>0</v>
      </c>
    </row>
    <row r="8569" spans="1:1">
      <c r="A8569" s="25">
        <v>409</v>
      </c>
    </row>
    <row r="8570" spans="1:1" ht="30">
      <c r="A8570" s="26" t="s">
        <v>242</v>
      </c>
    </row>
    <row r="8571" spans="1:1">
      <c r="A8571" s="27" t="s">
        <v>44</v>
      </c>
    </row>
    <row r="8572" spans="1:1">
      <c r="A8572" s="27">
        <v>268</v>
      </c>
    </row>
    <row r="8573" spans="1:1">
      <c r="A8573" s="27">
        <v>38</v>
      </c>
    </row>
    <row r="8574" spans="1:1">
      <c r="A8574" s="27">
        <v>44</v>
      </c>
    </row>
    <row r="8575" spans="1:1">
      <c r="A8575" s="27">
        <v>82</v>
      </c>
    </row>
    <row r="8576" spans="1:1">
      <c r="A8576" s="27">
        <v>-30</v>
      </c>
    </row>
    <row r="8577" spans="1:1">
      <c r="A8577" s="27">
        <v>71</v>
      </c>
    </row>
    <row r="8578" spans="1:1">
      <c r="A8578" s="27">
        <v>0.31</v>
      </c>
    </row>
    <row r="8579" spans="1:1">
      <c r="A8579" s="27">
        <v>2</v>
      </c>
    </row>
    <row r="8580" spans="1:1">
      <c r="A8580" s="27">
        <v>3</v>
      </c>
    </row>
    <row r="8581" spans="1:1">
      <c r="A8581" s="27">
        <v>3</v>
      </c>
    </row>
    <row r="8582" spans="1:1">
      <c r="A8582" s="27">
        <v>4</v>
      </c>
    </row>
    <row r="8583" spans="1:1">
      <c r="A8583" s="27">
        <v>2</v>
      </c>
    </row>
    <row r="8584" spans="1:1">
      <c r="A8584" s="27">
        <v>0</v>
      </c>
    </row>
    <row r="8585" spans="1:1">
      <c r="A8585" s="27">
        <v>425</v>
      </c>
    </row>
    <row r="8586" spans="1:1">
      <c r="A8586" s="27">
        <v>8.9</v>
      </c>
    </row>
    <row r="8587" spans="1:1">
      <c r="A8587" s="29">
        <v>0.56388888888888888</v>
      </c>
    </row>
    <row r="8588" spans="1:1">
      <c r="A8588" s="27">
        <v>19.600000000000001</v>
      </c>
    </row>
    <row r="8589" spans="1:1">
      <c r="A8589" s="28">
        <v>40.6</v>
      </c>
    </row>
    <row r="8590" spans="1:1">
      <c r="A8590" s="25">
        <v>410</v>
      </c>
    </row>
    <row r="8591" spans="1:1" ht="30">
      <c r="A8591" s="26" t="s">
        <v>414</v>
      </c>
    </row>
    <row r="8592" spans="1:1">
      <c r="A8592" s="27" t="s">
        <v>42</v>
      </c>
    </row>
    <row r="8593" spans="1:1">
      <c r="A8593" s="27">
        <v>341</v>
      </c>
    </row>
    <row r="8594" spans="1:1">
      <c r="A8594" s="27">
        <v>11</v>
      </c>
    </row>
    <row r="8595" spans="1:1">
      <c r="A8595" s="27">
        <v>71</v>
      </c>
    </row>
    <row r="8596" spans="1:1">
      <c r="A8596" s="27">
        <v>82</v>
      </c>
    </row>
    <row r="8597" spans="1:1">
      <c r="A8597" s="27">
        <v>7</v>
      </c>
    </row>
    <row r="8598" spans="1:1">
      <c r="A8598" s="27">
        <v>233</v>
      </c>
    </row>
    <row r="8599" spans="1:1">
      <c r="A8599" s="27">
        <v>0.24</v>
      </c>
    </row>
    <row r="8600" spans="1:1">
      <c r="A8600" s="27">
        <v>3</v>
      </c>
    </row>
    <row r="8601" spans="1:1">
      <c r="A8601" s="27">
        <v>19</v>
      </c>
    </row>
    <row r="8602" spans="1:1">
      <c r="A8602" s="27">
        <v>0</v>
      </c>
    </row>
    <row r="8603" spans="1:1">
      <c r="A8603" s="27">
        <v>0</v>
      </c>
    </row>
    <row r="8604" spans="1:1">
      <c r="A8604" s="27">
        <v>1</v>
      </c>
    </row>
    <row r="8605" spans="1:1">
      <c r="A8605" s="27">
        <v>0</v>
      </c>
    </row>
    <row r="8606" spans="1:1">
      <c r="A8606" s="27">
        <v>408</v>
      </c>
    </row>
    <row r="8607" spans="1:1">
      <c r="A8607" s="27">
        <v>2.7</v>
      </c>
    </row>
    <row r="8608" spans="1:1">
      <c r="A8608" s="29">
        <v>0.69791666666666663</v>
      </c>
    </row>
    <row r="8609" spans="1:1">
      <c r="A8609" s="27">
        <v>21</v>
      </c>
    </row>
    <row r="8610" spans="1:1">
      <c r="A8610" s="28">
        <v>0</v>
      </c>
    </row>
    <row r="8611" spans="1:1">
      <c r="A8611" s="25">
        <v>411</v>
      </c>
    </row>
    <row r="8612" spans="1:1" ht="45">
      <c r="A8612" s="26" t="s">
        <v>667</v>
      </c>
    </row>
    <row r="8613" spans="1:1">
      <c r="A8613" s="27" t="s">
        <v>42</v>
      </c>
    </row>
    <row r="8614" spans="1:1">
      <c r="A8614" s="27">
        <v>342</v>
      </c>
    </row>
    <row r="8615" spans="1:1">
      <c r="A8615" s="27">
        <v>11</v>
      </c>
    </row>
    <row r="8616" spans="1:1">
      <c r="A8616" s="27">
        <v>70</v>
      </c>
    </row>
    <row r="8617" spans="1:1">
      <c r="A8617" s="27">
        <v>81</v>
      </c>
    </row>
    <row r="8618" spans="1:1">
      <c r="A8618" s="27">
        <v>55</v>
      </c>
    </row>
    <row r="8619" spans="1:1">
      <c r="A8619" s="27">
        <v>92</v>
      </c>
    </row>
    <row r="8620" spans="1:1">
      <c r="A8620" s="27">
        <v>0.24</v>
      </c>
    </row>
    <row r="8621" spans="1:1">
      <c r="A8621" s="27">
        <v>0</v>
      </c>
    </row>
    <row r="8622" spans="1:1">
      <c r="A8622" s="27">
        <v>5</v>
      </c>
    </row>
    <row r="8623" spans="1:1">
      <c r="A8623" s="27">
        <v>1</v>
      </c>
    </row>
    <row r="8624" spans="1:1">
      <c r="A8624" s="27">
        <v>5</v>
      </c>
    </row>
    <row r="8625" spans="1:1">
      <c r="A8625" s="27">
        <v>1</v>
      </c>
    </row>
    <row r="8626" spans="1:1">
      <c r="A8626" s="27">
        <v>0</v>
      </c>
    </row>
    <row r="8627" spans="1:1">
      <c r="A8627" s="27">
        <v>420</v>
      </c>
    </row>
    <row r="8628" spans="1:1">
      <c r="A8628" s="27">
        <v>2.6</v>
      </c>
    </row>
    <row r="8629" spans="1:1">
      <c r="A8629" s="29">
        <v>0.84097222222222223</v>
      </c>
    </row>
    <row r="8630" spans="1:1">
      <c r="A8630" s="27">
        <v>27.4</v>
      </c>
    </row>
    <row r="8631" spans="1:1">
      <c r="A8631" s="28">
        <v>100</v>
      </c>
    </row>
    <row r="8632" spans="1:1">
      <c r="A8632" s="25">
        <v>412</v>
      </c>
    </row>
    <row r="8633" spans="1:1" ht="30">
      <c r="A8633" s="26" t="s">
        <v>296</v>
      </c>
    </row>
    <row r="8634" spans="1:1">
      <c r="A8634" s="27" t="s">
        <v>44</v>
      </c>
    </row>
    <row r="8635" spans="1:1">
      <c r="A8635" s="27">
        <v>227</v>
      </c>
    </row>
    <row r="8636" spans="1:1">
      <c r="A8636" s="27">
        <v>40</v>
      </c>
    </row>
    <row r="8637" spans="1:1">
      <c r="A8637" s="27">
        <v>40</v>
      </c>
    </row>
    <row r="8638" spans="1:1">
      <c r="A8638" s="27">
        <v>80</v>
      </c>
    </row>
    <row r="8639" spans="1:1">
      <c r="A8639" s="27">
        <v>-47</v>
      </c>
    </row>
    <row r="8640" spans="1:1">
      <c r="A8640" s="27">
        <v>281</v>
      </c>
    </row>
    <row r="8641" spans="1:1">
      <c r="A8641" s="27">
        <v>0.35</v>
      </c>
    </row>
    <row r="8642" spans="1:1">
      <c r="A8642" s="27">
        <v>6</v>
      </c>
    </row>
    <row r="8643" spans="1:1">
      <c r="A8643" s="27">
        <v>10</v>
      </c>
    </row>
    <row r="8644" spans="1:1">
      <c r="A8644" s="27">
        <v>0</v>
      </c>
    </row>
    <row r="8645" spans="1:1">
      <c r="A8645" s="27">
        <v>0</v>
      </c>
    </row>
    <row r="8646" spans="1:1">
      <c r="A8646" s="27">
        <v>4</v>
      </c>
    </row>
    <row r="8647" spans="1:1">
      <c r="A8647" s="27">
        <v>0</v>
      </c>
    </row>
    <row r="8648" spans="1:1">
      <c r="A8648" s="27">
        <v>485</v>
      </c>
    </row>
    <row r="8649" spans="1:1">
      <c r="A8649" s="27">
        <v>8.1999999999999993</v>
      </c>
    </row>
    <row r="8650" spans="1:1">
      <c r="A8650" s="29">
        <v>0.53611111111111109</v>
      </c>
    </row>
    <row r="8651" spans="1:1">
      <c r="A8651" s="27">
        <v>17.100000000000001</v>
      </c>
    </row>
    <row r="8652" spans="1:1">
      <c r="A8652" s="28">
        <v>42.9</v>
      </c>
    </row>
    <row r="8653" spans="1:1">
      <c r="A8653" s="25">
        <v>413</v>
      </c>
    </row>
    <row r="8654" spans="1:1" ht="30">
      <c r="A8654" s="26" t="s">
        <v>583</v>
      </c>
    </row>
    <row r="8655" spans="1:1">
      <c r="A8655" s="27" t="s">
        <v>653</v>
      </c>
    </row>
    <row r="8656" spans="1:1">
      <c r="A8656" s="27">
        <v>215</v>
      </c>
    </row>
    <row r="8657" spans="1:1">
      <c r="A8657" s="27">
        <v>33</v>
      </c>
    </row>
    <row r="8658" spans="1:1">
      <c r="A8658" s="27">
        <v>47</v>
      </c>
    </row>
    <row r="8659" spans="1:1">
      <c r="A8659" s="27">
        <v>80</v>
      </c>
    </row>
    <row r="8660" spans="1:1">
      <c r="A8660" s="27">
        <v>-6</v>
      </c>
    </row>
    <row r="8661" spans="1:1">
      <c r="A8661" s="27">
        <v>117</v>
      </c>
    </row>
    <row r="8662" spans="1:1">
      <c r="A8662" s="27">
        <v>0.37</v>
      </c>
    </row>
    <row r="8663" spans="1:1">
      <c r="A8663" s="27">
        <v>2</v>
      </c>
    </row>
    <row r="8664" spans="1:1">
      <c r="A8664" s="27">
        <v>13</v>
      </c>
    </row>
    <row r="8665" spans="1:1">
      <c r="A8665" s="27">
        <v>0</v>
      </c>
    </row>
    <row r="8666" spans="1:1">
      <c r="A8666" s="27">
        <v>2</v>
      </c>
    </row>
    <row r="8667" spans="1:1">
      <c r="A8667" s="27">
        <v>6</v>
      </c>
    </row>
    <row r="8668" spans="1:1">
      <c r="A8668" s="27">
        <v>0</v>
      </c>
    </row>
    <row r="8669" spans="1:1">
      <c r="A8669" s="27">
        <v>326</v>
      </c>
    </row>
    <row r="8670" spans="1:1">
      <c r="A8670" s="27">
        <v>10.1</v>
      </c>
    </row>
    <row r="8671" spans="1:1">
      <c r="A8671" s="29">
        <v>0.57847222222222217</v>
      </c>
    </row>
    <row r="8672" spans="1:1">
      <c r="A8672" s="27">
        <v>20</v>
      </c>
    </row>
    <row r="8673" spans="1:1">
      <c r="A8673" s="28">
        <v>41.1</v>
      </c>
    </row>
    <row r="8674" spans="1:1">
      <c r="A8674" s="25">
        <v>414</v>
      </c>
    </row>
    <row r="8675" spans="1:1" ht="30">
      <c r="A8675" s="26" t="s">
        <v>826</v>
      </c>
    </row>
    <row r="8676" spans="1:1">
      <c r="A8676" s="27" t="s">
        <v>653</v>
      </c>
    </row>
    <row r="8677" spans="1:1">
      <c r="A8677" s="27">
        <v>281</v>
      </c>
    </row>
    <row r="8678" spans="1:1">
      <c r="A8678" s="27">
        <v>33</v>
      </c>
    </row>
    <row r="8679" spans="1:1">
      <c r="A8679" s="27">
        <v>47</v>
      </c>
    </row>
    <row r="8680" spans="1:1">
      <c r="A8680" s="27">
        <v>80</v>
      </c>
    </row>
    <row r="8681" spans="1:1">
      <c r="A8681" s="27">
        <v>-12</v>
      </c>
    </row>
    <row r="8682" spans="1:1">
      <c r="A8682" s="27">
        <v>107</v>
      </c>
    </row>
    <row r="8683" spans="1:1">
      <c r="A8683" s="27">
        <v>0.28000000000000003</v>
      </c>
    </row>
    <row r="8684" spans="1:1">
      <c r="A8684" s="27">
        <v>3</v>
      </c>
    </row>
    <row r="8685" spans="1:1">
      <c r="A8685" s="27">
        <v>9</v>
      </c>
    </row>
    <row r="8686" spans="1:1">
      <c r="A8686" s="27">
        <v>0</v>
      </c>
    </row>
    <row r="8687" spans="1:1">
      <c r="A8687" s="27">
        <v>0</v>
      </c>
    </row>
    <row r="8688" spans="1:1">
      <c r="A8688" s="27">
        <v>4</v>
      </c>
    </row>
    <row r="8689" spans="1:1">
      <c r="A8689" s="27">
        <v>1</v>
      </c>
    </row>
    <row r="8690" spans="1:1">
      <c r="A8690" s="27">
        <v>449</v>
      </c>
    </row>
    <row r="8691" spans="1:1">
      <c r="A8691" s="27">
        <v>7.3</v>
      </c>
    </row>
    <row r="8692" spans="1:1">
      <c r="A8692" s="29">
        <v>0.52013888888888882</v>
      </c>
    </row>
    <row r="8693" spans="1:1">
      <c r="A8693" s="27">
        <v>17.5</v>
      </c>
    </row>
    <row r="8694" spans="1:1">
      <c r="A8694" s="28">
        <v>43.8</v>
      </c>
    </row>
    <row r="8695" spans="1:1">
      <c r="A8695" s="25">
        <v>415</v>
      </c>
    </row>
    <row r="8696" spans="1:1" ht="45">
      <c r="A8696" s="26" t="s">
        <v>335</v>
      </c>
    </row>
    <row r="8697" spans="1:1">
      <c r="A8697" s="27" t="s">
        <v>43</v>
      </c>
    </row>
    <row r="8698" spans="1:1">
      <c r="A8698" s="27">
        <v>246</v>
      </c>
    </row>
    <row r="8699" spans="1:1">
      <c r="A8699" s="27">
        <v>26</v>
      </c>
    </row>
    <row r="8700" spans="1:1">
      <c r="A8700" s="27">
        <v>54</v>
      </c>
    </row>
    <row r="8701" spans="1:1">
      <c r="A8701" s="27">
        <v>80</v>
      </c>
    </row>
    <row r="8702" spans="1:1">
      <c r="A8702" s="27">
        <v>19</v>
      </c>
    </row>
    <row r="8703" spans="1:1">
      <c r="A8703" s="27">
        <v>27</v>
      </c>
    </row>
    <row r="8704" spans="1:1">
      <c r="A8704" s="27">
        <v>0.33</v>
      </c>
    </row>
    <row r="8705" spans="1:1">
      <c r="A8705" s="27">
        <v>3</v>
      </c>
    </row>
    <row r="8706" spans="1:1">
      <c r="A8706" s="27">
        <v>5</v>
      </c>
    </row>
    <row r="8707" spans="1:1">
      <c r="A8707" s="27">
        <v>1</v>
      </c>
    </row>
    <row r="8708" spans="1:1">
      <c r="A8708" s="27">
        <v>1</v>
      </c>
    </row>
    <row r="8709" spans="1:1">
      <c r="A8709" s="27">
        <v>4</v>
      </c>
    </row>
    <row r="8710" spans="1:1">
      <c r="A8710" s="27">
        <v>0</v>
      </c>
    </row>
    <row r="8711" spans="1:1">
      <c r="A8711" s="27">
        <v>383</v>
      </c>
    </row>
    <row r="8712" spans="1:1">
      <c r="A8712" s="27">
        <v>6.8</v>
      </c>
    </row>
    <row r="8713" spans="1:1">
      <c r="A8713" s="29">
        <v>0.57222222222222219</v>
      </c>
    </row>
    <row r="8714" spans="1:1">
      <c r="A8714" s="27">
        <v>18.600000000000001</v>
      </c>
    </row>
    <row r="8715" spans="1:1">
      <c r="A8715" s="28">
        <v>33.299999999999997</v>
      </c>
    </row>
    <row r="8716" spans="1:1">
      <c r="A8716" s="25">
        <v>416</v>
      </c>
    </row>
    <row r="8717" spans="1:1" ht="30">
      <c r="A8717" s="26" t="s">
        <v>1147</v>
      </c>
    </row>
    <row r="8718" spans="1:1">
      <c r="A8718" s="27" t="s">
        <v>42</v>
      </c>
    </row>
    <row r="8719" spans="1:1">
      <c r="A8719" s="27">
        <v>335</v>
      </c>
    </row>
    <row r="8720" spans="1:1">
      <c r="A8720" s="27">
        <v>22</v>
      </c>
    </row>
    <row r="8721" spans="1:1">
      <c r="A8721" s="27">
        <v>58</v>
      </c>
    </row>
    <row r="8722" spans="1:1">
      <c r="A8722" s="27">
        <v>80</v>
      </c>
    </row>
    <row r="8723" spans="1:1">
      <c r="A8723" s="27">
        <v>18</v>
      </c>
    </row>
    <row r="8724" spans="1:1">
      <c r="A8724" s="27">
        <v>142</v>
      </c>
    </row>
    <row r="8725" spans="1:1">
      <c r="A8725" s="27">
        <v>0.24</v>
      </c>
    </row>
    <row r="8726" spans="1:1">
      <c r="A8726" s="27">
        <v>6</v>
      </c>
    </row>
    <row r="8727" spans="1:1">
      <c r="A8727" s="27">
        <v>14</v>
      </c>
    </row>
    <row r="8728" spans="1:1">
      <c r="A8728" s="27">
        <v>0</v>
      </c>
    </row>
    <row r="8729" spans="1:1">
      <c r="A8729" s="27">
        <v>2</v>
      </c>
    </row>
    <row r="8730" spans="1:1">
      <c r="A8730" s="27">
        <v>2</v>
      </c>
    </row>
    <row r="8731" spans="1:1">
      <c r="A8731" s="27">
        <v>0</v>
      </c>
    </row>
    <row r="8732" spans="1:1">
      <c r="A8732" s="27">
        <v>545</v>
      </c>
    </row>
    <row r="8733" spans="1:1">
      <c r="A8733" s="27">
        <v>4</v>
      </c>
    </row>
    <row r="8734" spans="1:1">
      <c r="A8734" s="29">
        <v>0.66249999999999998</v>
      </c>
    </row>
    <row r="8735" spans="1:1">
      <c r="A8735" s="27">
        <v>21.2</v>
      </c>
    </row>
    <row r="8736" spans="1:1">
      <c r="A8736" s="28">
        <v>0</v>
      </c>
    </row>
    <row r="8737" spans="1:1">
      <c r="A8737" s="25">
        <v>417</v>
      </c>
    </row>
    <row r="8738" spans="1:1" ht="30">
      <c r="A8738" s="26" t="s">
        <v>79</v>
      </c>
    </row>
    <row r="8739" spans="1:1">
      <c r="A8739" s="27" t="s">
        <v>42</v>
      </c>
    </row>
    <row r="8740" spans="1:1">
      <c r="A8740" s="27">
        <v>203</v>
      </c>
    </row>
    <row r="8741" spans="1:1">
      <c r="A8741" s="27">
        <v>21</v>
      </c>
    </row>
    <row r="8742" spans="1:1">
      <c r="A8742" s="27">
        <v>59</v>
      </c>
    </row>
    <row r="8743" spans="1:1">
      <c r="A8743" s="27">
        <v>80</v>
      </c>
    </row>
    <row r="8744" spans="1:1">
      <c r="A8744" s="27">
        <v>12</v>
      </c>
    </row>
    <row r="8745" spans="1:1">
      <c r="A8745" s="27">
        <v>120</v>
      </c>
    </row>
    <row r="8746" spans="1:1">
      <c r="A8746" s="27">
        <v>0.39</v>
      </c>
    </row>
    <row r="8747" spans="1:1">
      <c r="A8747" s="27">
        <v>6</v>
      </c>
    </row>
    <row r="8748" spans="1:1">
      <c r="A8748" s="27">
        <v>19</v>
      </c>
    </row>
    <row r="8749" spans="1:1">
      <c r="A8749" s="27">
        <v>1</v>
      </c>
    </row>
    <row r="8750" spans="1:1">
      <c r="A8750" s="27">
        <v>2</v>
      </c>
    </row>
    <row r="8751" spans="1:1">
      <c r="A8751" s="27">
        <v>7</v>
      </c>
    </row>
    <row r="8752" spans="1:1">
      <c r="A8752" s="27">
        <v>0</v>
      </c>
    </row>
    <row r="8753" spans="1:1">
      <c r="A8753" s="27">
        <v>423</v>
      </c>
    </row>
    <row r="8754" spans="1:1">
      <c r="A8754" s="27">
        <v>5</v>
      </c>
    </row>
    <row r="8755" spans="1:1">
      <c r="A8755" s="29">
        <v>0.8618055555555556</v>
      </c>
    </row>
    <row r="8756" spans="1:1">
      <c r="A8756" s="27">
        <v>24.2</v>
      </c>
    </row>
    <row r="8757" spans="1:1">
      <c r="A8757" s="28">
        <v>0</v>
      </c>
    </row>
    <row r="8758" spans="1:1">
      <c r="A8758" s="25">
        <v>418</v>
      </c>
    </row>
    <row r="8759" spans="1:1" ht="30">
      <c r="A8759" s="26" t="s">
        <v>287</v>
      </c>
    </row>
    <row r="8760" spans="1:1">
      <c r="A8760" s="27" t="s">
        <v>653</v>
      </c>
    </row>
    <row r="8761" spans="1:1">
      <c r="A8761" s="27">
        <v>207</v>
      </c>
    </row>
    <row r="8762" spans="1:1">
      <c r="A8762" s="27">
        <v>45</v>
      </c>
    </row>
    <row r="8763" spans="1:1">
      <c r="A8763" s="27">
        <v>33</v>
      </c>
    </row>
    <row r="8764" spans="1:1">
      <c r="A8764" s="27">
        <v>78</v>
      </c>
    </row>
    <row r="8765" spans="1:1">
      <c r="A8765" s="27">
        <v>-16</v>
      </c>
    </row>
    <row r="8766" spans="1:1">
      <c r="A8766" s="27">
        <v>166</v>
      </c>
    </row>
    <row r="8767" spans="1:1">
      <c r="A8767" s="27">
        <v>0.38</v>
      </c>
    </row>
    <row r="8768" spans="1:1">
      <c r="A8768" s="27">
        <v>3</v>
      </c>
    </row>
    <row r="8769" spans="1:1">
      <c r="A8769" s="27">
        <v>3</v>
      </c>
    </row>
    <row r="8770" spans="1:1">
      <c r="A8770" s="27">
        <v>6</v>
      </c>
    </row>
    <row r="8771" spans="1:1">
      <c r="A8771" s="27">
        <v>8</v>
      </c>
    </row>
    <row r="8772" spans="1:1">
      <c r="A8772" s="27">
        <v>6</v>
      </c>
    </row>
    <row r="8773" spans="1:1">
      <c r="A8773" s="27">
        <v>0</v>
      </c>
    </row>
    <row r="8774" spans="1:1">
      <c r="A8774" s="27">
        <v>443</v>
      </c>
    </row>
    <row r="8775" spans="1:1">
      <c r="A8775" s="27">
        <v>10.199999999999999</v>
      </c>
    </row>
    <row r="8776" spans="1:1">
      <c r="A8776" s="29">
        <v>0.63958333333333328</v>
      </c>
    </row>
    <row r="8777" spans="1:1">
      <c r="A8777" s="27">
        <v>19.8</v>
      </c>
    </row>
    <row r="8778" spans="1:1">
      <c r="A8778" s="28">
        <v>43.4</v>
      </c>
    </row>
    <row r="8779" spans="1:1">
      <c r="A8779" s="25">
        <v>419</v>
      </c>
    </row>
    <row r="8780" spans="1:1" ht="30">
      <c r="A8780" s="26" t="s">
        <v>1170</v>
      </c>
    </row>
    <row r="8781" spans="1:1">
      <c r="A8781" s="27" t="s">
        <v>42</v>
      </c>
    </row>
    <row r="8782" spans="1:1">
      <c r="A8782" s="27">
        <v>401</v>
      </c>
    </row>
    <row r="8783" spans="1:1">
      <c r="A8783" s="27">
        <v>22</v>
      </c>
    </row>
    <row r="8784" spans="1:1">
      <c r="A8784" s="27">
        <v>56</v>
      </c>
    </row>
    <row r="8785" spans="1:1">
      <c r="A8785" s="27">
        <v>78</v>
      </c>
    </row>
    <row r="8786" spans="1:1">
      <c r="A8786" s="27">
        <v>-24</v>
      </c>
    </row>
    <row r="8787" spans="1:1">
      <c r="A8787" s="27">
        <v>221</v>
      </c>
    </row>
    <row r="8788" spans="1:1">
      <c r="A8788" s="27">
        <v>0.19</v>
      </c>
    </row>
    <row r="8789" spans="1:1">
      <c r="A8789" s="27">
        <v>1</v>
      </c>
    </row>
    <row r="8790" spans="1:1">
      <c r="A8790" s="27">
        <v>3</v>
      </c>
    </row>
    <row r="8791" spans="1:1">
      <c r="A8791" s="27">
        <v>1</v>
      </c>
    </row>
    <row r="8792" spans="1:1">
      <c r="A8792" s="27">
        <v>1</v>
      </c>
    </row>
    <row r="8793" spans="1:1">
      <c r="A8793" s="27">
        <v>4</v>
      </c>
    </row>
    <row r="8794" spans="1:1">
      <c r="A8794" s="27">
        <v>1</v>
      </c>
    </row>
    <row r="8795" spans="1:1">
      <c r="A8795" s="27">
        <v>501</v>
      </c>
    </row>
    <row r="8796" spans="1:1">
      <c r="A8796" s="27">
        <v>4.4000000000000004</v>
      </c>
    </row>
    <row r="8797" spans="1:1">
      <c r="A8797" s="29">
        <v>0.76874999999999993</v>
      </c>
    </row>
    <row r="8798" spans="1:1">
      <c r="A8798" s="27">
        <v>25.3</v>
      </c>
    </row>
    <row r="8799" spans="1:1">
      <c r="A8799" s="28">
        <v>0</v>
      </c>
    </row>
    <row r="8800" spans="1:1">
      <c r="A8800" s="25">
        <v>420</v>
      </c>
    </row>
    <row r="8801" spans="1:1" ht="45">
      <c r="A8801" s="26" t="s">
        <v>1155</v>
      </c>
    </row>
    <row r="8802" spans="1:1">
      <c r="A8802" s="27" t="s">
        <v>42</v>
      </c>
    </row>
    <row r="8803" spans="1:1">
      <c r="A8803" s="27">
        <v>311</v>
      </c>
    </row>
    <row r="8804" spans="1:1">
      <c r="A8804" s="27">
        <v>27</v>
      </c>
    </row>
    <row r="8805" spans="1:1">
      <c r="A8805" s="27">
        <v>49</v>
      </c>
    </row>
    <row r="8806" spans="1:1">
      <c r="A8806" s="27">
        <v>76</v>
      </c>
    </row>
    <row r="8807" spans="1:1">
      <c r="A8807" s="27">
        <v>6</v>
      </c>
    </row>
    <row r="8808" spans="1:1">
      <c r="A8808" s="27">
        <v>177</v>
      </c>
    </row>
    <row r="8809" spans="1:1">
      <c r="A8809" s="27">
        <v>0.24</v>
      </c>
    </row>
    <row r="8810" spans="1:1">
      <c r="A8810" s="27">
        <v>0</v>
      </c>
    </row>
    <row r="8811" spans="1:1">
      <c r="A8811" s="27">
        <v>8</v>
      </c>
    </row>
    <row r="8812" spans="1:1">
      <c r="A8812" s="27">
        <v>0</v>
      </c>
    </row>
    <row r="8813" spans="1:1">
      <c r="A8813" s="27">
        <v>2</v>
      </c>
    </row>
    <row r="8814" spans="1:1">
      <c r="A8814" s="27">
        <v>7</v>
      </c>
    </row>
    <row r="8815" spans="1:1">
      <c r="A8815" s="27">
        <v>1</v>
      </c>
    </row>
    <row r="8816" spans="1:1">
      <c r="A8816" s="27">
        <v>461</v>
      </c>
    </row>
    <row r="8817" spans="1:1">
      <c r="A8817" s="27">
        <v>5.9</v>
      </c>
    </row>
    <row r="8818" spans="1:1">
      <c r="A8818" s="29">
        <v>0.67013888888888884</v>
      </c>
    </row>
    <row r="8819" spans="1:1">
      <c r="A8819" s="27">
        <v>21.3</v>
      </c>
    </row>
    <row r="8820" spans="1:1">
      <c r="A8820" s="28">
        <v>0</v>
      </c>
    </row>
    <row r="8821" spans="1:1">
      <c r="A8821" s="25">
        <v>421</v>
      </c>
    </row>
    <row r="8822" spans="1:1" ht="30">
      <c r="A8822" s="26" t="s">
        <v>285</v>
      </c>
    </row>
    <row r="8823" spans="1:1">
      <c r="A8823" s="27" t="s">
        <v>44</v>
      </c>
    </row>
    <row r="8824" spans="1:1">
      <c r="A8824" s="27">
        <v>147</v>
      </c>
    </row>
    <row r="8825" spans="1:1">
      <c r="A8825" s="27">
        <v>26</v>
      </c>
    </row>
    <row r="8826" spans="1:1">
      <c r="A8826" s="27">
        <v>50</v>
      </c>
    </row>
    <row r="8827" spans="1:1">
      <c r="A8827" s="27">
        <v>76</v>
      </c>
    </row>
    <row r="8828" spans="1:1">
      <c r="A8828" s="27">
        <v>-31</v>
      </c>
    </row>
    <row r="8829" spans="1:1">
      <c r="A8829" s="27">
        <v>26</v>
      </c>
    </row>
    <row r="8830" spans="1:1">
      <c r="A8830" s="27">
        <v>0.52</v>
      </c>
    </row>
    <row r="8831" spans="1:1">
      <c r="A8831" s="27">
        <v>5</v>
      </c>
    </row>
    <row r="8832" spans="1:1">
      <c r="A8832" s="27">
        <v>20</v>
      </c>
    </row>
    <row r="8833" spans="1:1">
      <c r="A8833" s="27">
        <v>1</v>
      </c>
    </row>
    <row r="8834" spans="1:1">
      <c r="A8834" s="27">
        <v>2</v>
      </c>
    </row>
    <row r="8835" spans="1:1">
      <c r="A8835" s="27">
        <v>4</v>
      </c>
    </row>
    <row r="8836" spans="1:1">
      <c r="A8836" s="27">
        <v>0</v>
      </c>
    </row>
    <row r="8837" spans="1:1">
      <c r="A8837" s="27">
        <v>218</v>
      </c>
    </row>
    <row r="8838" spans="1:1">
      <c r="A8838" s="27">
        <v>11.9</v>
      </c>
    </row>
    <row r="8839" spans="1:1">
      <c r="A8839" s="29">
        <v>0.62083333333333335</v>
      </c>
    </row>
    <row r="8840" spans="1:1">
      <c r="A8840" s="27">
        <v>19.5</v>
      </c>
    </row>
    <row r="8841" spans="1:1">
      <c r="A8841" s="28">
        <v>50</v>
      </c>
    </row>
    <row r="8842" spans="1:1">
      <c r="A8842" s="25">
        <v>422</v>
      </c>
    </row>
    <row r="8843" spans="1:1" ht="30">
      <c r="A8843" s="26" t="s">
        <v>757</v>
      </c>
    </row>
    <row r="8844" spans="1:1">
      <c r="A8844" s="27" t="s">
        <v>653</v>
      </c>
    </row>
    <row r="8845" spans="1:1">
      <c r="A8845" s="27">
        <v>333</v>
      </c>
    </row>
    <row r="8846" spans="1:1">
      <c r="A8846" s="27">
        <v>43</v>
      </c>
    </row>
    <row r="8847" spans="1:1">
      <c r="A8847" s="27">
        <v>32</v>
      </c>
    </row>
    <row r="8848" spans="1:1">
      <c r="A8848" s="27">
        <v>75</v>
      </c>
    </row>
    <row r="8849" spans="1:1">
      <c r="A8849" s="27">
        <v>-2</v>
      </c>
    </row>
    <row r="8850" spans="1:1">
      <c r="A8850" s="27">
        <v>321</v>
      </c>
    </row>
    <row r="8851" spans="1:1">
      <c r="A8851" s="27">
        <v>0.23</v>
      </c>
    </row>
    <row r="8852" spans="1:1">
      <c r="A8852" s="27">
        <v>0</v>
      </c>
    </row>
    <row r="8853" spans="1:1">
      <c r="A8853" s="27">
        <v>1</v>
      </c>
    </row>
    <row r="8854" spans="1:1">
      <c r="A8854" s="27">
        <v>6</v>
      </c>
    </row>
    <row r="8855" spans="1:1">
      <c r="A8855" s="27">
        <v>6</v>
      </c>
    </row>
    <row r="8856" spans="1:1">
      <c r="A8856" s="27">
        <v>7</v>
      </c>
    </row>
    <row r="8857" spans="1:1">
      <c r="A8857" s="27">
        <v>0</v>
      </c>
    </row>
    <row r="8858" spans="1:1">
      <c r="A8858" s="27">
        <v>388</v>
      </c>
    </row>
    <row r="8859" spans="1:1">
      <c r="A8859" s="27">
        <v>11.1</v>
      </c>
    </row>
    <row r="8860" spans="1:1">
      <c r="A8860" s="29">
        <v>0.50763888888888886</v>
      </c>
    </row>
    <row r="8861" spans="1:1">
      <c r="A8861" s="27">
        <v>17.100000000000001</v>
      </c>
    </row>
    <row r="8862" spans="1:1">
      <c r="A8862" s="28">
        <v>49.5</v>
      </c>
    </row>
    <row r="8863" spans="1:1">
      <c r="A8863" s="25">
        <v>423</v>
      </c>
    </row>
    <row r="8864" spans="1:1" ht="45">
      <c r="A8864" s="26" t="s">
        <v>874</v>
      </c>
    </row>
    <row r="8865" spans="1:1">
      <c r="A8865" s="27" t="s">
        <v>653</v>
      </c>
    </row>
    <row r="8866" spans="1:1">
      <c r="A8866" s="27">
        <v>192</v>
      </c>
    </row>
    <row r="8867" spans="1:1">
      <c r="A8867" s="27">
        <v>28</v>
      </c>
    </row>
    <row r="8868" spans="1:1">
      <c r="A8868" s="27">
        <v>47</v>
      </c>
    </row>
    <row r="8869" spans="1:1">
      <c r="A8869" s="27">
        <v>75</v>
      </c>
    </row>
    <row r="8870" spans="1:1">
      <c r="A8870" s="27">
        <v>1</v>
      </c>
    </row>
    <row r="8871" spans="1:1">
      <c r="A8871" s="27">
        <v>116</v>
      </c>
    </row>
    <row r="8872" spans="1:1">
      <c r="A8872" s="27">
        <v>0.39</v>
      </c>
    </row>
    <row r="8873" spans="1:1">
      <c r="A8873" s="27">
        <v>4</v>
      </c>
    </row>
    <row r="8874" spans="1:1">
      <c r="A8874" s="27">
        <v>7</v>
      </c>
    </row>
    <row r="8875" spans="1:1">
      <c r="A8875" s="27">
        <v>0</v>
      </c>
    </row>
    <row r="8876" spans="1:1">
      <c r="A8876" s="27">
        <v>0</v>
      </c>
    </row>
    <row r="8877" spans="1:1">
      <c r="A8877" s="27">
        <v>7</v>
      </c>
    </row>
    <row r="8878" spans="1:1">
      <c r="A8878" s="27">
        <v>2</v>
      </c>
    </row>
    <row r="8879" spans="1:1">
      <c r="A8879" s="27">
        <v>255</v>
      </c>
    </row>
    <row r="8880" spans="1:1">
      <c r="A8880" s="27">
        <v>11</v>
      </c>
    </row>
    <row r="8881" spans="1:1">
      <c r="A8881" s="29">
        <v>0.5229166666666667</v>
      </c>
    </row>
    <row r="8882" spans="1:1">
      <c r="A8882" s="27">
        <v>17.399999999999999</v>
      </c>
    </row>
    <row r="8883" spans="1:1">
      <c r="A8883" s="28">
        <v>38</v>
      </c>
    </row>
    <row r="8884" spans="1:1">
      <c r="A8884" s="25">
        <v>424</v>
      </c>
    </row>
    <row r="8885" spans="1:1" ht="30">
      <c r="A8885" s="26" t="s">
        <v>1127</v>
      </c>
    </row>
    <row r="8886" spans="1:1">
      <c r="A8886" s="27" t="s">
        <v>42</v>
      </c>
    </row>
    <row r="8887" spans="1:1">
      <c r="A8887" s="27">
        <v>305</v>
      </c>
    </row>
    <row r="8888" spans="1:1">
      <c r="A8888" s="27">
        <v>12</v>
      </c>
    </row>
    <row r="8889" spans="1:1">
      <c r="A8889" s="27">
        <v>63</v>
      </c>
    </row>
    <row r="8890" spans="1:1">
      <c r="A8890" s="27">
        <v>75</v>
      </c>
    </row>
    <row r="8891" spans="1:1">
      <c r="A8891" s="27">
        <v>-81</v>
      </c>
    </row>
    <row r="8892" spans="1:1">
      <c r="A8892" s="27">
        <v>117</v>
      </c>
    </row>
    <row r="8893" spans="1:1">
      <c r="A8893" s="27">
        <v>0.25</v>
      </c>
    </row>
    <row r="8894" spans="1:1">
      <c r="A8894" s="27">
        <v>3</v>
      </c>
    </row>
    <row r="8895" spans="1:1">
      <c r="A8895" s="27">
        <v>28</v>
      </c>
    </row>
    <row r="8896" spans="1:1">
      <c r="A8896" s="27">
        <v>0</v>
      </c>
    </row>
    <row r="8897" spans="1:1">
      <c r="A8897" s="27">
        <v>2</v>
      </c>
    </row>
    <row r="8898" spans="1:1">
      <c r="A8898" s="27">
        <v>2</v>
      </c>
    </row>
    <row r="8899" spans="1:1">
      <c r="A8899" s="27">
        <v>1</v>
      </c>
    </row>
    <row r="8900" spans="1:1">
      <c r="A8900" s="27">
        <v>505</v>
      </c>
    </row>
    <row r="8901" spans="1:1">
      <c r="A8901" s="27">
        <v>2.4</v>
      </c>
    </row>
    <row r="8902" spans="1:1">
      <c r="A8902" s="29">
        <v>0.83819444444444446</v>
      </c>
    </row>
    <row r="8903" spans="1:1">
      <c r="A8903" s="27">
        <v>25.4</v>
      </c>
    </row>
    <row r="8904" spans="1:1">
      <c r="A8904" s="28">
        <v>0</v>
      </c>
    </row>
    <row r="8905" spans="1:1">
      <c r="A8905" s="25">
        <v>425</v>
      </c>
    </row>
    <row r="8906" spans="1:1" ht="30">
      <c r="A8906" s="26" t="s">
        <v>326</v>
      </c>
    </row>
    <row r="8907" spans="1:1">
      <c r="A8907" s="27" t="s">
        <v>44</v>
      </c>
    </row>
    <row r="8908" spans="1:1">
      <c r="A8908" s="27">
        <v>180</v>
      </c>
    </row>
    <row r="8909" spans="1:1">
      <c r="A8909" s="27">
        <v>35</v>
      </c>
    </row>
    <row r="8910" spans="1:1">
      <c r="A8910" s="27">
        <v>39</v>
      </c>
    </row>
    <row r="8911" spans="1:1">
      <c r="A8911" s="27">
        <v>74</v>
      </c>
    </row>
    <row r="8912" spans="1:1">
      <c r="A8912" s="27">
        <v>-25</v>
      </c>
    </row>
    <row r="8913" spans="1:1">
      <c r="A8913" s="27">
        <v>63</v>
      </c>
    </row>
    <row r="8914" spans="1:1">
      <c r="A8914" s="27">
        <v>0.41</v>
      </c>
    </row>
    <row r="8915" spans="1:1">
      <c r="A8915" s="27">
        <v>9</v>
      </c>
    </row>
    <row r="8916" spans="1:1">
      <c r="A8916" s="27">
        <v>19</v>
      </c>
    </row>
    <row r="8917" spans="1:1">
      <c r="A8917" s="27">
        <v>5</v>
      </c>
    </row>
    <row r="8918" spans="1:1">
      <c r="A8918" s="27">
        <v>6</v>
      </c>
    </row>
    <row r="8919" spans="1:1">
      <c r="A8919" s="27">
        <v>7</v>
      </c>
    </row>
    <row r="8920" spans="1:1">
      <c r="A8920" s="27">
        <v>2</v>
      </c>
    </row>
    <row r="8921" spans="1:1">
      <c r="A8921" s="27">
        <v>319</v>
      </c>
    </row>
    <row r="8922" spans="1:1">
      <c r="A8922" s="27">
        <v>11</v>
      </c>
    </row>
    <row r="8923" spans="1:1">
      <c r="A8923" s="29">
        <v>0.69097222222222221</v>
      </c>
    </row>
    <row r="8924" spans="1:1">
      <c r="A8924" s="27">
        <v>21.1</v>
      </c>
    </row>
    <row r="8925" spans="1:1">
      <c r="A8925" s="28">
        <v>46.7</v>
      </c>
    </row>
    <row r="8926" spans="1:1">
      <c r="A8926" s="25">
        <v>426</v>
      </c>
    </row>
    <row r="8927" spans="1:1" ht="30">
      <c r="A8927" s="26" t="s">
        <v>1162</v>
      </c>
    </row>
    <row r="8928" spans="1:1">
      <c r="A8928" s="27" t="s">
        <v>42</v>
      </c>
    </row>
    <row r="8929" spans="1:1">
      <c r="A8929" s="27">
        <v>333</v>
      </c>
    </row>
    <row r="8930" spans="1:1">
      <c r="A8930" s="27">
        <v>15</v>
      </c>
    </row>
    <row r="8931" spans="1:1">
      <c r="A8931" s="27">
        <v>59</v>
      </c>
    </row>
    <row r="8932" spans="1:1">
      <c r="A8932" s="27">
        <v>74</v>
      </c>
    </row>
    <row r="8933" spans="1:1">
      <c r="A8933" s="27">
        <v>22</v>
      </c>
    </row>
    <row r="8934" spans="1:1">
      <c r="A8934" s="27">
        <v>204</v>
      </c>
    </row>
    <row r="8935" spans="1:1">
      <c r="A8935" s="27">
        <v>0.22</v>
      </c>
    </row>
    <row r="8936" spans="1:1">
      <c r="A8936" s="27">
        <v>0</v>
      </c>
    </row>
    <row r="8937" spans="1:1">
      <c r="A8937" s="27">
        <v>0</v>
      </c>
    </row>
    <row r="8938" spans="1:1">
      <c r="A8938" s="27">
        <v>0</v>
      </c>
    </row>
    <row r="8939" spans="1:1">
      <c r="A8939" s="27">
        <v>1</v>
      </c>
    </row>
    <row r="8940" spans="1:1">
      <c r="A8940" s="27">
        <v>2</v>
      </c>
    </row>
    <row r="8941" spans="1:1">
      <c r="A8941" s="27">
        <v>0</v>
      </c>
    </row>
    <row r="8942" spans="1:1">
      <c r="A8942" s="27">
        <v>388</v>
      </c>
    </row>
    <row r="8943" spans="1:1">
      <c r="A8943" s="27">
        <v>3.9</v>
      </c>
    </row>
    <row r="8944" spans="1:1">
      <c r="A8944" s="29">
        <v>0.69652777777777775</v>
      </c>
    </row>
    <row r="8945" spans="1:1">
      <c r="A8945" s="27">
        <v>20.2</v>
      </c>
    </row>
    <row r="8946" spans="1:1">
      <c r="A8946" s="28">
        <v>0</v>
      </c>
    </row>
    <row r="8947" spans="1:1">
      <c r="A8947" s="25">
        <v>427</v>
      </c>
    </row>
    <row r="8948" spans="1:1" ht="30">
      <c r="A8948" s="26" t="s">
        <v>163</v>
      </c>
    </row>
    <row r="8949" spans="1:1">
      <c r="A8949" s="27" t="s">
        <v>44</v>
      </c>
    </row>
    <row r="8950" spans="1:1">
      <c r="A8950" s="27">
        <v>216</v>
      </c>
    </row>
    <row r="8951" spans="1:1">
      <c r="A8951" s="27">
        <v>45</v>
      </c>
    </row>
    <row r="8952" spans="1:1">
      <c r="A8952" s="27">
        <v>28</v>
      </c>
    </row>
    <row r="8953" spans="1:1">
      <c r="A8953" s="27">
        <v>73</v>
      </c>
    </row>
    <row r="8954" spans="1:1">
      <c r="A8954" s="27">
        <v>-33</v>
      </c>
    </row>
    <row r="8955" spans="1:1">
      <c r="A8955" s="27">
        <v>82</v>
      </c>
    </row>
    <row r="8956" spans="1:1">
      <c r="A8956" s="27">
        <v>0.34</v>
      </c>
    </row>
    <row r="8957" spans="1:1">
      <c r="A8957" s="27">
        <v>10</v>
      </c>
    </row>
    <row r="8958" spans="1:1">
      <c r="A8958" s="27">
        <v>20</v>
      </c>
    </row>
    <row r="8959" spans="1:1">
      <c r="A8959" s="27">
        <v>0</v>
      </c>
    </row>
    <row r="8960" spans="1:1">
      <c r="A8960" s="27">
        <v>0</v>
      </c>
    </row>
    <row r="8961" spans="1:1">
      <c r="A8961" s="27">
        <v>3</v>
      </c>
    </row>
    <row r="8962" spans="1:1">
      <c r="A8962" s="27">
        <v>0</v>
      </c>
    </row>
    <row r="8963" spans="1:1">
      <c r="A8963" s="27">
        <v>364</v>
      </c>
    </row>
    <row r="8964" spans="1:1">
      <c r="A8964" s="27">
        <v>12.4</v>
      </c>
    </row>
    <row r="8965" spans="1:1">
      <c r="A8965" s="29">
        <v>0.56041666666666667</v>
      </c>
    </row>
    <row r="8966" spans="1:1">
      <c r="A8966" s="27">
        <v>17.899999999999999</v>
      </c>
    </row>
    <row r="8967" spans="1:1">
      <c r="A8967" s="28">
        <v>35</v>
      </c>
    </row>
    <row r="8968" spans="1:1">
      <c r="A8968" s="25">
        <v>428</v>
      </c>
    </row>
    <row r="8969" spans="1:1" ht="60">
      <c r="A8969" s="26" t="s">
        <v>753</v>
      </c>
    </row>
    <row r="8970" spans="1:1">
      <c r="A8970" s="27" t="s">
        <v>653</v>
      </c>
    </row>
    <row r="8971" spans="1:1">
      <c r="A8971" s="27">
        <v>411</v>
      </c>
    </row>
    <row r="8972" spans="1:1">
      <c r="A8972" s="27">
        <v>33</v>
      </c>
    </row>
    <row r="8973" spans="1:1">
      <c r="A8973" s="27">
        <v>40</v>
      </c>
    </row>
    <row r="8974" spans="1:1">
      <c r="A8974" s="27">
        <v>73</v>
      </c>
    </row>
    <row r="8975" spans="1:1">
      <c r="A8975" s="27">
        <v>-1</v>
      </c>
    </row>
    <row r="8976" spans="1:1">
      <c r="A8976" s="27">
        <v>91</v>
      </c>
    </row>
    <row r="8977" spans="1:1">
      <c r="A8977" s="27">
        <v>0.18</v>
      </c>
    </row>
    <row r="8978" spans="1:1">
      <c r="A8978" s="27">
        <v>0</v>
      </c>
    </row>
    <row r="8979" spans="1:1">
      <c r="A8979" s="27">
        <v>0</v>
      </c>
    </row>
    <row r="8980" spans="1:1">
      <c r="A8980" s="27">
        <v>3</v>
      </c>
    </row>
    <row r="8981" spans="1:1">
      <c r="A8981" s="27">
        <v>6</v>
      </c>
    </row>
    <row r="8982" spans="1:1">
      <c r="A8982" s="27">
        <v>3</v>
      </c>
    </row>
    <row r="8983" spans="1:1">
      <c r="A8983" s="27">
        <v>0</v>
      </c>
    </row>
    <row r="8984" spans="1:1">
      <c r="A8984" s="27">
        <v>532</v>
      </c>
    </row>
    <row r="8985" spans="1:1">
      <c r="A8985" s="27">
        <v>6.2</v>
      </c>
    </row>
    <row r="8986" spans="1:1">
      <c r="A8986" s="29">
        <v>0.53541666666666665</v>
      </c>
    </row>
    <row r="8987" spans="1:1">
      <c r="A8987" s="27">
        <v>17.899999999999999</v>
      </c>
    </row>
    <row r="8988" spans="1:1">
      <c r="A8988" s="28">
        <v>49.8</v>
      </c>
    </row>
    <row r="8989" spans="1:1">
      <c r="A8989" s="25">
        <v>429</v>
      </c>
    </row>
    <row r="8990" spans="1:1" ht="45">
      <c r="A8990" s="26" t="s">
        <v>746</v>
      </c>
    </row>
    <row r="8991" spans="1:1">
      <c r="A8991" s="27" t="s">
        <v>42</v>
      </c>
    </row>
    <row r="8992" spans="1:1">
      <c r="A8992" s="27">
        <v>262</v>
      </c>
    </row>
    <row r="8993" spans="1:1">
      <c r="A8993" s="27">
        <v>25</v>
      </c>
    </row>
    <row r="8994" spans="1:1">
      <c r="A8994" s="27">
        <v>48</v>
      </c>
    </row>
    <row r="8995" spans="1:1">
      <c r="A8995" s="27">
        <v>73</v>
      </c>
    </row>
    <row r="8996" spans="1:1">
      <c r="A8996" s="27">
        <v>-40</v>
      </c>
    </row>
    <row r="8997" spans="1:1">
      <c r="A8997" s="27">
        <v>145</v>
      </c>
    </row>
    <row r="8998" spans="1:1">
      <c r="A8998" s="27">
        <v>0.28000000000000003</v>
      </c>
    </row>
    <row r="8999" spans="1:1">
      <c r="A8999" s="27">
        <v>1</v>
      </c>
    </row>
    <row r="9000" spans="1:1">
      <c r="A9000" s="27">
        <v>12</v>
      </c>
    </row>
    <row r="9001" spans="1:1">
      <c r="A9001" s="27">
        <v>0</v>
      </c>
    </row>
    <row r="9002" spans="1:1">
      <c r="A9002" s="27">
        <v>4</v>
      </c>
    </row>
    <row r="9003" spans="1:1">
      <c r="A9003" s="27">
        <v>4</v>
      </c>
    </row>
    <row r="9004" spans="1:1">
      <c r="A9004" s="27">
        <v>2</v>
      </c>
    </row>
    <row r="9005" spans="1:1">
      <c r="A9005" s="27">
        <v>527</v>
      </c>
    </row>
    <row r="9006" spans="1:1">
      <c r="A9006" s="27">
        <v>4.7</v>
      </c>
    </row>
    <row r="9007" spans="1:1">
      <c r="A9007" s="29">
        <v>0.89027777777777783</v>
      </c>
    </row>
    <row r="9008" spans="1:1">
      <c r="A9008" s="27">
        <v>26.1</v>
      </c>
    </row>
    <row r="9009" spans="1:1">
      <c r="A9009" s="28">
        <v>50</v>
      </c>
    </row>
    <row r="9010" spans="1:1">
      <c r="A9010" s="25">
        <v>430</v>
      </c>
    </row>
    <row r="9011" spans="1:1" ht="30">
      <c r="A9011" s="26" t="s">
        <v>508</v>
      </c>
    </row>
    <row r="9012" spans="1:1">
      <c r="A9012" s="27" t="s">
        <v>43</v>
      </c>
    </row>
    <row r="9013" spans="1:1">
      <c r="A9013" s="27">
        <v>239</v>
      </c>
    </row>
    <row r="9014" spans="1:1">
      <c r="A9014" s="27">
        <v>39</v>
      </c>
    </row>
    <row r="9015" spans="1:1">
      <c r="A9015" s="27">
        <v>33</v>
      </c>
    </row>
    <row r="9016" spans="1:1">
      <c r="A9016" s="27">
        <v>72</v>
      </c>
    </row>
    <row r="9017" spans="1:1">
      <c r="A9017" s="27">
        <v>-22</v>
      </c>
    </row>
    <row r="9018" spans="1:1">
      <c r="A9018" s="27">
        <v>147</v>
      </c>
    </row>
    <row r="9019" spans="1:1">
      <c r="A9019" s="27">
        <v>0.3</v>
      </c>
    </row>
    <row r="9020" spans="1:1">
      <c r="A9020" s="27">
        <v>3</v>
      </c>
    </row>
    <row r="9021" spans="1:1">
      <c r="A9021" s="27">
        <v>3</v>
      </c>
    </row>
    <row r="9022" spans="1:1">
      <c r="A9022" s="27">
        <v>0</v>
      </c>
    </row>
    <row r="9023" spans="1:1">
      <c r="A9023" s="27">
        <v>0</v>
      </c>
    </row>
    <row r="9024" spans="1:1">
      <c r="A9024" s="27">
        <v>6</v>
      </c>
    </row>
    <row r="9025" spans="1:1">
      <c r="A9025" s="27">
        <v>0</v>
      </c>
    </row>
    <row r="9026" spans="1:1">
      <c r="A9026" s="27">
        <v>445</v>
      </c>
    </row>
    <row r="9027" spans="1:1">
      <c r="A9027" s="27">
        <v>8.8000000000000007</v>
      </c>
    </row>
    <row r="9028" spans="1:1">
      <c r="A9028" s="29">
        <v>0.52708333333333335</v>
      </c>
    </row>
    <row r="9029" spans="1:1">
      <c r="A9029" s="27">
        <v>19.100000000000001</v>
      </c>
    </row>
    <row r="9030" spans="1:1">
      <c r="A9030" s="28">
        <v>36</v>
      </c>
    </row>
    <row r="9031" spans="1:1">
      <c r="A9031" s="25">
        <v>431</v>
      </c>
    </row>
    <row r="9032" spans="1:1" ht="30">
      <c r="A9032" s="26" t="s">
        <v>352</v>
      </c>
    </row>
    <row r="9033" spans="1:1">
      <c r="A9033" s="27" t="s">
        <v>44</v>
      </c>
    </row>
    <row r="9034" spans="1:1">
      <c r="A9034" s="27">
        <v>280</v>
      </c>
    </row>
    <row r="9035" spans="1:1">
      <c r="A9035" s="27">
        <v>34</v>
      </c>
    </row>
    <row r="9036" spans="1:1">
      <c r="A9036" s="27">
        <v>38</v>
      </c>
    </row>
    <row r="9037" spans="1:1">
      <c r="A9037" s="27">
        <v>72</v>
      </c>
    </row>
    <row r="9038" spans="1:1">
      <c r="A9038" s="27">
        <v>25</v>
      </c>
    </row>
    <row r="9039" spans="1:1">
      <c r="A9039" s="27">
        <v>318</v>
      </c>
    </row>
    <row r="9040" spans="1:1">
      <c r="A9040" s="27">
        <v>0.26</v>
      </c>
    </row>
    <row r="9041" spans="1:1">
      <c r="A9041" s="27">
        <v>1</v>
      </c>
    </row>
    <row r="9042" spans="1:1">
      <c r="A9042" s="27">
        <v>1</v>
      </c>
    </row>
    <row r="9043" spans="1:1">
      <c r="A9043" s="27">
        <v>4</v>
      </c>
    </row>
    <row r="9044" spans="1:1">
      <c r="A9044" s="27">
        <v>8</v>
      </c>
    </row>
    <row r="9045" spans="1:1">
      <c r="A9045" s="27">
        <v>5</v>
      </c>
    </row>
    <row r="9046" spans="1:1">
      <c r="A9046" s="27">
        <v>0</v>
      </c>
    </row>
    <row r="9047" spans="1:1">
      <c r="A9047" s="27">
        <v>337</v>
      </c>
    </row>
    <row r="9048" spans="1:1">
      <c r="A9048" s="27">
        <v>10.1</v>
      </c>
    </row>
    <row r="9049" spans="1:1">
      <c r="A9049" s="29">
        <v>0.50555555555555554</v>
      </c>
    </row>
    <row r="9050" spans="1:1">
      <c r="A9050" s="27">
        <v>17.7</v>
      </c>
    </row>
    <row r="9051" spans="1:1">
      <c r="A9051" s="28">
        <v>47.6</v>
      </c>
    </row>
    <row r="9052" spans="1:1">
      <c r="A9052" s="25">
        <v>432</v>
      </c>
    </row>
    <row r="9053" spans="1:1" ht="30">
      <c r="A9053" s="26" t="s">
        <v>818</v>
      </c>
    </row>
    <row r="9054" spans="1:1">
      <c r="A9054" s="27" t="s">
        <v>44</v>
      </c>
    </row>
    <row r="9055" spans="1:1">
      <c r="A9055" s="27">
        <v>186</v>
      </c>
    </row>
    <row r="9056" spans="1:1">
      <c r="A9056" s="27">
        <v>29</v>
      </c>
    </row>
    <row r="9057" spans="1:1">
      <c r="A9057" s="27">
        <v>43</v>
      </c>
    </row>
    <row r="9058" spans="1:1">
      <c r="A9058" s="27">
        <v>72</v>
      </c>
    </row>
    <row r="9059" spans="1:1">
      <c r="A9059" s="27">
        <v>-11</v>
      </c>
    </row>
    <row r="9060" spans="1:1">
      <c r="A9060" s="27">
        <v>40</v>
      </c>
    </row>
    <row r="9061" spans="1:1">
      <c r="A9061" s="27">
        <v>0.39</v>
      </c>
    </row>
    <row r="9062" spans="1:1">
      <c r="A9062" s="27">
        <v>3</v>
      </c>
    </row>
    <row r="9063" spans="1:1">
      <c r="A9063" s="27">
        <v>11</v>
      </c>
    </row>
    <row r="9064" spans="1:1">
      <c r="A9064" s="27">
        <v>0</v>
      </c>
    </row>
    <row r="9065" spans="1:1">
      <c r="A9065" s="27">
        <v>0</v>
      </c>
    </row>
    <row r="9066" spans="1:1">
      <c r="A9066" s="27">
        <v>5</v>
      </c>
    </row>
    <row r="9067" spans="1:1">
      <c r="A9067" s="27">
        <v>1</v>
      </c>
    </row>
    <row r="9068" spans="1:1">
      <c r="A9068" s="27">
        <v>332</v>
      </c>
    </row>
    <row r="9069" spans="1:1">
      <c r="A9069" s="27">
        <v>8.6999999999999993</v>
      </c>
    </row>
    <row r="9070" spans="1:1">
      <c r="A9070" s="29">
        <v>0.6791666666666667</v>
      </c>
    </row>
    <row r="9071" spans="1:1">
      <c r="A9071" s="27">
        <v>21.3</v>
      </c>
    </row>
    <row r="9072" spans="1:1">
      <c r="A9072" s="28">
        <v>44.6</v>
      </c>
    </row>
    <row r="9073" spans="1:1">
      <c r="A9073" s="25">
        <v>433</v>
      </c>
    </row>
    <row r="9074" spans="1:1" ht="30">
      <c r="A9074" s="26" t="s">
        <v>854</v>
      </c>
    </row>
    <row r="9075" spans="1:1">
      <c r="A9075" s="27" t="s">
        <v>43</v>
      </c>
    </row>
    <row r="9076" spans="1:1">
      <c r="A9076" s="27">
        <v>365</v>
      </c>
    </row>
    <row r="9077" spans="1:1">
      <c r="A9077" s="27">
        <v>23</v>
      </c>
    </row>
    <row r="9078" spans="1:1">
      <c r="A9078" s="27">
        <v>49</v>
      </c>
    </row>
    <row r="9079" spans="1:1">
      <c r="A9079" s="27">
        <v>72</v>
      </c>
    </row>
    <row r="9080" spans="1:1">
      <c r="A9080" s="27">
        <v>-5</v>
      </c>
    </row>
    <row r="9081" spans="1:1">
      <c r="A9081" s="27">
        <v>221</v>
      </c>
    </row>
    <row r="9082" spans="1:1">
      <c r="A9082" s="27">
        <v>0.2</v>
      </c>
    </row>
    <row r="9083" spans="1:1">
      <c r="A9083" s="27">
        <v>0</v>
      </c>
    </row>
    <row r="9084" spans="1:1">
      <c r="A9084" s="27">
        <v>2</v>
      </c>
    </row>
    <row r="9085" spans="1:1">
      <c r="A9085" s="27">
        <v>1</v>
      </c>
    </row>
    <row r="9086" spans="1:1">
      <c r="A9086" s="27">
        <v>4</v>
      </c>
    </row>
    <row r="9087" spans="1:1">
      <c r="A9087" s="27">
        <v>2</v>
      </c>
    </row>
    <row r="9088" spans="1:1">
      <c r="A9088" s="27">
        <v>0</v>
      </c>
    </row>
    <row r="9089" spans="1:1">
      <c r="A9089" s="27">
        <v>503</v>
      </c>
    </row>
    <row r="9090" spans="1:1">
      <c r="A9090" s="27">
        <v>4.5999999999999996</v>
      </c>
    </row>
    <row r="9091" spans="1:1">
      <c r="A9091" s="29">
        <v>0.46666666666666662</v>
      </c>
    </row>
    <row r="9092" spans="1:1">
      <c r="A9092" s="27">
        <v>15.4</v>
      </c>
    </row>
    <row r="9093" spans="1:1">
      <c r="A9093" s="28">
        <v>40.299999999999997</v>
      </c>
    </row>
    <row r="9094" spans="1:1">
      <c r="A9094" s="25">
        <v>434</v>
      </c>
    </row>
    <row r="9095" spans="1:1" ht="30">
      <c r="A9095" s="26" t="s">
        <v>112</v>
      </c>
    </row>
    <row r="9096" spans="1:1">
      <c r="A9096" s="27" t="s">
        <v>42</v>
      </c>
    </row>
    <row r="9097" spans="1:1">
      <c r="A9097" s="27">
        <v>380</v>
      </c>
    </row>
    <row r="9098" spans="1:1">
      <c r="A9098" s="27">
        <v>14</v>
      </c>
    </row>
    <row r="9099" spans="1:1">
      <c r="A9099" s="27">
        <v>58</v>
      </c>
    </row>
    <row r="9100" spans="1:1">
      <c r="A9100" s="27">
        <v>72</v>
      </c>
    </row>
    <row r="9101" spans="1:1">
      <c r="A9101" s="27">
        <v>-28</v>
      </c>
    </row>
    <row r="9102" spans="1:1">
      <c r="A9102" s="27">
        <v>112</v>
      </c>
    </row>
    <row r="9103" spans="1:1">
      <c r="A9103" s="27">
        <v>0.19</v>
      </c>
    </row>
    <row r="9104" spans="1:1">
      <c r="A9104" s="27">
        <v>1</v>
      </c>
    </row>
    <row r="9105" spans="1:1">
      <c r="A9105" s="27">
        <v>4</v>
      </c>
    </row>
    <row r="9106" spans="1:1">
      <c r="A9106" s="27">
        <v>0</v>
      </c>
    </row>
    <row r="9107" spans="1:1">
      <c r="A9107" s="27">
        <v>2</v>
      </c>
    </row>
    <row r="9108" spans="1:1">
      <c r="A9108" s="27">
        <v>2</v>
      </c>
    </row>
    <row r="9109" spans="1:1">
      <c r="A9109" s="27">
        <v>1</v>
      </c>
    </row>
    <row r="9110" spans="1:1">
      <c r="A9110" s="27">
        <v>393</v>
      </c>
    </row>
    <row r="9111" spans="1:1">
      <c r="A9111" s="27">
        <v>3.6</v>
      </c>
    </row>
    <row r="9112" spans="1:1">
      <c r="A9112" s="29">
        <v>0.74652777777777779</v>
      </c>
    </row>
    <row r="9113" spans="1:1">
      <c r="A9113" s="27">
        <v>24.1</v>
      </c>
    </row>
    <row r="9114" spans="1:1">
      <c r="A9114" s="28">
        <v>0</v>
      </c>
    </row>
    <row r="9115" spans="1:1">
      <c r="A9115" s="25">
        <v>435</v>
      </c>
    </row>
    <row r="9116" spans="1:1" ht="30">
      <c r="A9116" s="26" t="s">
        <v>55</v>
      </c>
    </row>
    <row r="9117" spans="1:1">
      <c r="A9117" s="27" t="s">
        <v>43</v>
      </c>
    </row>
    <row r="9118" spans="1:1">
      <c r="A9118" s="27">
        <v>163</v>
      </c>
    </row>
    <row r="9119" spans="1:1">
      <c r="A9119" s="27">
        <v>36</v>
      </c>
    </row>
    <row r="9120" spans="1:1">
      <c r="A9120" s="27">
        <v>35</v>
      </c>
    </row>
    <row r="9121" spans="1:1">
      <c r="A9121" s="27">
        <v>71</v>
      </c>
    </row>
    <row r="9122" spans="1:1">
      <c r="A9122" s="27">
        <v>3</v>
      </c>
    </row>
    <row r="9123" spans="1:1">
      <c r="A9123" s="27">
        <v>37</v>
      </c>
    </row>
    <row r="9124" spans="1:1">
      <c r="A9124" s="27">
        <v>0.44</v>
      </c>
    </row>
    <row r="9125" spans="1:1">
      <c r="A9125" s="27">
        <v>1</v>
      </c>
    </row>
    <row r="9126" spans="1:1">
      <c r="A9126" s="27">
        <v>5</v>
      </c>
    </row>
    <row r="9127" spans="1:1">
      <c r="A9127" s="27">
        <v>5</v>
      </c>
    </row>
    <row r="9128" spans="1:1">
      <c r="A9128" s="27">
        <v>5</v>
      </c>
    </row>
    <row r="9129" spans="1:1">
      <c r="A9129" s="27">
        <v>5</v>
      </c>
    </row>
    <row r="9130" spans="1:1">
      <c r="A9130" s="27">
        <v>1</v>
      </c>
    </row>
    <row r="9131" spans="1:1">
      <c r="A9131" s="27">
        <v>305</v>
      </c>
    </row>
    <row r="9132" spans="1:1">
      <c r="A9132" s="27">
        <v>11.8</v>
      </c>
    </row>
    <row r="9133" spans="1:1">
      <c r="A9133" s="29">
        <v>0.62430555555555556</v>
      </c>
    </row>
    <row r="9134" spans="1:1">
      <c r="A9134" s="27">
        <v>21.2</v>
      </c>
    </row>
    <row r="9135" spans="1:1">
      <c r="A9135" s="28">
        <v>23.3</v>
      </c>
    </row>
    <row r="9136" spans="1:1">
      <c r="A9136" s="25">
        <v>436</v>
      </c>
    </row>
    <row r="9137" spans="1:1" ht="45">
      <c r="A9137" s="26" t="s">
        <v>661</v>
      </c>
    </row>
    <row r="9138" spans="1:1">
      <c r="A9138" s="27" t="s">
        <v>42</v>
      </c>
    </row>
    <row r="9139" spans="1:1">
      <c r="A9139" s="27">
        <v>158</v>
      </c>
    </row>
    <row r="9140" spans="1:1">
      <c r="A9140" s="27">
        <v>16</v>
      </c>
    </row>
    <row r="9141" spans="1:1">
      <c r="A9141" s="27">
        <v>55</v>
      </c>
    </row>
    <row r="9142" spans="1:1">
      <c r="A9142" s="27">
        <v>71</v>
      </c>
    </row>
    <row r="9143" spans="1:1">
      <c r="A9143" s="27">
        <v>-25</v>
      </c>
    </row>
    <row r="9144" spans="1:1">
      <c r="A9144" s="27">
        <v>142</v>
      </c>
    </row>
    <row r="9145" spans="1:1">
      <c r="A9145" s="27">
        <v>0.45</v>
      </c>
    </row>
    <row r="9146" spans="1:1">
      <c r="A9146" s="27">
        <v>4</v>
      </c>
    </row>
    <row r="9147" spans="1:1">
      <c r="A9147" s="27">
        <v>30</v>
      </c>
    </row>
    <row r="9148" spans="1:1">
      <c r="A9148" s="27">
        <v>0</v>
      </c>
    </row>
    <row r="9149" spans="1:1">
      <c r="A9149" s="27">
        <v>0</v>
      </c>
    </row>
    <row r="9150" spans="1:1">
      <c r="A9150" s="27">
        <v>2</v>
      </c>
    </row>
    <row r="9151" spans="1:1">
      <c r="A9151" s="27">
        <v>1</v>
      </c>
    </row>
    <row r="9152" spans="1:1">
      <c r="A9152" s="27">
        <v>288</v>
      </c>
    </row>
    <row r="9153" spans="1:1">
      <c r="A9153" s="27">
        <v>5.5</v>
      </c>
    </row>
    <row r="9154" spans="1:1">
      <c r="A9154" s="29">
        <v>0.75138888888888899</v>
      </c>
    </row>
    <row r="9155" spans="1:1">
      <c r="A9155" s="27">
        <v>22.8</v>
      </c>
    </row>
    <row r="9156" spans="1:1">
      <c r="A9156" s="28">
        <v>100</v>
      </c>
    </row>
    <row r="9157" spans="1:1">
      <c r="A9157" s="25">
        <v>437</v>
      </c>
    </row>
    <row r="9158" spans="1:1" ht="30">
      <c r="A9158" s="26" t="s">
        <v>1150</v>
      </c>
    </row>
    <row r="9159" spans="1:1">
      <c r="A9159" s="27" t="s">
        <v>42</v>
      </c>
    </row>
    <row r="9160" spans="1:1">
      <c r="A9160" s="27">
        <v>251</v>
      </c>
    </row>
    <row r="9161" spans="1:1">
      <c r="A9161" s="27">
        <v>12</v>
      </c>
    </row>
    <row r="9162" spans="1:1">
      <c r="A9162" s="27">
        <v>58</v>
      </c>
    </row>
    <row r="9163" spans="1:1">
      <c r="A9163" s="27">
        <v>70</v>
      </c>
    </row>
    <row r="9164" spans="1:1">
      <c r="A9164" s="27">
        <v>-11</v>
      </c>
    </row>
    <row r="9165" spans="1:1">
      <c r="A9165" s="27">
        <v>95</v>
      </c>
    </row>
    <row r="9166" spans="1:1">
      <c r="A9166" s="27">
        <v>0.28000000000000003</v>
      </c>
    </row>
    <row r="9167" spans="1:1">
      <c r="A9167" s="27">
        <v>1</v>
      </c>
    </row>
    <row r="9168" spans="1:1">
      <c r="A9168" s="27">
        <v>12</v>
      </c>
    </row>
    <row r="9169" spans="1:1">
      <c r="A9169" s="27">
        <v>0</v>
      </c>
    </row>
    <row r="9170" spans="1:1">
      <c r="A9170" s="27">
        <v>1</v>
      </c>
    </row>
    <row r="9171" spans="1:1">
      <c r="A9171" s="27">
        <v>1</v>
      </c>
    </row>
    <row r="9172" spans="1:1">
      <c r="A9172" s="27">
        <v>0</v>
      </c>
    </row>
    <row r="9173" spans="1:1">
      <c r="A9173" s="27">
        <v>260</v>
      </c>
    </row>
    <row r="9174" spans="1:1">
      <c r="A9174" s="27">
        <v>4.5999999999999996</v>
      </c>
    </row>
    <row r="9175" spans="1:1">
      <c r="A9175" s="29">
        <v>0.90138888888888891</v>
      </c>
    </row>
    <row r="9176" spans="1:1">
      <c r="A9176" s="27">
        <v>28.1</v>
      </c>
    </row>
    <row r="9177" spans="1:1">
      <c r="A9177" s="28">
        <v>0</v>
      </c>
    </row>
    <row r="9178" spans="1:1">
      <c r="A9178" s="25">
        <v>438</v>
      </c>
    </row>
    <row r="9179" spans="1:1" ht="45">
      <c r="A9179" s="26" t="s">
        <v>561</v>
      </c>
    </row>
    <row r="9180" spans="1:1">
      <c r="A9180" s="27" t="s">
        <v>42</v>
      </c>
    </row>
    <row r="9181" spans="1:1">
      <c r="A9181" s="27">
        <v>491</v>
      </c>
    </row>
    <row r="9182" spans="1:1">
      <c r="A9182" s="27">
        <v>17</v>
      </c>
    </row>
    <row r="9183" spans="1:1">
      <c r="A9183" s="27">
        <v>51</v>
      </c>
    </row>
    <row r="9184" spans="1:1">
      <c r="A9184" s="27">
        <v>68</v>
      </c>
    </row>
    <row r="9185" spans="1:1">
      <c r="A9185" s="27">
        <v>-84</v>
      </c>
    </row>
    <row r="9186" spans="1:1">
      <c r="A9186" s="27">
        <v>539</v>
      </c>
    </row>
    <row r="9187" spans="1:1">
      <c r="A9187" s="27">
        <v>0.14000000000000001</v>
      </c>
    </row>
    <row r="9188" spans="1:1">
      <c r="A9188" s="27">
        <v>0</v>
      </c>
    </row>
    <row r="9189" spans="1:1">
      <c r="A9189" s="27">
        <v>7</v>
      </c>
    </row>
    <row r="9190" spans="1:1">
      <c r="A9190" s="27">
        <v>0</v>
      </c>
    </row>
    <row r="9191" spans="1:1">
      <c r="A9191" s="27">
        <v>1</v>
      </c>
    </row>
    <row r="9192" spans="1:1">
      <c r="A9192" s="27">
        <v>2</v>
      </c>
    </row>
    <row r="9193" spans="1:1">
      <c r="A9193" s="27">
        <v>0</v>
      </c>
    </row>
    <row r="9194" spans="1:1">
      <c r="A9194" s="27">
        <v>620</v>
      </c>
    </row>
    <row r="9195" spans="1:1">
      <c r="A9195" s="27">
        <v>2.7</v>
      </c>
    </row>
    <row r="9196" spans="1:1">
      <c r="A9196" s="29">
        <v>0.75555555555555554</v>
      </c>
    </row>
    <row r="9197" spans="1:1">
      <c r="A9197" s="27">
        <v>23.8</v>
      </c>
    </row>
    <row r="9198" spans="1:1">
      <c r="A9198" s="28">
        <v>0</v>
      </c>
    </row>
    <row r="9199" spans="1:1">
      <c r="A9199" s="25">
        <v>439</v>
      </c>
    </row>
    <row r="9200" spans="1:1" ht="30">
      <c r="A9200" s="26" t="s">
        <v>32</v>
      </c>
    </row>
    <row r="9201" spans="1:1">
      <c r="A9201" s="27" t="s">
        <v>42</v>
      </c>
    </row>
    <row r="9202" spans="1:1">
      <c r="A9202" s="27">
        <v>145</v>
      </c>
    </row>
    <row r="9203" spans="1:1">
      <c r="A9203" s="27">
        <v>14</v>
      </c>
    </row>
    <row r="9204" spans="1:1">
      <c r="A9204" s="27">
        <v>54</v>
      </c>
    </row>
    <row r="9205" spans="1:1">
      <c r="A9205" s="27">
        <v>68</v>
      </c>
    </row>
    <row r="9206" spans="1:1">
      <c r="A9206" s="27">
        <v>45</v>
      </c>
    </row>
    <row r="9207" spans="1:1">
      <c r="A9207" s="27">
        <v>117</v>
      </c>
    </row>
    <row r="9208" spans="1:1">
      <c r="A9208" s="27">
        <v>0.47</v>
      </c>
    </row>
    <row r="9209" spans="1:1">
      <c r="A9209" s="27">
        <v>3</v>
      </c>
    </row>
    <row r="9210" spans="1:1">
      <c r="A9210" s="27">
        <v>10</v>
      </c>
    </row>
    <row r="9211" spans="1:1">
      <c r="A9211" s="27">
        <v>0</v>
      </c>
    </row>
    <row r="9212" spans="1:1">
      <c r="A9212" s="27">
        <v>1</v>
      </c>
    </row>
    <row r="9213" spans="1:1">
      <c r="A9213" s="27">
        <v>5</v>
      </c>
    </row>
    <row r="9214" spans="1:1">
      <c r="A9214" s="27">
        <v>2</v>
      </c>
    </row>
    <row r="9215" spans="1:1">
      <c r="A9215" s="27">
        <v>185</v>
      </c>
    </row>
    <row r="9216" spans="1:1">
      <c r="A9216" s="27">
        <v>7.6</v>
      </c>
    </row>
    <row r="9217" spans="1:1">
      <c r="A9217" s="29">
        <v>0.92708333333333337</v>
      </c>
    </row>
    <row r="9218" spans="1:1">
      <c r="A9218" s="27">
        <v>26.9</v>
      </c>
    </row>
    <row r="9219" spans="1:1">
      <c r="A9219" s="28">
        <v>0</v>
      </c>
    </row>
    <row r="9220" spans="1:1">
      <c r="A9220" s="25">
        <v>440</v>
      </c>
    </row>
    <row r="9221" spans="1:1" ht="30">
      <c r="A9221" s="26" t="s">
        <v>123</v>
      </c>
    </row>
    <row r="9222" spans="1:1">
      <c r="A9222" s="27" t="s">
        <v>653</v>
      </c>
    </row>
    <row r="9223" spans="1:1">
      <c r="A9223" s="27">
        <v>124</v>
      </c>
    </row>
    <row r="9224" spans="1:1">
      <c r="A9224" s="27">
        <v>30</v>
      </c>
    </row>
    <row r="9225" spans="1:1">
      <c r="A9225" s="27">
        <v>37</v>
      </c>
    </row>
    <row r="9226" spans="1:1">
      <c r="A9226" s="27">
        <v>67</v>
      </c>
    </row>
    <row r="9227" spans="1:1">
      <c r="A9227" s="27">
        <v>39</v>
      </c>
    </row>
    <row r="9228" spans="1:1">
      <c r="A9228" s="27">
        <v>54</v>
      </c>
    </row>
    <row r="9229" spans="1:1">
      <c r="A9229" s="27">
        <v>0.54</v>
      </c>
    </row>
    <row r="9230" spans="1:1">
      <c r="A9230" s="27">
        <v>1</v>
      </c>
    </row>
    <row r="9231" spans="1:1">
      <c r="A9231" s="27">
        <v>4</v>
      </c>
    </row>
    <row r="9232" spans="1:1">
      <c r="A9232" s="27">
        <v>5</v>
      </c>
    </row>
    <row r="9233" spans="1:1">
      <c r="A9233" s="27">
        <v>8</v>
      </c>
    </row>
    <row r="9234" spans="1:1">
      <c r="A9234" s="27">
        <v>5</v>
      </c>
    </row>
    <row r="9235" spans="1:1">
      <c r="A9235" s="27">
        <v>1</v>
      </c>
    </row>
    <row r="9236" spans="1:1">
      <c r="A9236" s="27">
        <v>190</v>
      </c>
    </row>
    <row r="9237" spans="1:1">
      <c r="A9237" s="27">
        <v>15.8</v>
      </c>
    </row>
    <row r="9238" spans="1:1">
      <c r="A9238" s="29">
        <v>0.63611111111111118</v>
      </c>
    </row>
    <row r="9239" spans="1:1">
      <c r="A9239" s="27">
        <v>20.6</v>
      </c>
    </row>
    <row r="9240" spans="1:1">
      <c r="A9240" s="28">
        <v>50.2</v>
      </c>
    </row>
    <row r="9241" spans="1:1">
      <c r="A9241" s="25">
        <v>441</v>
      </c>
    </row>
    <row r="9242" spans="1:1" ht="30">
      <c r="A9242" s="26" t="s">
        <v>859</v>
      </c>
    </row>
    <row r="9243" spans="1:1">
      <c r="A9243" s="27" t="s">
        <v>653</v>
      </c>
    </row>
    <row r="9244" spans="1:1">
      <c r="A9244" s="27">
        <v>200</v>
      </c>
    </row>
    <row r="9245" spans="1:1">
      <c r="A9245" s="27">
        <v>25</v>
      </c>
    </row>
    <row r="9246" spans="1:1">
      <c r="A9246" s="27">
        <v>42</v>
      </c>
    </row>
    <row r="9247" spans="1:1">
      <c r="A9247" s="27">
        <v>67</v>
      </c>
    </row>
    <row r="9248" spans="1:1">
      <c r="A9248" s="27">
        <v>8</v>
      </c>
    </row>
    <row r="9249" spans="1:1">
      <c r="A9249" s="27">
        <v>56</v>
      </c>
    </row>
    <row r="9250" spans="1:1">
      <c r="A9250" s="27">
        <v>0.34</v>
      </c>
    </row>
    <row r="9251" spans="1:1">
      <c r="A9251" s="27">
        <v>1</v>
      </c>
    </row>
    <row r="9252" spans="1:1">
      <c r="A9252" s="27">
        <v>2</v>
      </c>
    </row>
    <row r="9253" spans="1:1">
      <c r="A9253" s="27">
        <v>3</v>
      </c>
    </row>
    <row r="9254" spans="1:1">
      <c r="A9254" s="27">
        <v>6</v>
      </c>
    </row>
    <row r="9255" spans="1:1">
      <c r="A9255" s="27">
        <v>3</v>
      </c>
    </row>
    <row r="9256" spans="1:1">
      <c r="A9256" s="27">
        <v>1</v>
      </c>
    </row>
    <row r="9257" spans="1:1">
      <c r="A9257" s="27">
        <v>180</v>
      </c>
    </row>
    <row r="9258" spans="1:1">
      <c r="A9258" s="27">
        <v>13.9</v>
      </c>
    </row>
    <row r="9259" spans="1:1">
      <c r="A9259" s="29">
        <v>0.52083333333333337</v>
      </c>
    </row>
    <row r="9260" spans="1:1">
      <c r="A9260" s="27">
        <v>17.8</v>
      </c>
    </row>
    <row r="9261" spans="1:1">
      <c r="A9261" s="28">
        <v>40</v>
      </c>
    </row>
    <row r="9262" spans="1:1">
      <c r="A9262" s="25">
        <v>442</v>
      </c>
    </row>
    <row r="9263" spans="1:1" ht="30">
      <c r="A9263" s="26" t="s">
        <v>310</v>
      </c>
    </row>
    <row r="9264" spans="1:1">
      <c r="A9264" s="27" t="s">
        <v>42</v>
      </c>
    </row>
    <row r="9265" spans="1:1">
      <c r="A9265" s="27">
        <v>183</v>
      </c>
    </row>
    <row r="9266" spans="1:1">
      <c r="A9266" s="27">
        <v>21</v>
      </c>
    </row>
    <row r="9267" spans="1:1">
      <c r="A9267" s="27">
        <v>46</v>
      </c>
    </row>
    <row r="9268" spans="1:1">
      <c r="A9268" s="27">
        <v>67</v>
      </c>
    </row>
    <row r="9269" spans="1:1">
      <c r="A9269" s="27">
        <v>21</v>
      </c>
    </row>
    <row r="9270" spans="1:1">
      <c r="A9270" s="27">
        <v>71</v>
      </c>
    </row>
    <row r="9271" spans="1:1">
      <c r="A9271" s="27">
        <v>0.37</v>
      </c>
    </row>
    <row r="9272" spans="1:1">
      <c r="A9272" s="27">
        <v>7</v>
      </c>
    </row>
    <row r="9273" spans="1:1">
      <c r="A9273" s="27">
        <v>21</v>
      </c>
    </row>
    <row r="9274" spans="1:1">
      <c r="A9274" s="27">
        <v>0</v>
      </c>
    </row>
    <row r="9275" spans="1:1">
      <c r="A9275" s="27">
        <v>0</v>
      </c>
    </row>
    <row r="9276" spans="1:1">
      <c r="A9276" s="27">
        <v>5</v>
      </c>
    </row>
    <row r="9277" spans="1:1">
      <c r="A9277" s="27">
        <v>2</v>
      </c>
    </row>
    <row r="9278" spans="1:1">
      <c r="A9278" s="27">
        <v>351</v>
      </c>
    </row>
    <row r="9279" spans="1:1">
      <c r="A9279" s="27">
        <v>6</v>
      </c>
    </row>
    <row r="9280" spans="1:1">
      <c r="A9280" s="29">
        <v>0.71388888888888891</v>
      </c>
    </row>
    <row r="9281" spans="1:1">
      <c r="A9281" s="27">
        <v>22.5</v>
      </c>
    </row>
    <row r="9282" spans="1:1">
      <c r="A9282" s="28">
        <v>50</v>
      </c>
    </row>
    <row r="9283" spans="1:1">
      <c r="A9283" s="25">
        <v>443</v>
      </c>
    </row>
    <row r="9284" spans="1:1" ht="30">
      <c r="A9284" s="26" t="s">
        <v>1148</v>
      </c>
    </row>
    <row r="9285" spans="1:1">
      <c r="A9285" s="27" t="s">
        <v>42</v>
      </c>
    </row>
    <row r="9286" spans="1:1">
      <c r="A9286" s="27">
        <v>301</v>
      </c>
    </row>
    <row r="9287" spans="1:1">
      <c r="A9287" s="27">
        <v>15</v>
      </c>
    </row>
    <row r="9288" spans="1:1">
      <c r="A9288" s="27">
        <v>52</v>
      </c>
    </row>
    <row r="9289" spans="1:1">
      <c r="A9289" s="27">
        <v>67</v>
      </c>
    </row>
    <row r="9290" spans="1:1">
      <c r="A9290" s="27">
        <v>-23</v>
      </c>
    </row>
    <row r="9291" spans="1:1">
      <c r="A9291" s="27">
        <v>169</v>
      </c>
    </row>
    <row r="9292" spans="1:1">
      <c r="A9292" s="27">
        <v>0.22</v>
      </c>
    </row>
    <row r="9293" spans="1:1">
      <c r="A9293" s="27">
        <v>2</v>
      </c>
    </row>
    <row r="9294" spans="1:1">
      <c r="A9294" s="27">
        <v>5</v>
      </c>
    </row>
    <row r="9295" spans="1:1">
      <c r="A9295" s="27">
        <v>1</v>
      </c>
    </row>
    <row r="9296" spans="1:1">
      <c r="A9296" s="27">
        <v>1</v>
      </c>
    </row>
    <row r="9297" spans="1:1">
      <c r="A9297" s="27">
        <v>2</v>
      </c>
    </row>
    <row r="9298" spans="1:1">
      <c r="A9298" s="27">
        <v>0</v>
      </c>
    </row>
    <row r="9299" spans="1:1">
      <c r="A9299" s="27">
        <v>294</v>
      </c>
    </row>
    <row r="9300" spans="1:1">
      <c r="A9300" s="27">
        <v>5.0999999999999996</v>
      </c>
    </row>
    <row r="9301" spans="1:1">
      <c r="A9301" s="29">
        <v>0.81319444444444444</v>
      </c>
    </row>
    <row r="9302" spans="1:1">
      <c r="A9302" s="27">
        <v>25.4</v>
      </c>
    </row>
    <row r="9303" spans="1:1">
      <c r="A9303" s="28">
        <v>0</v>
      </c>
    </row>
    <row r="9304" spans="1:1">
      <c r="A9304" s="25">
        <v>444</v>
      </c>
    </row>
    <row r="9305" spans="1:1" ht="30">
      <c r="A9305" s="26" t="s">
        <v>1166</v>
      </c>
    </row>
    <row r="9306" spans="1:1">
      <c r="A9306" s="27" t="s">
        <v>42</v>
      </c>
    </row>
    <row r="9307" spans="1:1">
      <c r="A9307" s="27">
        <v>324</v>
      </c>
    </row>
    <row r="9308" spans="1:1">
      <c r="A9308" s="27">
        <v>12</v>
      </c>
    </row>
    <row r="9309" spans="1:1">
      <c r="A9309" s="27">
        <v>55</v>
      </c>
    </row>
    <row r="9310" spans="1:1">
      <c r="A9310" s="27">
        <v>67</v>
      </c>
    </row>
    <row r="9311" spans="1:1">
      <c r="A9311" s="27">
        <v>80</v>
      </c>
    </row>
    <row r="9312" spans="1:1">
      <c r="A9312" s="27">
        <v>261</v>
      </c>
    </row>
    <row r="9313" spans="1:1">
      <c r="A9313" s="27">
        <v>0.21</v>
      </c>
    </row>
    <row r="9314" spans="1:1">
      <c r="A9314" s="27">
        <v>0</v>
      </c>
    </row>
    <row r="9315" spans="1:1">
      <c r="A9315" s="27">
        <v>1</v>
      </c>
    </row>
    <row r="9316" spans="1:1">
      <c r="A9316" s="27">
        <v>0</v>
      </c>
    </row>
    <row r="9317" spans="1:1">
      <c r="A9317" s="27">
        <v>3</v>
      </c>
    </row>
    <row r="9318" spans="1:1">
      <c r="A9318" s="27">
        <v>3</v>
      </c>
    </row>
    <row r="9319" spans="1:1">
      <c r="A9319" s="27">
        <v>0</v>
      </c>
    </row>
    <row r="9320" spans="1:1">
      <c r="A9320" s="27">
        <v>287</v>
      </c>
    </row>
    <row r="9321" spans="1:1">
      <c r="A9321" s="27">
        <v>4.2</v>
      </c>
    </row>
    <row r="9322" spans="1:1">
      <c r="A9322" s="29">
        <v>0.76666666666666661</v>
      </c>
    </row>
    <row r="9323" spans="1:1">
      <c r="A9323" s="27">
        <v>24.5</v>
      </c>
    </row>
    <row r="9324" spans="1:1">
      <c r="A9324" s="28">
        <v>0</v>
      </c>
    </row>
    <row r="9325" spans="1:1">
      <c r="A9325" s="25">
        <v>445</v>
      </c>
    </row>
    <row r="9326" spans="1:1" ht="45">
      <c r="A9326" s="26" t="s">
        <v>248</v>
      </c>
    </row>
    <row r="9327" spans="1:1">
      <c r="A9327" s="27" t="s">
        <v>43</v>
      </c>
    </row>
    <row r="9328" spans="1:1">
      <c r="A9328" s="27">
        <v>110</v>
      </c>
    </row>
    <row r="9329" spans="1:1">
      <c r="A9329" s="27">
        <v>31</v>
      </c>
    </row>
    <row r="9330" spans="1:1">
      <c r="A9330" s="27">
        <v>35</v>
      </c>
    </row>
    <row r="9331" spans="1:1">
      <c r="A9331" s="27">
        <v>66</v>
      </c>
    </row>
    <row r="9332" spans="1:1">
      <c r="A9332" s="27">
        <v>8</v>
      </c>
    </row>
    <row r="9333" spans="1:1">
      <c r="A9333" s="27">
        <v>82</v>
      </c>
    </row>
    <row r="9334" spans="1:1">
      <c r="A9334" s="27">
        <v>0.6</v>
      </c>
    </row>
    <row r="9335" spans="1:1">
      <c r="A9335" s="27">
        <v>4</v>
      </c>
    </row>
    <row r="9336" spans="1:1">
      <c r="A9336" s="27">
        <v>17</v>
      </c>
    </row>
    <row r="9337" spans="1:1">
      <c r="A9337" s="27">
        <v>0</v>
      </c>
    </row>
    <row r="9338" spans="1:1">
      <c r="A9338" s="27">
        <v>0</v>
      </c>
    </row>
    <row r="9339" spans="1:1">
      <c r="A9339" s="27">
        <v>6</v>
      </c>
    </row>
    <row r="9340" spans="1:1">
      <c r="A9340" s="27">
        <v>2</v>
      </c>
    </row>
    <row r="9341" spans="1:1">
      <c r="A9341" s="27">
        <v>267</v>
      </c>
    </row>
    <row r="9342" spans="1:1">
      <c r="A9342" s="27">
        <v>11.6</v>
      </c>
    </row>
    <row r="9343" spans="1:1">
      <c r="A9343" s="29">
        <v>0.63055555555555554</v>
      </c>
    </row>
    <row r="9344" spans="1:1">
      <c r="A9344" s="27">
        <v>20.7</v>
      </c>
    </row>
    <row r="9345" spans="1:1">
      <c r="A9345" s="28">
        <v>12.5</v>
      </c>
    </row>
    <row r="9346" spans="1:1">
      <c r="A9346" s="25">
        <v>446</v>
      </c>
    </row>
    <row r="9347" spans="1:1" ht="30">
      <c r="A9347" s="26" t="s">
        <v>669</v>
      </c>
    </row>
    <row r="9348" spans="1:1">
      <c r="A9348" s="27" t="s">
        <v>42</v>
      </c>
    </row>
    <row r="9349" spans="1:1">
      <c r="A9349" s="27">
        <v>315</v>
      </c>
    </row>
    <row r="9350" spans="1:1">
      <c r="A9350" s="27">
        <v>19</v>
      </c>
    </row>
    <row r="9351" spans="1:1">
      <c r="A9351" s="27">
        <v>47</v>
      </c>
    </row>
    <row r="9352" spans="1:1">
      <c r="A9352" s="27">
        <v>66</v>
      </c>
    </row>
    <row r="9353" spans="1:1">
      <c r="A9353" s="27">
        <v>-9</v>
      </c>
    </row>
    <row r="9354" spans="1:1">
      <c r="A9354" s="27">
        <v>361</v>
      </c>
    </row>
    <row r="9355" spans="1:1">
      <c r="A9355" s="27">
        <v>0.21</v>
      </c>
    </row>
    <row r="9356" spans="1:1">
      <c r="A9356" s="27">
        <v>2</v>
      </c>
    </row>
    <row r="9357" spans="1:1">
      <c r="A9357" s="27">
        <v>8</v>
      </c>
    </row>
    <row r="9358" spans="1:1">
      <c r="A9358" s="27">
        <v>0</v>
      </c>
    </row>
    <row r="9359" spans="1:1">
      <c r="A9359" s="27">
        <v>0</v>
      </c>
    </row>
    <row r="9360" spans="1:1">
      <c r="A9360" s="27">
        <v>2</v>
      </c>
    </row>
    <row r="9361" spans="1:1">
      <c r="A9361" s="27">
        <v>1</v>
      </c>
    </row>
    <row r="9362" spans="1:1">
      <c r="A9362" s="27">
        <v>357</v>
      </c>
    </row>
    <row r="9363" spans="1:1">
      <c r="A9363" s="27">
        <v>5.3</v>
      </c>
    </row>
    <row r="9364" spans="1:1">
      <c r="A9364" s="29">
        <v>0.76041666666666663</v>
      </c>
    </row>
    <row r="9365" spans="1:1">
      <c r="A9365" s="27">
        <v>23.1</v>
      </c>
    </row>
    <row r="9366" spans="1:1">
      <c r="A9366" s="28">
        <v>100</v>
      </c>
    </row>
    <row r="9367" spans="1:1">
      <c r="A9367" s="25">
        <v>447</v>
      </c>
    </row>
    <row r="9368" spans="1:1" ht="30">
      <c r="A9368" s="26" t="s">
        <v>876</v>
      </c>
    </row>
    <row r="9369" spans="1:1">
      <c r="A9369" s="27" t="s">
        <v>653</v>
      </c>
    </row>
    <row r="9370" spans="1:1">
      <c r="A9370" s="27">
        <v>197</v>
      </c>
    </row>
    <row r="9371" spans="1:1">
      <c r="A9371" s="27">
        <v>35</v>
      </c>
    </row>
    <row r="9372" spans="1:1">
      <c r="A9372" s="27">
        <v>30</v>
      </c>
    </row>
    <row r="9373" spans="1:1">
      <c r="A9373" s="27">
        <v>65</v>
      </c>
    </row>
    <row r="9374" spans="1:1">
      <c r="A9374" s="27">
        <v>-17</v>
      </c>
    </row>
    <row r="9375" spans="1:1">
      <c r="A9375" s="27">
        <v>85</v>
      </c>
    </row>
    <row r="9376" spans="1:1">
      <c r="A9376" s="27">
        <v>0.33</v>
      </c>
    </row>
    <row r="9377" spans="1:1">
      <c r="A9377" s="27">
        <v>5</v>
      </c>
    </row>
    <row r="9378" spans="1:1">
      <c r="A9378" s="27">
        <v>8</v>
      </c>
    </row>
    <row r="9379" spans="1:1">
      <c r="A9379" s="27">
        <v>2</v>
      </c>
    </row>
    <row r="9380" spans="1:1">
      <c r="A9380" s="27">
        <v>3</v>
      </c>
    </row>
    <row r="9381" spans="1:1">
      <c r="A9381" s="27">
        <v>5</v>
      </c>
    </row>
    <row r="9382" spans="1:1">
      <c r="A9382" s="27">
        <v>0</v>
      </c>
    </row>
    <row r="9383" spans="1:1">
      <c r="A9383" s="27">
        <v>308</v>
      </c>
    </row>
    <row r="9384" spans="1:1">
      <c r="A9384" s="27">
        <v>11.4</v>
      </c>
    </row>
    <row r="9385" spans="1:1">
      <c r="A9385" s="29">
        <v>0.56319444444444444</v>
      </c>
    </row>
    <row r="9386" spans="1:1">
      <c r="A9386" s="27">
        <v>18</v>
      </c>
    </row>
    <row r="9387" spans="1:1">
      <c r="A9387" s="28">
        <v>37.799999999999997</v>
      </c>
    </row>
    <row r="9388" spans="1:1">
      <c r="A9388" s="25">
        <v>448</v>
      </c>
    </row>
    <row r="9389" spans="1:1" ht="30">
      <c r="A9389" s="26" t="s">
        <v>910</v>
      </c>
    </row>
    <row r="9390" spans="1:1">
      <c r="A9390" s="27" t="s">
        <v>44</v>
      </c>
    </row>
    <row r="9391" spans="1:1">
      <c r="A9391" s="27">
        <v>223</v>
      </c>
    </row>
    <row r="9392" spans="1:1">
      <c r="A9392" s="27">
        <v>29</v>
      </c>
    </row>
    <row r="9393" spans="1:1">
      <c r="A9393" s="27">
        <v>36</v>
      </c>
    </row>
    <row r="9394" spans="1:1">
      <c r="A9394" s="27">
        <v>65</v>
      </c>
    </row>
    <row r="9395" spans="1:1">
      <c r="A9395" s="27">
        <v>18</v>
      </c>
    </row>
    <row r="9396" spans="1:1">
      <c r="A9396" s="27">
        <v>91</v>
      </c>
    </row>
    <row r="9397" spans="1:1">
      <c r="A9397" s="27">
        <v>0.28999999999999998</v>
      </c>
    </row>
    <row r="9398" spans="1:1">
      <c r="A9398" s="27">
        <v>0</v>
      </c>
    </row>
    <row r="9399" spans="1:1">
      <c r="A9399" s="27">
        <v>0</v>
      </c>
    </row>
    <row r="9400" spans="1:1">
      <c r="A9400" s="27">
        <v>6</v>
      </c>
    </row>
    <row r="9401" spans="1:1">
      <c r="A9401" s="27">
        <v>7</v>
      </c>
    </row>
    <row r="9402" spans="1:1">
      <c r="A9402" s="27">
        <v>3</v>
      </c>
    </row>
    <row r="9403" spans="1:1">
      <c r="A9403" s="27">
        <v>1</v>
      </c>
    </row>
    <row r="9404" spans="1:1">
      <c r="A9404" s="27">
        <v>303</v>
      </c>
    </row>
    <row r="9405" spans="1:1">
      <c r="A9405" s="27">
        <v>9.6</v>
      </c>
    </row>
    <row r="9406" spans="1:1">
      <c r="A9406" s="29">
        <v>0.53888888888888886</v>
      </c>
    </row>
    <row r="9407" spans="1:1">
      <c r="A9407" s="27">
        <v>19.7</v>
      </c>
    </row>
    <row r="9408" spans="1:1">
      <c r="A9408" s="28">
        <v>30.4</v>
      </c>
    </row>
    <row r="9409" spans="1:1">
      <c r="A9409" s="25">
        <v>449</v>
      </c>
    </row>
    <row r="9410" spans="1:1" ht="45">
      <c r="A9410" s="26" t="s">
        <v>832</v>
      </c>
    </row>
    <row r="9411" spans="1:1">
      <c r="A9411" s="27" t="s">
        <v>653</v>
      </c>
    </row>
    <row r="9412" spans="1:1">
      <c r="A9412" s="27">
        <v>193</v>
      </c>
    </row>
    <row r="9413" spans="1:1">
      <c r="A9413" s="27">
        <v>30</v>
      </c>
    </row>
    <row r="9414" spans="1:1">
      <c r="A9414" s="27">
        <v>34</v>
      </c>
    </row>
    <row r="9415" spans="1:1">
      <c r="A9415" s="27">
        <v>64</v>
      </c>
    </row>
    <row r="9416" spans="1:1">
      <c r="A9416" s="27">
        <v>2</v>
      </c>
    </row>
    <row r="9417" spans="1:1">
      <c r="A9417" s="27">
        <v>30</v>
      </c>
    </row>
    <row r="9418" spans="1:1">
      <c r="A9418" s="27">
        <v>0.33</v>
      </c>
    </row>
    <row r="9419" spans="1:1">
      <c r="A9419" s="27">
        <v>0</v>
      </c>
    </row>
    <row r="9420" spans="1:1">
      <c r="A9420" s="27">
        <v>0</v>
      </c>
    </row>
    <row r="9421" spans="1:1">
      <c r="A9421" s="27">
        <v>3</v>
      </c>
    </row>
    <row r="9422" spans="1:1">
      <c r="A9422" s="27">
        <v>4</v>
      </c>
    </row>
    <row r="9423" spans="1:1">
      <c r="A9423" s="27">
        <v>4</v>
      </c>
    </row>
    <row r="9424" spans="1:1">
      <c r="A9424" s="27">
        <v>0</v>
      </c>
    </row>
    <row r="9425" spans="1:1">
      <c r="A9425" s="27">
        <v>155</v>
      </c>
    </row>
    <row r="9426" spans="1:1">
      <c r="A9426" s="27">
        <v>19.399999999999999</v>
      </c>
    </row>
    <row r="9427" spans="1:1">
      <c r="A9427" s="29">
        <v>0.50416666666666665</v>
      </c>
    </row>
    <row r="9428" spans="1:1">
      <c r="A9428" s="27">
        <v>16.8</v>
      </c>
    </row>
    <row r="9429" spans="1:1">
      <c r="A9429" s="28">
        <v>43.5</v>
      </c>
    </row>
    <row r="9430" spans="1:1">
      <c r="A9430" s="25">
        <v>450</v>
      </c>
    </row>
    <row r="9431" spans="1:1" ht="45">
      <c r="A9431" s="26" t="s">
        <v>864</v>
      </c>
    </row>
    <row r="9432" spans="1:1">
      <c r="A9432" s="27" t="s">
        <v>653</v>
      </c>
    </row>
    <row r="9433" spans="1:1">
      <c r="A9433" s="27">
        <v>369</v>
      </c>
    </row>
    <row r="9434" spans="1:1">
      <c r="A9434" s="27">
        <v>29</v>
      </c>
    </row>
    <row r="9435" spans="1:1">
      <c r="A9435" s="27">
        <v>35</v>
      </c>
    </row>
    <row r="9436" spans="1:1">
      <c r="A9436" s="27">
        <v>64</v>
      </c>
    </row>
    <row r="9437" spans="1:1">
      <c r="A9437" s="27">
        <v>-29</v>
      </c>
    </row>
    <row r="9438" spans="1:1">
      <c r="A9438" s="27">
        <v>56</v>
      </c>
    </row>
    <row r="9439" spans="1:1">
      <c r="A9439" s="27">
        <v>0.17</v>
      </c>
    </row>
    <row r="9440" spans="1:1">
      <c r="A9440" s="27">
        <v>0</v>
      </c>
    </row>
    <row r="9441" spans="1:1">
      <c r="A9441" s="27">
        <v>0</v>
      </c>
    </row>
    <row r="9442" spans="1:1">
      <c r="A9442" s="27">
        <v>2</v>
      </c>
    </row>
    <row r="9443" spans="1:1">
      <c r="A9443" s="27">
        <v>2</v>
      </c>
    </row>
    <row r="9444" spans="1:1">
      <c r="A9444" s="27">
        <v>6</v>
      </c>
    </row>
    <row r="9445" spans="1:1">
      <c r="A9445" s="27">
        <v>1</v>
      </c>
    </row>
    <row r="9446" spans="1:1">
      <c r="A9446" s="27">
        <v>473</v>
      </c>
    </row>
    <row r="9447" spans="1:1">
      <c r="A9447" s="27">
        <v>6.1</v>
      </c>
    </row>
    <row r="9448" spans="1:1">
      <c r="A9448" s="29">
        <v>0.53263888888888888</v>
      </c>
    </row>
    <row r="9449" spans="1:1">
      <c r="A9449" s="27">
        <v>19</v>
      </c>
    </row>
    <row r="9450" spans="1:1">
      <c r="A9450" s="28">
        <v>39.200000000000003</v>
      </c>
    </row>
    <row r="9451" spans="1:1">
      <c r="A9451" s="25">
        <v>451</v>
      </c>
    </row>
    <row r="9452" spans="1:1" ht="30">
      <c r="A9452" s="26" t="s">
        <v>920</v>
      </c>
    </row>
    <row r="9453" spans="1:1">
      <c r="A9453" s="27" t="s">
        <v>43</v>
      </c>
    </row>
    <row r="9454" spans="1:1">
      <c r="A9454" s="27">
        <v>200</v>
      </c>
    </row>
    <row r="9455" spans="1:1">
      <c r="A9455" s="27">
        <v>24</v>
      </c>
    </row>
    <row r="9456" spans="1:1">
      <c r="A9456" s="27">
        <v>40</v>
      </c>
    </row>
    <row r="9457" spans="1:1">
      <c r="A9457" s="27">
        <v>64</v>
      </c>
    </row>
    <row r="9458" spans="1:1">
      <c r="A9458" s="27">
        <v>-2</v>
      </c>
    </row>
    <row r="9459" spans="1:1">
      <c r="A9459" s="27">
        <v>52</v>
      </c>
    </row>
    <row r="9460" spans="1:1">
      <c r="A9460" s="27">
        <v>0.32</v>
      </c>
    </row>
    <row r="9461" spans="1:1">
      <c r="A9461" s="27">
        <v>3</v>
      </c>
    </row>
    <row r="9462" spans="1:1">
      <c r="A9462" s="27">
        <v>10</v>
      </c>
    </row>
    <row r="9463" spans="1:1">
      <c r="A9463" s="27">
        <v>0</v>
      </c>
    </row>
    <row r="9464" spans="1:1">
      <c r="A9464" s="27">
        <v>0</v>
      </c>
    </row>
    <row r="9465" spans="1:1">
      <c r="A9465" s="27">
        <v>5</v>
      </c>
    </row>
    <row r="9466" spans="1:1">
      <c r="A9466" s="27">
        <v>0</v>
      </c>
    </row>
    <row r="9467" spans="1:1">
      <c r="A9467" s="27">
        <v>297</v>
      </c>
    </row>
    <row r="9468" spans="1:1">
      <c r="A9468" s="27">
        <v>8.1</v>
      </c>
    </row>
    <row r="9469" spans="1:1">
      <c r="A9469" s="29">
        <v>0.53333333333333333</v>
      </c>
    </row>
    <row r="9470" spans="1:1">
      <c r="A9470" s="27">
        <v>17.3</v>
      </c>
    </row>
    <row r="9471" spans="1:1">
      <c r="A9471" s="28">
        <v>27.3</v>
      </c>
    </row>
    <row r="9472" spans="1:1">
      <c r="A9472" s="25">
        <v>452</v>
      </c>
    </row>
    <row r="9473" spans="1:1" ht="45">
      <c r="A9473" s="26" t="s">
        <v>479</v>
      </c>
    </row>
    <row r="9474" spans="1:1">
      <c r="A9474" s="27" t="s">
        <v>42</v>
      </c>
    </row>
    <row r="9475" spans="1:1">
      <c r="A9475" s="27">
        <v>200</v>
      </c>
    </row>
    <row r="9476" spans="1:1">
      <c r="A9476" s="27">
        <v>22</v>
      </c>
    </row>
    <row r="9477" spans="1:1">
      <c r="A9477" s="27">
        <v>42</v>
      </c>
    </row>
    <row r="9478" spans="1:1">
      <c r="A9478" s="27">
        <v>64</v>
      </c>
    </row>
    <row r="9479" spans="1:1">
      <c r="A9479" s="27">
        <v>-23</v>
      </c>
    </row>
    <row r="9480" spans="1:1">
      <c r="A9480" s="27">
        <v>111</v>
      </c>
    </row>
    <row r="9481" spans="1:1">
      <c r="A9481" s="27">
        <v>0.32</v>
      </c>
    </row>
    <row r="9482" spans="1:1">
      <c r="A9482" s="27">
        <v>8</v>
      </c>
    </row>
    <row r="9483" spans="1:1">
      <c r="A9483" s="27">
        <v>17</v>
      </c>
    </row>
    <row r="9484" spans="1:1">
      <c r="A9484" s="27">
        <v>0</v>
      </c>
    </row>
    <row r="9485" spans="1:1">
      <c r="A9485" s="27">
        <v>0</v>
      </c>
    </row>
    <row r="9486" spans="1:1">
      <c r="A9486" s="27">
        <v>2</v>
      </c>
    </row>
    <row r="9487" spans="1:1">
      <c r="A9487" s="27">
        <v>0</v>
      </c>
    </row>
    <row r="9488" spans="1:1">
      <c r="A9488" s="27">
        <v>370</v>
      </c>
    </row>
    <row r="9489" spans="1:1">
      <c r="A9489" s="27">
        <v>5.9</v>
      </c>
    </row>
    <row r="9490" spans="1:1">
      <c r="A9490" s="29">
        <v>0.8041666666666667</v>
      </c>
    </row>
    <row r="9491" spans="1:1">
      <c r="A9491" s="27">
        <v>23.5</v>
      </c>
    </row>
    <row r="9492" spans="1:1">
      <c r="A9492" s="28">
        <v>0</v>
      </c>
    </row>
    <row r="9493" spans="1:1">
      <c r="A9493" s="25">
        <v>453</v>
      </c>
    </row>
    <row r="9494" spans="1:1" ht="45">
      <c r="A9494" s="26" t="s">
        <v>811</v>
      </c>
    </row>
    <row r="9495" spans="1:1">
      <c r="A9495" s="27" t="s">
        <v>44</v>
      </c>
    </row>
    <row r="9496" spans="1:1">
      <c r="A9496" s="27">
        <v>168</v>
      </c>
    </row>
    <row r="9497" spans="1:1">
      <c r="A9497" s="27">
        <v>21</v>
      </c>
    </row>
    <row r="9498" spans="1:1">
      <c r="A9498" s="27">
        <v>43</v>
      </c>
    </row>
    <row r="9499" spans="1:1">
      <c r="A9499" s="27">
        <v>64</v>
      </c>
    </row>
    <row r="9500" spans="1:1">
      <c r="A9500" s="27">
        <v>-24</v>
      </c>
    </row>
    <row r="9501" spans="1:1">
      <c r="A9501" s="27">
        <v>43</v>
      </c>
    </row>
    <row r="9502" spans="1:1">
      <c r="A9502" s="27">
        <v>0.38</v>
      </c>
    </row>
    <row r="9503" spans="1:1">
      <c r="A9503" s="27">
        <v>4</v>
      </c>
    </row>
    <row r="9504" spans="1:1">
      <c r="A9504" s="27">
        <v>11</v>
      </c>
    </row>
    <row r="9505" spans="1:1">
      <c r="A9505" s="27">
        <v>0</v>
      </c>
    </row>
    <row r="9506" spans="1:1">
      <c r="A9506" s="27">
        <v>3</v>
      </c>
    </row>
    <row r="9507" spans="1:1">
      <c r="A9507" s="27">
        <v>1</v>
      </c>
    </row>
    <row r="9508" spans="1:1">
      <c r="A9508" s="27">
        <v>0</v>
      </c>
    </row>
    <row r="9509" spans="1:1">
      <c r="A9509" s="27">
        <v>341</v>
      </c>
    </row>
    <row r="9510" spans="1:1">
      <c r="A9510" s="27">
        <v>6.2</v>
      </c>
    </row>
    <row r="9511" spans="1:1">
      <c r="A9511" s="29">
        <v>0.59861111111111109</v>
      </c>
    </row>
    <row r="9512" spans="1:1">
      <c r="A9512" s="27">
        <v>18.899999999999999</v>
      </c>
    </row>
    <row r="9513" spans="1:1">
      <c r="A9513" s="28">
        <v>44.9</v>
      </c>
    </row>
    <row r="9514" spans="1:1">
      <c r="A9514" s="25">
        <v>454</v>
      </c>
    </row>
    <row r="9515" spans="1:1" ht="60">
      <c r="A9515" s="26" t="s">
        <v>1108</v>
      </c>
    </row>
    <row r="9516" spans="1:1">
      <c r="A9516" s="27" t="s">
        <v>42</v>
      </c>
    </row>
    <row r="9517" spans="1:1">
      <c r="A9517" s="27">
        <v>331</v>
      </c>
    </row>
    <row r="9518" spans="1:1">
      <c r="A9518" s="27">
        <v>14</v>
      </c>
    </row>
    <row r="9519" spans="1:1">
      <c r="A9519" s="27">
        <v>49</v>
      </c>
    </row>
    <row r="9520" spans="1:1">
      <c r="A9520" s="27">
        <v>63</v>
      </c>
    </row>
    <row r="9521" spans="1:1">
      <c r="A9521" s="27">
        <v>12</v>
      </c>
    </row>
    <row r="9522" spans="1:1">
      <c r="A9522" s="27">
        <v>98</v>
      </c>
    </row>
    <row r="9523" spans="1:1">
      <c r="A9523" s="27">
        <v>0.19</v>
      </c>
    </row>
    <row r="9524" spans="1:1">
      <c r="A9524" s="27">
        <v>0</v>
      </c>
    </row>
    <row r="9525" spans="1:1">
      <c r="A9525" s="27">
        <v>2</v>
      </c>
    </row>
    <row r="9526" spans="1:1">
      <c r="A9526" s="27">
        <v>0</v>
      </c>
    </row>
    <row r="9527" spans="1:1">
      <c r="A9527" s="27">
        <v>1</v>
      </c>
    </row>
    <row r="9528" spans="1:1">
      <c r="A9528" s="27">
        <v>5</v>
      </c>
    </row>
    <row r="9529" spans="1:1">
      <c r="A9529" s="27">
        <v>0</v>
      </c>
    </row>
    <row r="9530" spans="1:1">
      <c r="A9530" s="27">
        <v>414</v>
      </c>
    </row>
    <row r="9531" spans="1:1">
      <c r="A9531" s="27">
        <v>3.4</v>
      </c>
    </row>
    <row r="9532" spans="1:1">
      <c r="A9532" s="29">
        <v>0.71666666666666667</v>
      </c>
    </row>
    <row r="9533" spans="1:1">
      <c r="A9533" s="27">
        <v>23</v>
      </c>
    </row>
    <row r="9534" spans="1:1">
      <c r="A9534" s="28">
        <v>0</v>
      </c>
    </row>
    <row r="9535" spans="1:1">
      <c r="A9535" s="25">
        <v>455</v>
      </c>
    </row>
    <row r="9536" spans="1:1" ht="30">
      <c r="A9536" s="26" t="s">
        <v>1136</v>
      </c>
    </row>
    <row r="9537" spans="1:1">
      <c r="A9537" s="27" t="s">
        <v>42</v>
      </c>
    </row>
    <row r="9538" spans="1:1">
      <c r="A9538" s="27">
        <v>246</v>
      </c>
    </row>
    <row r="9539" spans="1:1">
      <c r="A9539" s="27">
        <v>8</v>
      </c>
    </row>
    <row r="9540" spans="1:1">
      <c r="A9540" s="27">
        <v>55</v>
      </c>
    </row>
    <row r="9541" spans="1:1">
      <c r="A9541" s="27">
        <v>63</v>
      </c>
    </row>
    <row r="9542" spans="1:1">
      <c r="A9542" s="27">
        <v>-12</v>
      </c>
    </row>
    <row r="9543" spans="1:1">
      <c r="A9543" s="27">
        <v>112</v>
      </c>
    </row>
    <row r="9544" spans="1:1">
      <c r="A9544" s="27">
        <v>0.26</v>
      </c>
    </row>
    <row r="9545" spans="1:1">
      <c r="A9545" s="27">
        <v>1</v>
      </c>
    </row>
    <row r="9546" spans="1:1">
      <c r="A9546" s="27">
        <v>11</v>
      </c>
    </row>
    <row r="9547" spans="1:1">
      <c r="A9547" s="27">
        <v>1</v>
      </c>
    </row>
    <row r="9548" spans="1:1">
      <c r="A9548" s="27">
        <v>2</v>
      </c>
    </row>
    <row r="9549" spans="1:1">
      <c r="A9549" s="27">
        <v>0</v>
      </c>
    </row>
    <row r="9550" spans="1:1">
      <c r="A9550" s="27">
        <v>0</v>
      </c>
    </row>
    <row r="9551" spans="1:1">
      <c r="A9551" s="27">
        <v>362</v>
      </c>
    </row>
    <row r="9552" spans="1:1">
      <c r="A9552" s="27">
        <v>2.2000000000000002</v>
      </c>
    </row>
    <row r="9553" spans="1:1">
      <c r="A9553" s="29">
        <v>0.79166666666666663</v>
      </c>
    </row>
    <row r="9554" spans="1:1">
      <c r="A9554" s="27">
        <v>23.9</v>
      </c>
    </row>
    <row r="9555" spans="1:1">
      <c r="A9555" s="28">
        <v>0</v>
      </c>
    </row>
    <row r="9556" spans="1:1">
      <c r="A9556" s="25">
        <v>456</v>
      </c>
    </row>
    <row r="9557" spans="1:1" ht="30">
      <c r="A9557" s="26" t="s">
        <v>54</v>
      </c>
    </row>
    <row r="9558" spans="1:1">
      <c r="A9558" s="27" t="s">
        <v>44</v>
      </c>
    </row>
    <row r="9559" spans="1:1">
      <c r="A9559" s="27">
        <v>112</v>
      </c>
    </row>
    <row r="9560" spans="1:1">
      <c r="A9560" s="27">
        <v>28</v>
      </c>
    </row>
    <row r="9561" spans="1:1">
      <c r="A9561" s="27">
        <v>34</v>
      </c>
    </row>
    <row r="9562" spans="1:1">
      <c r="A9562" s="27">
        <v>62</v>
      </c>
    </row>
    <row r="9563" spans="1:1">
      <c r="A9563" s="27">
        <v>14</v>
      </c>
    </row>
    <row r="9564" spans="1:1">
      <c r="A9564" s="27">
        <v>46</v>
      </c>
    </row>
    <row r="9565" spans="1:1">
      <c r="A9565" s="27">
        <v>0.55000000000000004</v>
      </c>
    </row>
    <row r="9566" spans="1:1">
      <c r="A9566" s="27">
        <v>7</v>
      </c>
    </row>
    <row r="9567" spans="1:1">
      <c r="A9567" s="27">
        <v>12</v>
      </c>
    </row>
    <row r="9568" spans="1:1">
      <c r="A9568" s="27">
        <v>0</v>
      </c>
    </row>
    <row r="9569" spans="1:1">
      <c r="A9569" s="27">
        <v>0</v>
      </c>
    </row>
    <row r="9570" spans="1:1">
      <c r="A9570" s="27">
        <v>4</v>
      </c>
    </row>
    <row r="9571" spans="1:1">
      <c r="A9571" s="27">
        <v>0</v>
      </c>
    </row>
    <row r="9572" spans="1:1">
      <c r="A9572" s="27">
        <v>215</v>
      </c>
    </row>
    <row r="9573" spans="1:1">
      <c r="A9573" s="27">
        <v>13</v>
      </c>
    </row>
    <row r="9574" spans="1:1">
      <c r="A9574" s="29">
        <v>0.6</v>
      </c>
    </row>
    <row r="9575" spans="1:1">
      <c r="A9575" s="27">
        <v>20.100000000000001</v>
      </c>
    </row>
    <row r="9576" spans="1:1">
      <c r="A9576" s="28">
        <v>34.6</v>
      </c>
    </row>
    <row r="9577" spans="1:1">
      <c r="A9577" s="25">
        <v>457</v>
      </c>
    </row>
    <row r="9578" spans="1:1" ht="30">
      <c r="A9578" s="26" t="s">
        <v>146</v>
      </c>
    </row>
    <row r="9579" spans="1:1">
      <c r="A9579" s="27" t="s">
        <v>44</v>
      </c>
    </row>
    <row r="9580" spans="1:1">
      <c r="A9580" s="27">
        <v>100</v>
      </c>
    </row>
    <row r="9581" spans="1:1">
      <c r="A9581" s="27">
        <v>31</v>
      </c>
    </row>
    <row r="9582" spans="1:1">
      <c r="A9582" s="27">
        <v>30</v>
      </c>
    </row>
    <row r="9583" spans="1:1">
      <c r="A9583" s="27">
        <v>61</v>
      </c>
    </row>
    <row r="9584" spans="1:1">
      <c r="A9584" s="27">
        <v>-13</v>
      </c>
    </row>
    <row r="9585" spans="1:1">
      <c r="A9585" s="27">
        <v>96</v>
      </c>
    </row>
    <row r="9586" spans="1:1">
      <c r="A9586" s="27">
        <v>0.61</v>
      </c>
    </row>
    <row r="9587" spans="1:1">
      <c r="A9587" s="27">
        <v>4</v>
      </c>
    </row>
    <row r="9588" spans="1:1">
      <c r="A9588" s="27">
        <v>10</v>
      </c>
    </row>
    <row r="9589" spans="1:1">
      <c r="A9589" s="27">
        <v>0</v>
      </c>
    </row>
    <row r="9590" spans="1:1">
      <c r="A9590" s="27">
        <v>0</v>
      </c>
    </row>
    <row r="9591" spans="1:1">
      <c r="A9591" s="27">
        <v>5</v>
      </c>
    </row>
    <row r="9592" spans="1:1">
      <c r="A9592" s="27">
        <v>2</v>
      </c>
    </row>
    <row r="9593" spans="1:1">
      <c r="A9593" s="27">
        <v>321</v>
      </c>
    </row>
    <row r="9594" spans="1:1">
      <c r="A9594" s="27">
        <v>9.6999999999999993</v>
      </c>
    </row>
    <row r="9595" spans="1:1">
      <c r="A9595" s="29">
        <v>0.68819444444444444</v>
      </c>
    </row>
    <row r="9596" spans="1:1">
      <c r="A9596" s="27">
        <v>21.3</v>
      </c>
    </row>
    <row r="9597" spans="1:1">
      <c r="A9597" s="28">
        <v>48</v>
      </c>
    </row>
    <row r="9598" spans="1:1">
      <c r="A9598" s="25">
        <v>458</v>
      </c>
    </row>
    <row r="9599" spans="1:1" ht="30">
      <c r="A9599" s="26" t="s">
        <v>714</v>
      </c>
    </row>
    <row r="9600" spans="1:1">
      <c r="A9600" s="27" t="s">
        <v>653</v>
      </c>
    </row>
    <row r="9601" spans="1:1">
      <c r="A9601" s="27">
        <v>145</v>
      </c>
    </row>
    <row r="9602" spans="1:1">
      <c r="A9602" s="27">
        <v>26</v>
      </c>
    </row>
    <row r="9603" spans="1:1">
      <c r="A9603" s="27">
        <v>35</v>
      </c>
    </row>
    <row r="9604" spans="1:1">
      <c r="A9604" s="27">
        <v>61</v>
      </c>
    </row>
    <row r="9605" spans="1:1">
      <c r="A9605" s="27">
        <v>-7</v>
      </c>
    </row>
    <row r="9606" spans="1:1">
      <c r="A9606" s="27">
        <v>57</v>
      </c>
    </row>
    <row r="9607" spans="1:1">
      <c r="A9607" s="27">
        <v>0.42</v>
      </c>
    </row>
    <row r="9608" spans="1:1">
      <c r="A9608" s="27">
        <v>6</v>
      </c>
    </row>
    <row r="9609" spans="1:1">
      <c r="A9609" s="27">
        <v>10</v>
      </c>
    </row>
    <row r="9610" spans="1:1">
      <c r="A9610" s="27">
        <v>0</v>
      </c>
    </row>
    <row r="9611" spans="1:1">
      <c r="A9611" s="27">
        <v>0</v>
      </c>
    </row>
    <row r="9612" spans="1:1">
      <c r="A9612" s="27">
        <v>5</v>
      </c>
    </row>
    <row r="9613" spans="1:1">
      <c r="A9613" s="27">
        <v>1</v>
      </c>
    </row>
    <row r="9614" spans="1:1">
      <c r="A9614" s="27">
        <v>242</v>
      </c>
    </row>
    <row r="9615" spans="1:1">
      <c r="A9615" s="27">
        <v>10.7</v>
      </c>
    </row>
    <row r="9616" spans="1:1">
      <c r="A9616" s="29">
        <v>0.6</v>
      </c>
    </row>
    <row r="9617" spans="1:1">
      <c r="A9617" s="27">
        <v>19.8</v>
      </c>
    </row>
    <row r="9618" spans="1:1">
      <c r="A9618" s="28">
        <v>50.9</v>
      </c>
    </row>
    <row r="9619" spans="1:1">
      <c r="A9619" s="25">
        <v>459</v>
      </c>
    </row>
    <row r="9620" spans="1:1" ht="30">
      <c r="A9620" s="26" t="s">
        <v>484</v>
      </c>
    </row>
    <row r="9621" spans="1:1">
      <c r="A9621" s="27" t="s">
        <v>43</v>
      </c>
    </row>
    <row r="9622" spans="1:1">
      <c r="A9622" s="27">
        <v>185</v>
      </c>
    </row>
    <row r="9623" spans="1:1">
      <c r="A9623" s="27">
        <v>33</v>
      </c>
    </row>
    <row r="9624" spans="1:1">
      <c r="A9624" s="27">
        <v>27</v>
      </c>
    </row>
    <row r="9625" spans="1:1">
      <c r="A9625" s="27">
        <v>60</v>
      </c>
    </row>
    <row r="9626" spans="1:1">
      <c r="A9626" s="27">
        <v>-20</v>
      </c>
    </row>
    <row r="9627" spans="1:1">
      <c r="A9627" s="27">
        <v>49</v>
      </c>
    </row>
    <row r="9628" spans="1:1">
      <c r="A9628" s="27">
        <v>0.32</v>
      </c>
    </row>
    <row r="9629" spans="1:1">
      <c r="A9629" s="27">
        <v>5</v>
      </c>
    </row>
    <row r="9630" spans="1:1">
      <c r="A9630" s="27">
        <v>8</v>
      </c>
    </row>
    <row r="9631" spans="1:1">
      <c r="A9631" s="27">
        <v>0</v>
      </c>
    </row>
    <row r="9632" spans="1:1">
      <c r="A9632" s="27">
        <v>0</v>
      </c>
    </row>
    <row r="9633" spans="1:1">
      <c r="A9633" s="27">
        <v>5</v>
      </c>
    </row>
    <row r="9634" spans="1:1">
      <c r="A9634" s="27">
        <v>2</v>
      </c>
    </row>
    <row r="9635" spans="1:1">
      <c r="A9635" s="27">
        <v>329</v>
      </c>
    </row>
    <row r="9636" spans="1:1">
      <c r="A9636" s="27">
        <v>10</v>
      </c>
    </row>
    <row r="9637" spans="1:1">
      <c r="A9637" s="29">
        <v>0.55069444444444449</v>
      </c>
    </row>
    <row r="9638" spans="1:1">
      <c r="A9638" s="27">
        <v>19</v>
      </c>
    </row>
    <row r="9639" spans="1:1">
      <c r="A9639" s="28">
        <v>23.3</v>
      </c>
    </row>
    <row r="9640" spans="1:1">
      <c r="A9640" s="25">
        <v>460</v>
      </c>
    </row>
    <row r="9641" spans="1:1" ht="30">
      <c r="A9641" s="26" t="s">
        <v>821</v>
      </c>
    </row>
    <row r="9642" spans="1:1">
      <c r="A9642" s="27" t="s">
        <v>44</v>
      </c>
    </row>
    <row r="9643" spans="1:1">
      <c r="A9643" s="27">
        <v>162</v>
      </c>
    </row>
    <row r="9644" spans="1:1">
      <c r="A9644" s="27">
        <v>28</v>
      </c>
    </row>
    <row r="9645" spans="1:1">
      <c r="A9645" s="27">
        <v>32</v>
      </c>
    </row>
    <row r="9646" spans="1:1">
      <c r="A9646" s="27">
        <v>60</v>
      </c>
    </row>
    <row r="9647" spans="1:1">
      <c r="A9647" s="27">
        <v>12</v>
      </c>
    </row>
    <row r="9648" spans="1:1">
      <c r="A9648" s="27">
        <v>56</v>
      </c>
    </row>
    <row r="9649" spans="1:1">
      <c r="A9649" s="27">
        <v>0.37</v>
      </c>
    </row>
    <row r="9650" spans="1:1">
      <c r="A9650" s="27">
        <v>5</v>
      </c>
    </row>
    <row r="9651" spans="1:1">
      <c r="A9651" s="27">
        <v>14</v>
      </c>
    </row>
    <row r="9652" spans="1:1">
      <c r="A9652" s="27">
        <v>0</v>
      </c>
    </row>
    <row r="9653" spans="1:1">
      <c r="A9653" s="27">
        <v>0</v>
      </c>
    </row>
    <row r="9654" spans="1:1">
      <c r="A9654" s="27">
        <v>3</v>
      </c>
    </row>
    <row r="9655" spans="1:1">
      <c r="A9655" s="27">
        <v>0</v>
      </c>
    </row>
    <row r="9656" spans="1:1">
      <c r="A9656" s="27">
        <v>297</v>
      </c>
    </row>
    <row r="9657" spans="1:1">
      <c r="A9657" s="27">
        <v>9.4</v>
      </c>
    </row>
    <row r="9658" spans="1:1">
      <c r="A9658" s="29">
        <v>0.5444444444444444</v>
      </c>
    </row>
    <row r="9659" spans="1:1">
      <c r="A9659" s="27">
        <v>18.2</v>
      </c>
    </row>
    <row r="9660" spans="1:1">
      <c r="A9660" s="28">
        <v>44.4</v>
      </c>
    </row>
    <row r="9661" spans="1:1">
      <c r="A9661" s="25">
        <v>461</v>
      </c>
    </row>
    <row r="9662" spans="1:1" ht="30">
      <c r="A9662" s="26" t="s">
        <v>684</v>
      </c>
    </row>
    <row r="9663" spans="1:1">
      <c r="A9663" s="27" t="s">
        <v>43</v>
      </c>
    </row>
    <row r="9664" spans="1:1">
      <c r="A9664" s="27">
        <v>235</v>
      </c>
    </row>
    <row r="9665" spans="1:1">
      <c r="A9665" s="27">
        <v>24</v>
      </c>
    </row>
    <row r="9666" spans="1:1">
      <c r="A9666" s="27">
        <v>36</v>
      </c>
    </row>
    <row r="9667" spans="1:1">
      <c r="A9667" s="27">
        <v>60</v>
      </c>
    </row>
    <row r="9668" spans="1:1">
      <c r="A9668" s="27">
        <v>7</v>
      </c>
    </row>
    <row r="9669" spans="1:1">
      <c r="A9669" s="27">
        <v>195</v>
      </c>
    </row>
    <row r="9670" spans="1:1">
      <c r="A9670" s="27">
        <v>0.26</v>
      </c>
    </row>
    <row r="9671" spans="1:1">
      <c r="A9671" s="27">
        <v>0</v>
      </c>
    </row>
    <row r="9672" spans="1:1">
      <c r="A9672" s="27">
        <v>0</v>
      </c>
    </row>
    <row r="9673" spans="1:1">
      <c r="A9673" s="27">
        <v>2</v>
      </c>
    </row>
    <row r="9674" spans="1:1">
      <c r="A9674" s="27">
        <v>5</v>
      </c>
    </row>
    <row r="9675" spans="1:1">
      <c r="A9675" s="27">
        <v>8</v>
      </c>
    </row>
    <row r="9676" spans="1:1">
      <c r="A9676" s="27">
        <v>0</v>
      </c>
    </row>
    <row r="9677" spans="1:1">
      <c r="A9677" s="27">
        <v>260</v>
      </c>
    </row>
    <row r="9678" spans="1:1">
      <c r="A9678" s="27">
        <v>9.1999999999999993</v>
      </c>
    </row>
    <row r="9679" spans="1:1">
      <c r="A9679" s="29">
        <v>0.4770833333333333</v>
      </c>
    </row>
    <row r="9680" spans="1:1">
      <c r="A9680" s="27">
        <v>17.399999999999999</v>
      </c>
    </row>
    <row r="9681" spans="1:1">
      <c r="A9681" s="28">
        <v>54.8</v>
      </c>
    </row>
    <row r="9682" spans="1:1">
      <c r="A9682" s="25">
        <v>462</v>
      </c>
    </row>
    <row r="9683" spans="1:1" ht="45">
      <c r="A9683" s="26" t="s">
        <v>237</v>
      </c>
    </row>
    <row r="9684" spans="1:1">
      <c r="A9684" s="27" t="s">
        <v>42</v>
      </c>
    </row>
    <row r="9685" spans="1:1">
      <c r="A9685" s="27">
        <v>297</v>
      </c>
    </row>
    <row r="9686" spans="1:1">
      <c r="A9686" s="27">
        <v>15</v>
      </c>
    </row>
    <row r="9687" spans="1:1">
      <c r="A9687" s="27">
        <v>45</v>
      </c>
    </row>
    <row r="9688" spans="1:1">
      <c r="A9688" s="27">
        <v>60</v>
      </c>
    </row>
    <row r="9689" spans="1:1">
      <c r="A9689" s="27">
        <v>22</v>
      </c>
    </row>
    <row r="9690" spans="1:1">
      <c r="A9690" s="27">
        <v>289</v>
      </c>
    </row>
    <row r="9691" spans="1:1">
      <c r="A9691" s="27">
        <v>0.2</v>
      </c>
    </row>
    <row r="9692" spans="1:1">
      <c r="A9692" s="27">
        <v>0</v>
      </c>
    </row>
    <row r="9693" spans="1:1">
      <c r="A9693" s="27">
        <v>0</v>
      </c>
    </row>
    <row r="9694" spans="1:1">
      <c r="A9694" s="27">
        <v>0</v>
      </c>
    </row>
    <row r="9695" spans="1:1">
      <c r="A9695" s="27">
        <v>0</v>
      </c>
    </row>
    <row r="9696" spans="1:1">
      <c r="A9696" s="27">
        <v>2</v>
      </c>
    </row>
    <row r="9697" spans="1:1">
      <c r="A9697" s="27">
        <v>0</v>
      </c>
    </row>
    <row r="9698" spans="1:1">
      <c r="A9698" s="27">
        <v>436</v>
      </c>
    </row>
    <row r="9699" spans="1:1">
      <c r="A9699" s="27">
        <v>3.4</v>
      </c>
    </row>
    <row r="9700" spans="1:1">
      <c r="A9700" s="29">
        <v>0.7583333333333333</v>
      </c>
    </row>
    <row r="9701" spans="1:1">
      <c r="A9701" s="27">
        <v>24.6</v>
      </c>
    </row>
    <row r="9702" spans="1:1">
      <c r="A9702" s="28">
        <v>0</v>
      </c>
    </row>
    <row r="9703" spans="1:1">
      <c r="A9703" s="25">
        <v>463</v>
      </c>
    </row>
    <row r="9704" spans="1:1" ht="30">
      <c r="A9704" s="26" t="s">
        <v>70</v>
      </c>
    </row>
    <row r="9705" spans="1:1">
      <c r="A9705" s="27" t="s">
        <v>42</v>
      </c>
    </row>
    <row r="9706" spans="1:1">
      <c r="A9706" s="27">
        <v>106</v>
      </c>
    </row>
    <row r="9707" spans="1:1">
      <c r="A9707" s="27">
        <v>10</v>
      </c>
    </row>
    <row r="9708" spans="1:1">
      <c r="A9708" s="27">
        <v>50</v>
      </c>
    </row>
    <row r="9709" spans="1:1">
      <c r="A9709" s="27">
        <v>60</v>
      </c>
    </row>
    <row r="9710" spans="1:1">
      <c r="A9710" s="27">
        <v>-11</v>
      </c>
    </row>
    <row r="9711" spans="1:1">
      <c r="A9711" s="27">
        <v>54</v>
      </c>
    </row>
    <row r="9712" spans="1:1">
      <c r="A9712" s="27">
        <v>0.56999999999999995</v>
      </c>
    </row>
    <row r="9713" spans="1:1">
      <c r="A9713" s="27">
        <v>5</v>
      </c>
    </row>
    <row r="9714" spans="1:1">
      <c r="A9714" s="27">
        <v>27</v>
      </c>
    </row>
    <row r="9715" spans="1:1">
      <c r="A9715" s="27">
        <v>0</v>
      </c>
    </row>
    <row r="9716" spans="1:1">
      <c r="A9716" s="27">
        <v>0</v>
      </c>
    </row>
    <row r="9717" spans="1:1">
      <c r="A9717" s="27">
        <v>4</v>
      </c>
    </row>
    <row r="9718" spans="1:1">
      <c r="A9718" s="27">
        <v>0</v>
      </c>
    </row>
    <row r="9719" spans="1:1">
      <c r="A9719" s="27">
        <v>210</v>
      </c>
    </row>
    <row r="9720" spans="1:1">
      <c r="A9720" s="27">
        <v>4.8</v>
      </c>
    </row>
    <row r="9721" spans="1:1">
      <c r="A9721" s="29">
        <v>0.86111111111111116</v>
      </c>
    </row>
    <row r="9722" spans="1:1">
      <c r="A9722" s="27">
        <v>22.7</v>
      </c>
    </row>
    <row r="9723" spans="1:1">
      <c r="A9723" s="28">
        <v>0</v>
      </c>
    </row>
    <row r="9724" spans="1:1">
      <c r="A9724" s="25">
        <v>464</v>
      </c>
    </row>
    <row r="9725" spans="1:1" ht="30">
      <c r="A9725" s="26" t="s">
        <v>328</v>
      </c>
    </row>
    <row r="9726" spans="1:1">
      <c r="A9726" s="27" t="s">
        <v>42</v>
      </c>
    </row>
    <row r="9727" spans="1:1">
      <c r="A9727" s="27">
        <v>182</v>
      </c>
    </row>
    <row r="9728" spans="1:1">
      <c r="A9728" s="27">
        <v>9</v>
      </c>
    </row>
    <row r="9729" spans="1:1">
      <c r="A9729" s="27">
        <v>51</v>
      </c>
    </row>
    <row r="9730" spans="1:1">
      <c r="A9730" s="27">
        <v>60</v>
      </c>
    </row>
    <row r="9731" spans="1:1">
      <c r="A9731" s="27">
        <v>0</v>
      </c>
    </row>
    <row r="9732" spans="1:1">
      <c r="A9732" s="27">
        <v>21</v>
      </c>
    </row>
    <row r="9733" spans="1:1">
      <c r="A9733" s="27">
        <v>0.33</v>
      </c>
    </row>
    <row r="9734" spans="1:1">
      <c r="A9734" s="27">
        <v>2</v>
      </c>
    </row>
    <row r="9735" spans="1:1">
      <c r="A9735" s="27">
        <v>25</v>
      </c>
    </row>
    <row r="9736" spans="1:1">
      <c r="A9736" s="27">
        <v>0</v>
      </c>
    </row>
    <row r="9737" spans="1:1">
      <c r="A9737" s="27">
        <v>0</v>
      </c>
    </row>
    <row r="9738" spans="1:1">
      <c r="A9738" s="27">
        <v>0</v>
      </c>
    </row>
    <row r="9739" spans="1:1">
      <c r="A9739" s="27">
        <v>0</v>
      </c>
    </row>
    <row r="9740" spans="1:1">
      <c r="A9740" s="27">
        <v>238</v>
      </c>
    </row>
    <row r="9741" spans="1:1">
      <c r="A9741" s="27">
        <v>3.8</v>
      </c>
    </row>
    <row r="9742" spans="1:1">
      <c r="A9742" s="29">
        <v>0.80208333333333337</v>
      </c>
    </row>
    <row r="9743" spans="1:1">
      <c r="A9743" s="27">
        <v>23.5</v>
      </c>
    </row>
    <row r="9744" spans="1:1">
      <c r="A9744" s="28">
        <v>100</v>
      </c>
    </row>
    <row r="9745" spans="1:1">
      <c r="A9745" s="25">
        <v>465</v>
      </c>
    </row>
    <row r="9746" spans="1:1" ht="30">
      <c r="A9746" s="26" t="s">
        <v>200</v>
      </c>
    </row>
    <row r="9747" spans="1:1">
      <c r="A9747" s="27" t="s">
        <v>42</v>
      </c>
    </row>
    <row r="9748" spans="1:1">
      <c r="A9748" s="27">
        <v>235</v>
      </c>
    </row>
    <row r="9749" spans="1:1">
      <c r="A9749" s="27">
        <v>12</v>
      </c>
    </row>
    <row r="9750" spans="1:1">
      <c r="A9750" s="27">
        <v>47</v>
      </c>
    </row>
    <row r="9751" spans="1:1">
      <c r="A9751" s="27">
        <v>59</v>
      </c>
    </row>
    <row r="9752" spans="1:1">
      <c r="A9752" s="27">
        <v>24</v>
      </c>
    </row>
    <row r="9753" spans="1:1">
      <c r="A9753" s="27">
        <v>74</v>
      </c>
    </row>
    <row r="9754" spans="1:1">
      <c r="A9754" s="27">
        <v>0.25</v>
      </c>
    </row>
    <row r="9755" spans="1:1">
      <c r="A9755" s="27">
        <v>0</v>
      </c>
    </row>
    <row r="9756" spans="1:1">
      <c r="A9756" s="27">
        <v>2</v>
      </c>
    </row>
    <row r="9757" spans="1:1">
      <c r="A9757" s="27">
        <v>0</v>
      </c>
    </row>
    <row r="9758" spans="1:1">
      <c r="A9758" s="27">
        <v>2</v>
      </c>
    </row>
    <row r="9759" spans="1:1">
      <c r="A9759" s="27">
        <v>1</v>
      </c>
    </row>
    <row r="9760" spans="1:1">
      <c r="A9760" s="27">
        <v>0</v>
      </c>
    </row>
    <row r="9761" spans="1:1">
      <c r="A9761" s="27">
        <v>296</v>
      </c>
    </row>
    <row r="9762" spans="1:1">
      <c r="A9762" s="27">
        <v>4</v>
      </c>
    </row>
    <row r="9763" spans="1:1">
      <c r="A9763" s="29">
        <v>0.78055555555555556</v>
      </c>
    </row>
    <row r="9764" spans="1:1">
      <c r="A9764" s="27">
        <v>23.3</v>
      </c>
    </row>
    <row r="9765" spans="1:1">
      <c r="A9765" s="28">
        <v>0</v>
      </c>
    </row>
    <row r="9766" spans="1:1">
      <c r="A9766" s="25">
        <v>466</v>
      </c>
    </row>
    <row r="9767" spans="1:1" ht="30">
      <c r="A9767" s="26" t="s">
        <v>883</v>
      </c>
    </row>
    <row r="9768" spans="1:1">
      <c r="A9768" s="27" t="s">
        <v>653</v>
      </c>
    </row>
    <row r="9769" spans="1:1">
      <c r="A9769" s="27">
        <v>209</v>
      </c>
    </row>
    <row r="9770" spans="1:1">
      <c r="A9770" s="27">
        <v>35</v>
      </c>
    </row>
    <row r="9771" spans="1:1">
      <c r="A9771" s="27">
        <v>23</v>
      </c>
    </row>
    <row r="9772" spans="1:1">
      <c r="A9772" s="27">
        <v>58</v>
      </c>
    </row>
    <row r="9773" spans="1:1">
      <c r="A9773" s="27">
        <v>-2</v>
      </c>
    </row>
    <row r="9774" spans="1:1">
      <c r="A9774" s="27">
        <v>54</v>
      </c>
    </row>
    <row r="9775" spans="1:1">
      <c r="A9775" s="27">
        <v>0.28000000000000003</v>
      </c>
    </row>
    <row r="9776" spans="1:1">
      <c r="A9776" s="27">
        <v>1</v>
      </c>
    </row>
    <row r="9777" spans="1:1">
      <c r="A9777" s="27">
        <v>1</v>
      </c>
    </row>
    <row r="9778" spans="1:1">
      <c r="A9778" s="27">
        <v>0</v>
      </c>
    </row>
    <row r="9779" spans="1:1">
      <c r="A9779" s="27">
        <v>1</v>
      </c>
    </row>
    <row r="9780" spans="1:1">
      <c r="A9780" s="27">
        <v>5</v>
      </c>
    </row>
    <row r="9781" spans="1:1">
      <c r="A9781" s="27">
        <v>0</v>
      </c>
    </row>
    <row r="9782" spans="1:1">
      <c r="A9782" s="27">
        <v>308</v>
      </c>
    </row>
    <row r="9783" spans="1:1">
      <c r="A9783" s="27">
        <v>11.4</v>
      </c>
    </row>
    <row r="9784" spans="1:1">
      <c r="A9784" s="29">
        <v>0.51597222222222217</v>
      </c>
    </row>
    <row r="9785" spans="1:1">
      <c r="A9785" s="27">
        <v>19.100000000000001</v>
      </c>
    </row>
    <row r="9786" spans="1:1">
      <c r="A9786" s="28">
        <v>37.200000000000003</v>
      </c>
    </row>
    <row r="9787" spans="1:1">
      <c r="A9787" s="25">
        <v>467</v>
      </c>
    </row>
    <row r="9788" spans="1:1" ht="30">
      <c r="A9788" s="26" t="s">
        <v>931</v>
      </c>
    </row>
    <row r="9789" spans="1:1">
      <c r="A9789" s="27" t="s">
        <v>43</v>
      </c>
    </row>
    <row r="9790" spans="1:1">
      <c r="A9790" s="27">
        <v>256</v>
      </c>
    </row>
    <row r="9791" spans="1:1">
      <c r="A9791" s="27">
        <v>35</v>
      </c>
    </row>
    <row r="9792" spans="1:1">
      <c r="A9792" s="27">
        <v>23</v>
      </c>
    </row>
    <row r="9793" spans="1:1">
      <c r="A9793" s="27">
        <v>58</v>
      </c>
    </row>
    <row r="9794" spans="1:1">
      <c r="A9794" s="27">
        <v>1</v>
      </c>
    </row>
    <row r="9795" spans="1:1">
      <c r="A9795" s="27">
        <v>173</v>
      </c>
    </row>
    <row r="9796" spans="1:1">
      <c r="A9796" s="27">
        <v>0.23</v>
      </c>
    </row>
    <row r="9797" spans="1:1">
      <c r="A9797" s="27">
        <v>4</v>
      </c>
    </row>
    <row r="9798" spans="1:1">
      <c r="A9798" s="27">
        <v>8</v>
      </c>
    </row>
    <row r="9799" spans="1:1">
      <c r="A9799" s="27">
        <v>0</v>
      </c>
    </row>
    <row r="9800" spans="1:1">
      <c r="A9800" s="27">
        <v>0</v>
      </c>
    </row>
    <row r="9801" spans="1:1">
      <c r="A9801" s="27">
        <v>6</v>
      </c>
    </row>
    <row r="9802" spans="1:1">
      <c r="A9802" s="27">
        <v>0</v>
      </c>
    </row>
    <row r="9803" spans="1:1">
      <c r="A9803" s="27">
        <v>456</v>
      </c>
    </row>
    <row r="9804" spans="1:1">
      <c r="A9804" s="27">
        <v>7.7</v>
      </c>
    </row>
    <row r="9805" spans="1:1">
      <c r="A9805" s="29">
        <v>0.48402777777777778</v>
      </c>
    </row>
    <row r="9806" spans="1:1">
      <c r="A9806" s="27">
        <v>17.3</v>
      </c>
    </row>
    <row r="9807" spans="1:1">
      <c r="A9807" s="28">
        <v>22.2</v>
      </c>
    </row>
    <row r="9808" spans="1:1">
      <c r="A9808" s="25">
        <v>468</v>
      </c>
    </row>
    <row r="9809" spans="1:1" ht="30">
      <c r="A9809" s="26" t="s">
        <v>331</v>
      </c>
    </row>
    <row r="9810" spans="1:1">
      <c r="A9810" s="27" t="s">
        <v>653</v>
      </c>
    </row>
    <row r="9811" spans="1:1">
      <c r="A9811" s="27">
        <v>165</v>
      </c>
    </row>
    <row r="9812" spans="1:1">
      <c r="A9812" s="27">
        <v>29</v>
      </c>
    </row>
    <row r="9813" spans="1:1">
      <c r="A9813" s="27">
        <v>29</v>
      </c>
    </row>
    <row r="9814" spans="1:1">
      <c r="A9814" s="27">
        <v>58</v>
      </c>
    </row>
    <row r="9815" spans="1:1">
      <c r="A9815" s="27">
        <v>-12</v>
      </c>
    </row>
    <row r="9816" spans="1:1">
      <c r="A9816" s="27">
        <v>52</v>
      </c>
    </row>
    <row r="9817" spans="1:1">
      <c r="A9817" s="27">
        <v>0.35</v>
      </c>
    </row>
    <row r="9818" spans="1:1">
      <c r="A9818" s="27">
        <v>9</v>
      </c>
    </row>
    <row r="9819" spans="1:1">
      <c r="A9819" s="27">
        <v>14</v>
      </c>
    </row>
    <row r="9820" spans="1:1">
      <c r="A9820" s="27">
        <v>0</v>
      </c>
    </row>
    <row r="9821" spans="1:1">
      <c r="A9821" s="27">
        <v>0</v>
      </c>
    </row>
    <row r="9822" spans="1:1">
      <c r="A9822" s="27">
        <v>4</v>
      </c>
    </row>
    <row r="9823" spans="1:1">
      <c r="A9823" s="27">
        <v>0</v>
      </c>
    </row>
    <row r="9824" spans="1:1">
      <c r="A9824" s="27">
        <v>283</v>
      </c>
    </row>
    <row r="9825" spans="1:1">
      <c r="A9825" s="27">
        <v>10.199999999999999</v>
      </c>
    </row>
    <row r="9826" spans="1:1">
      <c r="A9826" s="29">
        <v>0.5756944444444444</v>
      </c>
    </row>
    <row r="9827" spans="1:1">
      <c r="A9827" s="27">
        <v>17.399999999999999</v>
      </c>
    </row>
    <row r="9828" spans="1:1">
      <c r="A9828" s="28">
        <v>36.299999999999997</v>
      </c>
    </row>
    <row r="9829" spans="1:1">
      <c r="A9829" s="25">
        <v>469</v>
      </c>
    </row>
    <row r="9830" spans="1:1" ht="30">
      <c r="A9830" s="26" t="s">
        <v>99</v>
      </c>
    </row>
    <row r="9831" spans="1:1">
      <c r="A9831" s="27" t="s">
        <v>653</v>
      </c>
    </row>
    <row r="9832" spans="1:1">
      <c r="A9832" s="27">
        <v>189</v>
      </c>
    </row>
    <row r="9833" spans="1:1">
      <c r="A9833" s="27">
        <v>27</v>
      </c>
    </row>
    <row r="9834" spans="1:1">
      <c r="A9834" s="27">
        <v>31</v>
      </c>
    </row>
    <row r="9835" spans="1:1">
      <c r="A9835" s="27">
        <v>58</v>
      </c>
    </row>
    <row r="9836" spans="1:1">
      <c r="A9836" s="27">
        <v>-17</v>
      </c>
    </row>
    <row r="9837" spans="1:1">
      <c r="A9837" s="27">
        <v>52</v>
      </c>
    </row>
    <row r="9838" spans="1:1">
      <c r="A9838" s="27">
        <v>0.31</v>
      </c>
    </row>
    <row r="9839" spans="1:1">
      <c r="A9839" s="27">
        <v>7</v>
      </c>
    </row>
    <row r="9840" spans="1:1">
      <c r="A9840" s="27">
        <v>11</v>
      </c>
    </row>
    <row r="9841" spans="1:1">
      <c r="A9841" s="27">
        <v>0</v>
      </c>
    </row>
    <row r="9842" spans="1:1">
      <c r="A9842" s="27">
        <v>0</v>
      </c>
    </row>
    <row r="9843" spans="1:1">
      <c r="A9843" s="27">
        <v>4</v>
      </c>
    </row>
    <row r="9844" spans="1:1">
      <c r="A9844" s="27">
        <v>1</v>
      </c>
    </row>
    <row r="9845" spans="1:1">
      <c r="A9845" s="27">
        <v>265</v>
      </c>
    </row>
    <row r="9846" spans="1:1">
      <c r="A9846" s="27">
        <v>10.199999999999999</v>
      </c>
    </row>
    <row r="9847" spans="1:1">
      <c r="A9847" s="29">
        <v>0.54513888888888895</v>
      </c>
    </row>
    <row r="9848" spans="1:1">
      <c r="A9848" s="27">
        <v>17.600000000000001</v>
      </c>
    </row>
    <row r="9849" spans="1:1">
      <c r="A9849" s="28">
        <v>53.4</v>
      </c>
    </row>
    <row r="9850" spans="1:1">
      <c r="A9850" s="25">
        <v>470</v>
      </c>
    </row>
    <row r="9851" spans="1:1" ht="30">
      <c r="A9851" s="26" t="s">
        <v>1144</v>
      </c>
    </row>
    <row r="9852" spans="1:1">
      <c r="A9852" s="27" t="s">
        <v>42</v>
      </c>
    </row>
    <row r="9853" spans="1:1">
      <c r="A9853" s="27">
        <v>229</v>
      </c>
    </row>
    <row r="9854" spans="1:1">
      <c r="A9854" s="27">
        <v>14</v>
      </c>
    </row>
    <row r="9855" spans="1:1">
      <c r="A9855" s="27">
        <v>44</v>
      </c>
    </row>
    <row r="9856" spans="1:1">
      <c r="A9856" s="27">
        <v>58</v>
      </c>
    </row>
    <row r="9857" spans="1:1">
      <c r="A9857" s="27">
        <v>32</v>
      </c>
    </row>
    <row r="9858" spans="1:1">
      <c r="A9858" s="27">
        <v>121</v>
      </c>
    </row>
    <row r="9859" spans="1:1">
      <c r="A9859" s="27">
        <v>0.25</v>
      </c>
    </row>
    <row r="9860" spans="1:1">
      <c r="A9860" s="27">
        <v>1</v>
      </c>
    </row>
    <row r="9861" spans="1:1">
      <c r="A9861" s="27">
        <v>6</v>
      </c>
    </row>
    <row r="9862" spans="1:1">
      <c r="A9862" s="27">
        <v>0</v>
      </c>
    </row>
    <row r="9863" spans="1:1">
      <c r="A9863" s="27">
        <v>2</v>
      </c>
    </row>
    <row r="9864" spans="1:1">
      <c r="A9864" s="27">
        <v>2</v>
      </c>
    </row>
    <row r="9865" spans="1:1">
      <c r="A9865" s="27">
        <v>0</v>
      </c>
    </row>
    <row r="9866" spans="1:1">
      <c r="A9866" s="27">
        <v>292</v>
      </c>
    </row>
    <row r="9867" spans="1:1">
      <c r="A9867" s="27">
        <v>4.8</v>
      </c>
    </row>
    <row r="9868" spans="1:1">
      <c r="A9868" s="29">
        <v>0.66736111111111107</v>
      </c>
    </row>
    <row r="9869" spans="1:1">
      <c r="A9869" s="27">
        <v>22.2</v>
      </c>
    </row>
    <row r="9870" spans="1:1">
      <c r="A9870" s="28">
        <v>0</v>
      </c>
    </row>
    <row r="9871" spans="1:1">
      <c r="A9871" s="25">
        <v>471</v>
      </c>
    </row>
    <row r="9872" spans="1:1" ht="45">
      <c r="A9872" s="26" t="s">
        <v>532</v>
      </c>
    </row>
    <row r="9873" spans="1:1">
      <c r="A9873" s="27" t="s">
        <v>653</v>
      </c>
    </row>
    <row r="9874" spans="1:1">
      <c r="A9874" s="27">
        <v>178</v>
      </c>
    </row>
    <row r="9875" spans="1:1">
      <c r="A9875" s="27">
        <v>31</v>
      </c>
    </row>
    <row r="9876" spans="1:1">
      <c r="A9876" s="27">
        <v>26</v>
      </c>
    </row>
    <row r="9877" spans="1:1">
      <c r="A9877" s="27">
        <v>57</v>
      </c>
    </row>
    <row r="9878" spans="1:1">
      <c r="A9878" s="27">
        <v>-13</v>
      </c>
    </row>
    <row r="9879" spans="1:1">
      <c r="A9879" s="27">
        <v>51</v>
      </c>
    </row>
    <row r="9880" spans="1:1">
      <c r="A9880" s="27">
        <v>0.32</v>
      </c>
    </row>
    <row r="9881" spans="1:1">
      <c r="A9881" s="27">
        <v>2</v>
      </c>
    </row>
    <row r="9882" spans="1:1">
      <c r="A9882" s="27">
        <v>3</v>
      </c>
    </row>
    <row r="9883" spans="1:1">
      <c r="A9883" s="27">
        <v>7</v>
      </c>
    </row>
    <row r="9884" spans="1:1">
      <c r="A9884" s="27">
        <v>10</v>
      </c>
    </row>
    <row r="9885" spans="1:1">
      <c r="A9885" s="27">
        <v>4</v>
      </c>
    </row>
    <row r="9886" spans="1:1">
      <c r="A9886" s="27">
        <v>0</v>
      </c>
    </row>
    <row r="9887" spans="1:1">
      <c r="A9887" s="27">
        <v>231</v>
      </c>
    </row>
    <row r="9888" spans="1:1">
      <c r="A9888" s="27">
        <v>13.4</v>
      </c>
    </row>
    <row r="9889" spans="1:1">
      <c r="A9889" s="29">
        <v>0.52708333333333335</v>
      </c>
    </row>
    <row r="9890" spans="1:1">
      <c r="A9890" s="27">
        <v>17.600000000000001</v>
      </c>
    </row>
    <row r="9891" spans="1:1">
      <c r="A9891" s="28">
        <v>50.5</v>
      </c>
    </row>
    <row r="9892" spans="1:1">
      <c r="A9892" s="25">
        <v>472</v>
      </c>
    </row>
    <row r="9893" spans="1:1" ht="45">
      <c r="A9893" s="26" t="s">
        <v>226</v>
      </c>
    </row>
    <row r="9894" spans="1:1">
      <c r="A9894" s="27" t="s">
        <v>44</v>
      </c>
    </row>
    <row r="9895" spans="1:1">
      <c r="A9895" s="27">
        <v>132</v>
      </c>
    </row>
    <row r="9896" spans="1:1">
      <c r="A9896" s="27">
        <v>30</v>
      </c>
    </row>
    <row r="9897" spans="1:1">
      <c r="A9897" s="27">
        <v>27</v>
      </c>
    </row>
    <row r="9898" spans="1:1">
      <c r="A9898" s="27">
        <v>57</v>
      </c>
    </row>
    <row r="9899" spans="1:1">
      <c r="A9899" s="27">
        <v>-2</v>
      </c>
    </row>
    <row r="9900" spans="1:1">
      <c r="A9900" s="27">
        <v>32</v>
      </c>
    </row>
    <row r="9901" spans="1:1">
      <c r="A9901" s="27">
        <v>0.43</v>
      </c>
    </row>
    <row r="9902" spans="1:1">
      <c r="A9902" s="27">
        <v>5</v>
      </c>
    </row>
    <row r="9903" spans="1:1">
      <c r="A9903" s="27">
        <v>8</v>
      </c>
    </row>
    <row r="9904" spans="1:1">
      <c r="A9904" s="27">
        <v>0</v>
      </c>
    </row>
    <row r="9905" spans="1:1">
      <c r="A9905" s="27">
        <v>0</v>
      </c>
    </row>
    <row r="9906" spans="1:1">
      <c r="A9906" s="27">
        <v>3</v>
      </c>
    </row>
    <row r="9907" spans="1:1">
      <c r="A9907" s="27">
        <v>0</v>
      </c>
    </row>
    <row r="9908" spans="1:1">
      <c r="A9908" s="27">
        <v>265</v>
      </c>
    </row>
    <row r="9909" spans="1:1">
      <c r="A9909" s="27">
        <v>11.3</v>
      </c>
    </row>
    <row r="9910" spans="1:1">
      <c r="A9910" s="29">
        <v>0.6118055555555556</v>
      </c>
    </row>
    <row r="9911" spans="1:1">
      <c r="A9911" s="27">
        <v>20.399999999999999</v>
      </c>
    </row>
    <row r="9912" spans="1:1">
      <c r="A9912" s="28">
        <v>38.1</v>
      </c>
    </row>
    <row r="9913" spans="1:1">
      <c r="A9913" s="25">
        <v>473</v>
      </c>
    </row>
    <row r="9914" spans="1:1" ht="30">
      <c r="A9914" s="26" t="s">
        <v>110</v>
      </c>
    </row>
    <row r="9915" spans="1:1">
      <c r="A9915" s="27" t="s">
        <v>653</v>
      </c>
    </row>
    <row r="9916" spans="1:1">
      <c r="A9916" s="27">
        <v>173</v>
      </c>
    </row>
    <row r="9917" spans="1:1">
      <c r="A9917" s="27">
        <v>27</v>
      </c>
    </row>
    <row r="9918" spans="1:1">
      <c r="A9918" s="27">
        <v>30</v>
      </c>
    </row>
    <row r="9919" spans="1:1">
      <c r="A9919" s="27">
        <v>57</v>
      </c>
    </row>
    <row r="9920" spans="1:1">
      <c r="A9920" s="27">
        <v>-17</v>
      </c>
    </row>
    <row r="9921" spans="1:1">
      <c r="A9921" s="27">
        <v>34</v>
      </c>
    </row>
    <row r="9922" spans="1:1">
      <c r="A9922" s="27">
        <v>0.33</v>
      </c>
    </row>
    <row r="9923" spans="1:1">
      <c r="A9923" s="27">
        <v>4</v>
      </c>
    </row>
    <row r="9924" spans="1:1">
      <c r="A9924" s="27">
        <v>10</v>
      </c>
    </row>
    <row r="9925" spans="1:1">
      <c r="A9925" s="27">
        <v>0</v>
      </c>
    </row>
    <row r="9926" spans="1:1">
      <c r="A9926" s="27">
        <v>1</v>
      </c>
    </row>
    <row r="9927" spans="1:1">
      <c r="A9927" s="27">
        <v>4</v>
      </c>
    </row>
    <row r="9928" spans="1:1">
      <c r="A9928" s="27">
        <v>1</v>
      </c>
    </row>
    <row r="9929" spans="1:1">
      <c r="A9929" s="27">
        <v>250</v>
      </c>
    </row>
    <row r="9930" spans="1:1">
      <c r="A9930" s="27">
        <v>10.8</v>
      </c>
    </row>
    <row r="9931" spans="1:1">
      <c r="A9931" s="29">
        <v>0.53263888888888888</v>
      </c>
    </row>
    <row r="9932" spans="1:1">
      <c r="A9932" s="27">
        <v>17.899999999999999</v>
      </c>
    </row>
    <row r="9933" spans="1:1">
      <c r="A9933" s="28">
        <v>38.200000000000003</v>
      </c>
    </row>
    <row r="9934" spans="1:1">
      <c r="A9934" s="25">
        <v>474</v>
      </c>
    </row>
    <row r="9935" spans="1:1" ht="30">
      <c r="A9935" s="26" t="s">
        <v>141</v>
      </c>
    </row>
    <row r="9936" spans="1:1">
      <c r="A9936" s="27" t="s">
        <v>42</v>
      </c>
    </row>
    <row r="9937" spans="1:1">
      <c r="A9937" s="27">
        <v>239</v>
      </c>
    </row>
    <row r="9938" spans="1:1">
      <c r="A9938" s="27">
        <v>7</v>
      </c>
    </row>
    <row r="9939" spans="1:1">
      <c r="A9939" s="27">
        <v>50</v>
      </c>
    </row>
    <row r="9940" spans="1:1">
      <c r="A9940" s="27">
        <v>57</v>
      </c>
    </row>
    <row r="9941" spans="1:1">
      <c r="A9941" s="27">
        <v>2</v>
      </c>
    </row>
    <row r="9942" spans="1:1">
      <c r="A9942" s="27">
        <v>111</v>
      </c>
    </row>
    <row r="9943" spans="1:1">
      <c r="A9943" s="27">
        <v>0.24</v>
      </c>
    </row>
    <row r="9944" spans="1:1">
      <c r="A9944" s="27">
        <v>2</v>
      </c>
    </row>
    <row r="9945" spans="1:1">
      <c r="A9945" s="27">
        <v>10</v>
      </c>
    </row>
    <row r="9946" spans="1:1">
      <c r="A9946" s="27">
        <v>0</v>
      </c>
    </row>
    <row r="9947" spans="1:1">
      <c r="A9947" s="27">
        <v>1</v>
      </c>
    </row>
    <row r="9948" spans="1:1">
      <c r="A9948" s="27">
        <v>0</v>
      </c>
    </row>
    <row r="9949" spans="1:1">
      <c r="A9949" s="27">
        <v>0</v>
      </c>
    </row>
    <row r="9950" spans="1:1">
      <c r="A9950" s="27">
        <v>288</v>
      </c>
    </row>
    <row r="9951" spans="1:1">
      <c r="A9951" s="27">
        <v>2.4</v>
      </c>
    </row>
    <row r="9952" spans="1:1">
      <c r="A9952" s="29">
        <v>0.69027777777777777</v>
      </c>
    </row>
    <row r="9953" spans="1:1">
      <c r="A9953" s="27">
        <v>22.4</v>
      </c>
    </row>
    <row r="9954" spans="1:1">
      <c r="A9954" s="28">
        <v>0</v>
      </c>
    </row>
    <row r="9955" spans="1:1">
      <c r="A9955" s="25">
        <v>475</v>
      </c>
    </row>
    <row r="9956" spans="1:1" ht="30">
      <c r="A9956" s="26" t="s">
        <v>560</v>
      </c>
    </row>
    <row r="9957" spans="1:1">
      <c r="A9957" s="27" t="s">
        <v>653</v>
      </c>
    </row>
    <row r="9958" spans="1:1">
      <c r="A9958" s="27">
        <v>236</v>
      </c>
    </row>
    <row r="9959" spans="1:1">
      <c r="A9959" s="27">
        <v>24</v>
      </c>
    </row>
    <row r="9960" spans="1:1">
      <c r="A9960" s="27">
        <v>32</v>
      </c>
    </row>
    <row r="9961" spans="1:1">
      <c r="A9961" s="27">
        <v>56</v>
      </c>
    </row>
    <row r="9962" spans="1:1">
      <c r="A9962" s="27">
        <v>-19</v>
      </c>
    </row>
    <row r="9963" spans="1:1">
      <c r="A9963" s="27">
        <v>70</v>
      </c>
    </row>
    <row r="9964" spans="1:1">
      <c r="A9964" s="27">
        <v>0.24</v>
      </c>
    </row>
    <row r="9965" spans="1:1">
      <c r="A9965" s="27">
        <v>3</v>
      </c>
    </row>
    <row r="9966" spans="1:1">
      <c r="A9966" s="27">
        <v>3</v>
      </c>
    </row>
    <row r="9967" spans="1:1">
      <c r="A9967" s="27">
        <v>2</v>
      </c>
    </row>
    <row r="9968" spans="1:1">
      <c r="A9968" s="27">
        <v>4</v>
      </c>
    </row>
    <row r="9969" spans="1:1">
      <c r="A9969" s="27">
        <v>3</v>
      </c>
    </row>
    <row r="9970" spans="1:1">
      <c r="A9970" s="27">
        <v>0</v>
      </c>
    </row>
    <row r="9971" spans="1:1">
      <c r="A9971" s="27">
        <v>279</v>
      </c>
    </row>
    <row r="9972" spans="1:1">
      <c r="A9972" s="27">
        <v>8.6</v>
      </c>
    </row>
    <row r="9973" spans="1:1">
      <c r="A9973" s="29">
        <v>0.46319444444444446</v>
      </c>
    </row>
    <row r="9974" spans="1:1">
      <c r="A9974" s="27">
        <v>17</v>
      </c>
    </row>
    <row r="9975" spans="1:1">
      <c r="A9975" s="28">
        <v>52.8</v>
      </c>
    </row>
    <row r="9976" spans="1:1">
      <c r="A9976" s="25">
        <v>476</v>
      </c>
    </row>
    <row r="9977" spans="1:1" ht="30">
      <c r="A9977" s="26" t="s">
        <v>721</v>
      </c>
    </row>
    <row r="9978" spans="1:1">
      <c r="A9978" s="27" t="s">
        <v>653</v>
      </c>
    </row>
    <row r="9979" spans="1:1">
      <c r="A9979" s="27">
        <v>257</v>
      </c>
    </row>
    <row r="9980" spans="1:1">
      <c r="A9980" s="27">
        <v>17</v>
      </c>
    </row>
    <row r="9981" spans="1:1">
      <c r="A9981" s="27">
        <v>39</v>
      </c>
    </row>
    <row r="9982" spans="1:1">
      <c r="A9982" s="27">
        <v>56</v>
      </c>
    </row>
    <row r="9983" spans="1:1">
      <c r="A9983" s="27">
        <v>-13</v>
      </c>
    </row>
    <row r="9984" spans="1:1">
      <c r="A9984" s="27">
        <v>90</v>
      </c>
    </row>
    <row r="9985" spans="1:1">
      <c r="A9985" s="27">
        <v>0.22</v>
      </c>
    </row>
    <row r="9986" spans="1:1">
      <c r="A9986" s="27">
        <v>0</v>
      </c>
    </row>
    <row r="9987" spans="1:1">
      <c r="A9987" s="27">
        <v>4</v>
      </c>
    </row>
    <row r="9988" spans="1:1">
      <c r="A9988" s="27">
        <v>1</v>
      </c>
    </row>
    <row r="9989" spans="1:1">
      <c r="A9989" s="27">
        <v>1</v>
      </c>
    </row>
    <row r="9990" spans="1:1">
      <c r="A9990" s="27">
        <v>3</v>
      </c>
    </row>
    <row r="9991" spans="1:1">
      <c r="A9991" s="27">
        <v>1</v>
      </c>
    </row>
    <row r="9992" spans="1:1">
      <c r="A9992" s="27">
        <v>283</v>
      </c>
    </row>
    <row r="9993" spans="1:1">
      <c r="A9993" s="27">
        <v>6</v>
      </c>
    </row>
    <row r="9994" spans="1:1">
      <c r="A9994" s="29">
        <v>0.52152777777777781</v>
      </c>
    </row>
    <row r="9995" spans="1:1">
      <c r="A9995" s="27">
        <v>18</v>
      </c>
    </row>
    <row r="9996" spans="1:1">
      <c r="A9996" s="28">
        <v>50.6</v>
      </c>
    </row>
    <row r="9997" spans="1:1">
      <c r="A9997" s="25">
        <v>477</v>
      </c>
    </row>
    <row r="9998" spans="1:1" ht="30">
      <c r="A9998" s="26" t="s">
        <v>689</v>
      </c>
    </row>
    <row r="9999" spans="1:1">
      <c r="A9999" s="27" t="s">
        <v>44</v>
      </c>
    </row>
    <row r="10000" spans="1:1">
      <c r="A10000" s="27">
        <v>156</v>
      </c>
    </row>
    <row r="10001" spans="1:1">
      <c r="A10001" s="27">
        <v>16</v>
      </c>
    </row>
    <row r="10002" spans="1:1">
      <c r="A10002" s="27">
        <v>40</v>
      </c>
    </row>
    <row r="10003" spans="1:1">
      <c r="A10003" s="27">
        <v>56</v>
      </c>
    </row>
    <row r="10004" spans="1:1">
      <c r="A10004" s="27">
        <v>-16</v>
      </c>
    </row>
    <row r="10005" spans="1:1">
      <c r="A10005" s="27">
        <v>44</v>
      </c>
    </row>
    <row r="10006" spans="1:1">
      <c r="A10006" s="27">
        <v>0.36</v>
      </c>
    </row>
    <row r="10007" spans="1:1">
      <c r="A10007" s="27">
        <v>1</v>
      </c>
    </row>
    <row r="10008" spans="1:1">
      <c r="A10008" s="27">
        <v>6</v>
      </c>
    </row>
    <row r="10009" spans="1:1">
      <c r="A10009" s="27">
        <v>0</v>
      </c>
    </row>
    <row r="10010" spans="1:1">
      <c r="A10010" s="27">
        <v>0</v>
      </c>
    </row>
    <row r="10011" spans="1:1">
      <c r="A10011" s="27">
        <v>4</v>
      </c>
    </row>
    <row r="10012" spans="1:1">
      <c r="A10012" s="27">
        <v>1</v>
      </c>
    </row>
    <row r="10013" spans="1:1">
      <c r="A10013" s="27">
        <v>225</v>
      </c>
    </row>
    <row r="10014" spans="1:1">
      <c r="A10014" s="27">
        <v>7.1</v>
      </c>
    </row>
    <row r="10015" spans="1:1">
      <c r="A10015" s="29">
        <v>0.53055555555555556</v>
      </c>
    </row>
    <row r="10016" spans="1:1">
      <c r="A10016" s="27">
        <v>16.5</v>
      </c>
    </row>
    <row r="10017" spans="1:1">
      <c r="A10017" s="28">
        <v>53.8</v>
      </c>
    </row>
    <row r="10018" spans="1:1">
      <c r="A10018" s="25">
        <v>478</v>
      </c>
    </row>
    <row r="10019" spans="1:1" ht="30">
      <c r="A10019" s="26" t="s">
        <v>1138</v>
      </c>
    </row>
    <row r="10020" spans="1:1">
      <c r="A10020" s="27" t="s">
        <v>42</v>
      </c>
    </row>
    <row r="10021" spans="1:1">
      <c r="A10021" s="27">
        <v>335</v>
      </c>
    </row>
    <row r="10022" spans="1:1">
      <c r="A10022" s="27">
        <v>10</v>
      </c>
    </row>
    <row r="10023" spans="1:1">
      <c r="A10023" s="27">
        <v>46</v>
      </c>
    </row>
    <row r="10024" spans="1:1">
      <c r="A10024" s="27">
        <v>56</v>
      </c>
    </row>
    <row r="10025" spans="1:1">
      <c r="A10025" s="27">
        <v>-18</v>
      </c>
    </row>
    <row r="10026" spans="1:1">
      <c r="A10026" s="27">
        <v>181</v>
      </c>
    </row>
    <row r="10027" spans="1:1">
      <c r="A10027" s="27">
        <v>0.17</v>
      </c>
    </row>
    <row r="10028" spans="1:1">
      <c r="A10028" s="27">
        <v>2</v>
      </c>
    </row>
    <row r="10029" spans="1:1">
      <c r="A10029" s="27">
        <v>7</v>
      </c>
    </row>
    <row r="10030" spans="1:1">
      <c r="A10030" s="27">
        <v>1</v>
      </c>
    </row>
    <row r="10031" spans="1:1">
      <c r="A10031" s="27">
        <v>2</v>
      </c>
    </row>
    <row r="10032" spans="1:1">
      <c r="A10032" s="27">
        <v>4</v>
      </c>
    </row>
    <row r="10033" spans="1:1">
      <c r="A10033" s="27">
        <v>1</v>
      </c>
    </row>
    <row r="10034" spans="1:1">
      <c r="A10034" s="27">
        <v>293</v>
      </c>
    </row>
    <row r="10035" spans="1:1">
      <c r="A10035" s="27">
        <v>3.4</v>
      </c>
    </row>
    <row r="10036" spans="1:1">
      <c r="A10036" s="29">
        <v>0.7729166666666667</v>
      </c>
    </row>
    <row r="10037" spans="1:1">
      <c r="A10037" s="27">
        <v>23.8</v>
      </c>
    </row>
    <row r="10038" spans="1:1">
      <c r="A10038" s="28">
        <v>0</v>
      </c>
    </row>
    <row r="10039" spans="1:1">
      <c r="A10039" s="25">
        <v>479</v>
      </c>
    </row>
    <row r="10040" spans="1:1" ht="30">
      <c r="A10040" s="26" t="s">
        <v>848</v>
      </c>
    </row>
    <row r="10041" spans="1:1">
      <c r="A10041" s="27" t="s">
        <v>653</v>
      </c>
    </row>
    <row r="10042" spans="1:1">
      <c r="A10042" s="27">
        <v>252</v>
      </c>
    </row>
    <row r="10043" spans="1:1">
      <c r="A10043" s="27">
        <v>28</v>
      </c>
    </row>
    <row r="10044" spans="1:1">
      <c r="A10044" s="27">
        <v>27</v>
      </c>
    </row>
    <row r="10045" spans="1:1">
      <c r="A10045" s="27">
        <v>55</v>
      </c>
    </row>
    <row r="10046" spans="1:1">
      <c r="A10046" s="27">
        <v>-20</v>
      </c>
    </row>
    <row r="10047" spans="1:1">
      <c r="A10047" s="27">
        <v>88</v>
      </c>
    </row>
    <row r="10048" spans="1:1">
      <c r="A10048" s="27">
        <v>0.22</v>
      </c>
    </row>
    <row r="10049" spans="1:1">
      <c r="A10049" s="27">
        <v>0</v>
      </c>
    </row>
    <row r="10050" spans="1:1">
      <c r="A10050" s="27">
        <v>0</v>
      </c>
    </row>
    <row r="10051" spans="1:1">
      <c r="A10051" s="27">
        <v>5</v>
      </c>
    </row>
    <row r="10052" spans="1:1">
      <c r="A10052" s="27">
        <v>5</v>
      </c>
    </row>
    <row r="10053" spans="1:1">
      <c r="A10053" s="27">
        <v>3</v>
      </c>
    </row>
    <row r="10054" spans="1:1">
      <c r="A10054" s="27">
        <v>0</v>
      </c>
    </row>
    <row r="10055" spans="1:1">
      <c r="A10055" s="27">
        <v>338</v>
      </c>
    </row>
    <row r="10056" spans="1:1">
      <c r="A10056" s="27">
        <v>8.3000000000000007</v>
      </c>
    </row>
    <row r="10057" spans="1:1">
      <c r="A10057" s="29">
        <v>0.49652777777777773</v>
      </c>
    </row>
    <row r="10058" spans="1:1">
      <c r="A10058" s="27">
        <v>17.399999999999999</v>
      </c>
    </row>
    <row r="10059" spans="1:1">
      <c r="A10059" s="28">
        <v>41.6</v>
      </c>
    </row>
    <row r="10060" spans="1:1">
      <c r="A10060" s="25">
        <v>480</v>
      </c>
    </row>
    <row r="10061" spans="1:1" ht="30">
      <c r="A10061" s="26" t="s">
        <v>1128</v>
      </c>
    </row>
    <row r="10062" spans="1:1">
      <c r="A10062" s="27" t="s">
        <v>42</v>
      </c>
    </row>
    <row r="10063" spans="1:1">
      <c r="A10063" s="27">
        <v>196</v>
      </c>
    </row>
    <row r="10064" spans="1:1">
      <c r="A10064" s="27">
        <v>14</v>
      </c>
    </row>
    <row r="10065" spans="1:1">
      <c r="A10065" s="27">
        <v>41</v>
      </c>
    </row>
    <row r="10066" spans="1:1">
      <c r="A10066" s="27">
        <v>55</v>
      </c>
    </row>
    <row r="10067" spans="1:1">
      <c r="A10067" s="27">
        <v>54</v>
      </c>
    </row>
    <row r="10068" spans="1:1">
      <c r="A10068" s="27">
        <v>122</v>
      </c>
    </row>
    <row r="10069" spans="1:1">
      <c r="A10069" s="27">
        <v>0.28000000000000003</v>
      </c>
    </row>
    <row r="10070" spans="1:1">
      <c r="A10070" s="27">
        <v>0</v>
      </c>
    </row>
    <row r="10071" spans="1:1">
      <c r="A10071" s="27">
        <v>0</v>
      </c>
    </row>
    <row r="10072" spans="1:1">
      <c r="A10072" s="27">
        <v>0</v>
      </c>
    </row>
    <row r="10073" spans="1:1">
      <c r="A10073" s="27">
        <v>0</v>
      </c>
    </row>
    <row r="10074" spans="1:1">
      <c r="A10074" s="27">
        <v>3</v>
      </c>
    </row>
    <row r="10075" spans="1:1">
      <c r="A10075" s="27">
        <v>0</v>
      </c>
    </row>
    <row r="10076" spans="1:1">
      <c r="A10076" s="27">
        <v>282</v>
      </c>
    </row>
    <row r="10077" spans="1:1">
      <c r="A10077" s="27">
        <v>5</v>
      </c>
    </row>
    <row r="10078" spans="1:1">
      <c r="A10078" s="29">
        <v>0.71736111111111101</v>
      </c>
    </row>
    <row r="10079" spans="1:1">
      <c r="A10079" s="27">
        <v>21</v>
      </c>
    </row>
    <row r="10080" spans="1:1">
      <c r="A10080" s="28">
        <v>0</v>
      </c>
    </row>
    <row r="10081" spans="1:1">
      <c r="A10081" s="25">
        <v>481</v>
      </c>
    </row>
    <row r="10082" spans="1:1" ht="30">
      <c r="A10082" s="26" t="s">
        <v>218</v>
      </c>
    </row>
    <row r="10083" spans="1:1">
      <c r="A10083" s="27" t="s">
        <v>653</v>
      </c>
    </row>
    <row r="10084" spans="1:1">
      <c r="A10084" s="27">
        <v>137</v>
      </c>
    </row>
    <row r="10085" spans="1:1">
      <c r="A10085" s="27">
        <v>14</v>
      </c>
    </row>
    <row r="10086" spans="1:1">
      <c r="A10086" s="27">
        <v>41</v>
      </c>
    </row>
    <row r="10087" spans="1:1">
      <c r="A10087" s="27">
        <v>55</v>
      </c>
    </row>
    <row r="10088" spans="1:1">
      <c r="A10088" s="27">
        <v>8</v>
      </c>
    </row>
    <row r="10089" spans="1:1">
      <c r="A10089" s="27">
        <v>40</v>
      </c>
    </row>
    <row r="10090" spans="1:1">
      <c r="A10090" s="27">
        <v>0.4</v>
      </c>
    </row>
    <row r="10091" spans="1:1">
      <c r="A10091" s="27">
        <v>1</v>
      </c>
    </row>
    <row r="10092" spans="1:1">
      <c r="A10092" s="27">
        <v>4</v>
      </c>
    </row>
    <row r="10093" spans="1:1">
      <c r="A10093" s="27">
        <v>0</v>
      </c>
    </row>
    <row r="10094" spans="1:1">
      <c r="A10094" s="27">
        <v>0</v>
      </c>
    </row>
    <row r="10095" spans="1:1">
      <c r="A10095" s="27">
        <v>0</v>
      </c>
    </row>
    <row r="10096" spans="1:1">
      <c r="A10096" s="27">
        <v>0</v>
      </c>
    </row>
    <row r="10097" spans="1:1">
      <c r="A10097" s="27">
        <v>215</v>
      </c>
    </row>
    <row r="10098" spans="1:1">
      <c r="A10098" s="27">
        <v>6.5</v>
      </c>
    </row>
    <row r="10099" spans="1:1">
      <c r="A10099" s="29">
        <v>0.54652777777777783</v>
      </c>
    </row>
    <row r="10100" spans="1:1">
      <c r="A10100" s="27">
        <v>18.2</v>
      </c>
    </row>
    <row r="10101" spans="1:1">
      <c r="A10101" s="28">
        <v>39.299999999999997</v>
      </c>
    </row>
    <row r="10102" spans="1:1">
      <c r="A10102" s="25">
        <v>482</v>
      </c>
    </row>
    <row r="10103" spans="1:1" ht="30">
      <c r="A10103" s="26" t="s">
        <v>173</v>
      </c>
    </row>
    <row r="10104" spans="1:1">
      <c r="A10104" s="27" t="s">
        <v>653</v>
      </c>
    </row>
    <row r="10105" spans="1:1">
      <c r="A10105" s="27">
        <v>214</v>
      </c>
    </row>
    <row r="10106" spans="1:1">
      <c r="A10106" s="27">
        <v>19</v>
      </c>
    </row>
    <row r="10107" spans="1:1">
      <c r="A10107" s="27">
        <v>35</v>
      </c>
    </row>
    <row r="10108" spans="1:1">
      <c r="A10108" s="27">
        <v>54</v>
      </c>
    </row>
    <row r="10109" spans="1:1">
      <c r="A10109" s="27">
        <v>-10</v>
      </c>
    </row>
    <row r="10110" spans="1:1">
      <c r="A10110" s="27">
        <v>79</v>
      </c>
    </row>
    <row r="10111" spans="1:1">
      <c r="A10111" s="27">
        <v>0.25</v>
      </c>
    </row>
    <row r="10112" spans="1:1">
      <c r="A10112" s="27">
        <v>2</v>
      </c>
    </row>
    <row r="10113" spans="1:1">
      <c r="A10113" s="27">
        <v>9</v>
      </c>
    </row>
    <row r="10114" spans="1:1">
      <c r="A10114" s="27">
        <v>1</v>
      </c>
    </row>
    <row r="10115" spans="1:1">
      <c r="A10115" s="27">
        <v>2</v>
      </c>
    </row>
    <row r="10116" spans="1:1">
      <c r="A10116" s="27">
        <v>7</v>
      </c>
    </row>
    <row r="10117" spans="1:1">
      <c r="A10117" s="27">
        <v>1</v>
      </c>
    </row>
    <row r="10118" spans="1:1">
      <c r="A10118" s="27">
        <v>191</v>
      </c>
    </row>
    <row r="10119" spans="1:1">
      <c r="A10119" s="27">
        <v>9.9</v>
      </c>
    </row>
    <row r="10120" spans="1:1">
      <c r="A10120" s="29">
        <v>0.46111111111111108</v>
      </c>
    </row>
    <row r="10121" spans="1:1">
      <c r="A10121" s="27">
        <v>15.5</v>
      </c>
    </row>
    <row r="10122" spans="1:1">
      <c r="A10122" s="28">
        <v>50</v>
      </c>
    </row>
    <row r="10123" spans="1:1">
      <c r="A10123" s="25">
        <v>483</v>
      </c>
    </row>
    <row r="10124" spans="1:1" ht="30">
      <c r="A10124" s="26" t="s">
        <v>187</v>
      </c>
    </row>
    <row r="10125" spans="1:1">
      <c r="A10125" s="27" t="s">
        <v>653</v>
      </c>
    </row>
    <row r="10126" spans="1:1">
      <c r="A10126" s="27">
        <v>116</v>
      </c>
    </row>
    <row r="10127" spans="1:1">
      <c r="A10127" s="27">
        <v>18</v>
      </c>
    </row>
    <row r="10128" spans="1:1">
      <c r="A10128" s="27">
        <v>36</v>
      </c>
    </row>
    <row r="10129" spans="1:1">
      <c r="A10129" s="27">
        <v>54</v>
      </c>
    </row>
    <row r="10130" spans="1:1">
      <c r="A10130" s="27">
        <v>-28</v>
      </c>
    </row>
    <row r="10131" spans="1:1">
      <c r="A10131" s="27">
        <v>48</v>
      </c>
    </row>
    <row r="10132" spans="1:1">
      <c r="A10132" s="27">
        <v>0.47</v>
      </c>
    </row>
    <row r="10133" spans="1:1">
      <c r="A10133" s="27">
        <v>5</v>
      </c>
    </row>
    <row r="10134" spans="1:1">
      <c r="A10134" s="27">
        <v>9</v>
      </c>
    </row>
    <row r="10135" spans="1:1">
      <c r="A10135" s="27">
        <v>0</v>
      </c>
    </row>
    <row r="10136" spans="1:1">
      <c r="A10136" s="27">
        <v>0</v>
      </c>
    </row>
    <row r="10137" spans="1:1">
      <c r="A10137" s="27">
        <v>3</v>
      </c>
    </row>
    <row r="10138" spans="1:1">
      <c r="A10138" s="27">
        <v>1</v>
      </c>
    </row>
    <row r="10139" spans="1:1">
      <c r="A10139" s="27">
        <v>178</v>
      </c>
    </row>
    <row r="10140" spans="1:1">
      <c r="A10140" s="27">
        <v>10.1</v>
      </c>
    </row>
    <row r="10141" spans="1:1">
      <c r="A10141" s="29">
        <v>0.65416666666666667</v>
      </c>
    </row>
    <row r="10142" spans="1:1">
      <c r="A10142" s="27">
        <v>20.399999999999999</v>
      </c>
    </row>
    <row r="10143" spans="1:1">
      <c r="A10143" s="28">
        <v>45.6</v>
      </c>
    </row>
    <row r="10144" spans="1:1">
      <c r="A10144" s="25">
        <v>484</v>
      </c>
    </row>
    <row r="10145" spans="1:1" ht="30">
      <c r="A10145" s="26" t="s">
        <v>323</v>
      </c>
    </row>
    <row r="10146" spans="1:1">
      <c r="A10146" s="27" t="s">
        <v>42</v>
      </c>
    </row>
    <row r="10147" spans="1:1">
      <c r="A10147" s="27">
        <v>258</v>
      </c>
    </row>
    <row r="10148" spans="1:1">
      <c r="A10148" s="27">
        <v>14</v>
      </c>
    </row>
    <row r="10149" spans="1:1">
      <c r="A10149" s="27">
        <v>40</v>
      </c>
    </row>
    <row r="10150" spans="1:1">
      <c r="A10150" s="27">
        <v>54</v>
      </c>
    </row>
    <row r="10151" spans="1:1">
      <c r="A10151" s="27">
        <v>2</v>
      </c>
    </row>
    <row r="10152" spans="1:1">
      <c r="A10152" s="27">
        <v>107</v>
      </c>
    </row>
    <row r="10153" spans="1:1">
      <c r="A10153" s="27">
        <v>0.21</v>
      </c>
    </row>
    <row r="10154" spans="1:1">
      <c r="A10154" s="27">
        <v>2</v>
      </c>
    </row>
    <row r="10155" spans="1:1">
      <c r="A10155" s="27">
        <v>6</v>
      </c>
    </row>
    <row r="10156" spans="1:1">
      <c r="A10156" s="27">
        <v>1</v>
      </c>
    </row>
    <row r="10157" spans="1:1">
      <c r="A10157" s="27">
        <v>2</v>
      </c>
    </row>
    <row r="10158" spans="1:1">
      <c r="A10158" s="27">
        <v>1</v>
      </c>
    </row>
    <row r="10159" spans="1:1">
      <c r="A10159" s="27">
        <v>0</v>
      </c>
    </row>
    <row r="10160" spans="1:1">
      <c r="A10160" s="27">
        <v>293</v>
      </c>
    </row>
    <row r="10161" spans="1:1">
      <c r="A10161" s="27">
        <v>4.8</v>
      </c>
    </row>
    <row r="10162" spans="1:1">
      <c r="A10162" s="29">
        <v>0.68680555555555556</v>
      </c>
    </row>
    <row r="10163" spans="1:1">
      <c r="A10163" s="27">
        <v>21.1</v>
      </c>
    </row>
    <row r="10164" spans="1:1">
      <c r="A10164" s="28">
        <v>0</v>
      </c>
    </row>
    <row r="10165" spans="1:1">
      <c r="A10165" s="25">
        <v>485</v>
      </c>
    </row>
    <row r="10166" spans="1:1" ht="30">
      <c r="A10166" s="26" t="s">
        <v>1130</v>
      </c>
    </row>
    <row r="10167" spans="1:1">
      <c r="A10167" s="27" t="s">
        <v>42</v>
      </c>
    </row>
    <row r="10168" spans="1:1">
      <c r="A10168" s="27">
        <v>129</v>
      </c>
    </row>
    <row r="10169" spans="1:1">
      <c r="A10169" s="27">
        <v>10</v>
      </c>
    </row>
    <row r="10170" spans="1:1">
      <c r="A10170" s="27">
        <v>44</v>
      </c>
    </row>
    <row r="10171" spans="1:1">
      <c r="A10171" s="27">
        <v>54</v>
      </c>
    </row>
    <row r="10172" spans="1:1">
      <c r="A10172" s="27">
        <v>-11</v>
      </c>
    </row>
    <row r="10173" spans="1:1">
      <c r="A10173" s="27">
        <v>55</v>
      </c>
    </row>
    <row r="10174" spans="1:1">
      <c r="A10174" s="27">
        <v>0.42</v>
      </c>
    </row>
    <row r="10175" spans="1:1">
      <c r="A10175" s="27">
        <v>3</v>
      </c>
    </row>
    <row r="10176" spans="1:1">
      <c r="A10176" s="27">
        <v>24</v>
      </c>
    </row>
    <row r="10177" spans="1:1">
      <c r="A10177" s="27">
        <v>0</v>
      </c>
    </row>
    <row r="10178" spans="1:1">
      <c r="A10178" s="27">
        <v>1</v>
      </c>
    </row>
    <row r="10179" spans="1:1">
      <c r="A10179" s="27">
        <v>2</v>
      </c>
    </row>
    <row r="10180" spans="1:1">
      <c r="A10180" s="27">
        <v>0</v>
      </c>
    </row>
    <row r="10181" spans="1:1">
      <c r="A10181" s="27">
        <v>245</v>
      </c>
    </row>
    <row r="10182" spans="1:1">
      <c r="A10182" s="27">
        <v>4.0999999999999996</v>
      </c>
    </row>
    <row r="10183" spans="1:1">
      <c r="A10183" s="29">
        <v>0.90972222222222221</v>
      </c>
    </row>
    <row r="10184" spans="1:1">
      <c r="A10184" s="27">
        <v>27.6</v>
      </c>
    </row>
    <row r="10185" spans="1:1">
      <c r="A10185" s="28">
        <v>0</v>
      </c>
    </row>
    <row r="10186" spans="1:1">
      <c r="A10186" s="25">
        <v>486</v>
      </c>
    </row>
    <row r="10187" spans="1:1" ht="30">
      <c r="A10187" s="26" t="s">
        <v>766</v>
      </c>
    </row>
    <row r="10188" spans="1:1">
      <c r="A10188" s="27" t="s">
        <v>43</v>
      </c>
    </row>
    <row r="10189" spans="1:1">
      <c r="A10189" s="27">
        <v>277</v>
      </c>
    </row>
    <row r="10190" spans="1:1">
      <c r="A10190" s="27">
        <v>30</v>
      </c>
    </row>
    <row r="10191" spans="1:1">
      <c r="A10191" s="27">
        <v>23</v>
      </c>
    </row>
    <row r="10192" spans="1:1">
      <c r="A10192" s="27">
        <v>53</v>
      </c>
    </row>
    <row r="10193" spans="1:1">
      <c r="A10193" s="27">
        <v>-12</v>
      </c>
    </row>
    <row r="10194" spans="1:1">
      <c r="A10194" s="27">
        <v>137</v>
      </c>
    </row>
    <row r="10195" spans="1:1">
      <c r="A10195" s="27">
        <v>0.19</v>
      </c>
    </row>
    <row r="10196" spans="1:1">
      <c r="A10196" s="27">
        <v>1</v>
      </c>
    </row>
    <row r="10197" spans="1:1">
      <c r="A10197" s="27">
        <v>3</v>
      </c>
    </row>
    <row r="10198" spans="1:1">
      <c r="A10198" s="27">
        <v>2</v>
      </c>
    </row>
    <row r="10199" spans="1:1">
      <c r="A10199" s="27">
        <v>2</v>
      </c>
    </row>
    <row r="10200" spans="1:1">
      <c r="A10200" s="27">
        <v>2</v>
      </c>
    </row>
    <row r="10201" spans="1:1">
      <c r="A10201" s="27">
        <v>0</v>
      </c>
    </row>
    <row r="10202" spans="1:1">
      <c r="A10202" s="27">
        <v>361</v>
      </c>
    </row>
    <row r="10203" spans="1:1">
      <c r="A10203" s="27">
        <v>8.3000000000000007</v>
      </c>
    </row>
    <row r="10204" spans="1:1">
      <c r="A10204" s="29">
        <v>0.49791666666666662</v>
      </c>
    </row>
    <row r="10205" spans="1:1">
      <c r="A10205" s="27">
        <v>16.8</v>
      </c>
    </row>
    <row r="10206" spans="1:1">
      <c r="A10206" s="28">
        <v>48.7</v>
      </c>
    </row>
    <row r="10207" spans="1:1">
      <c r="A10207" s="25">
        <v>487</v>
      </c>
    </row>
    <row r="10208" spans="1:1" ht="45">
      <c r="A10208" s="26" t="s">
        <v>871</v>
      </c>
    </row>
    <row r="10209" spans="1:1">
      <c r="A10209" s="27" t="s">
        <v>44</v>
      </c>
    </row>
    <row r="10210" spans="1:1">
      <c r="A10210" s="27">
        <v>333</v>
      </c>
    </row>
    <row r="10211" spans="1:1">
      <c r="A10211" s="27">
        <v>25</v>
      </c>
    </row>
    <row r="10212" spans="1:1">
      <c r="A10212" s="27">
        <v>28</v>
      </c>
    </row>
    <row r="10213" spans="1:1">
      <c r="A10213" s="27">
        <v>53</v>
      </c>
    </row>
    <row r="10214" spans="1:1">
      <c r="A10214" s="27">
        <v>-59</v>
      </c>
    </row>
    <row r="10215" spans="1:1">
      <c r="A10215" s="27">
        <v>287</v>
      </c>
    </row>
    <row r="10216" spans="1:1">
      <c r="A10216" s="27">
        <v>0.16</v>
      </c>
    </row>
    <row r="10217" spans="1:1">
      <c r="A10217" s="27">
        <v>0</v>
      </c>
    </row>
    <row r="10218" spans="1:1">
      <c r="A10218" s="27">
        <v>0</v>
      </c>
    </row>
    <row r="10219" spans="1:1">
      <c r="A10219" s="27">
        <v>1</v>
      </c>
    </row>
    <row r="10220" spans="1:1">
      <c r="A10220" s="27">
        <v>3</v>
      </c>
    </row>
    <row r="10221" spans="1:1">
      <c r="A10221" s="27">
        <v>3</v>
      </c>
    </row>
    <row r="10222" spans="1:1">
      <c r="A10222" s="27">
        <v>0</v>
      </c>
    </row>
    <row r="10223" spans="1:1">
      <c r="A10223" s="27">
        <v>342</v>
      </c>
    </row>
    <row r="10224" spans="1:1">
      <c r="A10224" s="27">
        <v>7.3</v>
      </c>
    </row>
    <row r="10225" spans="1:1">
      <c r="A10225" s="29">
        <v>0.44513888888888892</v>
      </c>
    </row>
    <row r="10226" spans="1:1">
      <c r="A10226" s="27">
        <v>14.4</v>
      </c>
    </row>
    <row r="10227" spans="1:1">
      <c r="A10227" s="28">
        <v>38.5</v>
      </c>
    </row>
    <row r="10228" spans="1:1">
      <c r="A10228" s="25">
        <v>488</v>
      </c>
    </row>
    <row r="10229" spans="1:1" ht="30">
      <c r="A10229" s="26" t="s">
        <v>851</v>
      </c>
    </row>
    <row r="10230" spans="1:1">
      <c r="A10230" s="27" t="s">
        <v>653</v>
      </c>
    </row>
    <row r="10231" spans="1:1">
      <c r="A10231" s="27">
        <v>109</v>
      </c>
    </row>
    <row r="10232" spans="1:1">
      <c r="A10232" s="27">
        <v>20</v>
      </c>
    </row>
    <row r="10233" spans="1:1">
      <c r="A10233" s="27">
        <v>33</v>
      </c>
    </row>
    <row r="10234" spans="1:1">
      <c r="A10234" s="27">
        <v>53</v>
      </c>
    </row>
    <row r="10235" spans="1:1">
      <c r="A10235" s="27">
        <v>20</v>
      </c>
    </row>
    <row r="10236" spans="1:1">
      <c r="A10236" s="27">
        <v>14</v>
      </c>
    </row>
    <row r="10237" spans="1:1">
      <c r="A10237" s="27">
        <v>0.49</v>
      </c>
    </row>
    <row r="10238" spans="1:1">
      <c r="A10238" s="27">
        <v>1</v>
      </c>
    </row>
    <row r="10239" spans="1:1">
      <c r="A10239" s="27">
        <v>3</v>
      </c>
    </row>
    <row r="10240" spans="1:1">
      <c r="A10240" s="27">
        <v>0</v>
      </c>
    </row>
    <row r="10241" spans="1:1">
      <c r="A10241" s="27">
        <v>0</v>
      </c>
    </row>
    <row r="10242" spans="1:1">
      <c r="A10242" s="27">
        <v>3</v>
      </c>
    </row>
    <row r="10243" spans="1:1">
      <c r="A10243" s="27">
        <v>0</v>
      </c>
    </row>
    <row r="10244" spans="1:1">
      <c r="A10244" s="27">
        <v>184</v>
      </c>
    </row>
    <row r="10245" spans="1:1">
      <c r="A10245" s="27">
        <v>10.9</v>
      </c>
    </row>
    <row r="10246" spans="1:1">
      <c r="A10246" s="29">
        <v>0.57847222222222217</v>
      </c>
    </row>
    <row r="10247" spans="1:1">
      <c r="A10247" s="27">
        <v>18.600000000000001</v>
      </c>
    </row>
    <row r="10248" spans="1:1">
      <c r="A10248" s="28">
        <v>41.2</v>
      </c>
    </row>
    <row r="10249" spans="1:1">
      <c r="A10249" s="25">
        <v>489</v>
      </c>
    </row>
    <row r="10250" spans="1:1" ht="45">
      <c r="A10250" s="26" t="s">
        <v>261</v>
      </c>
    </row>
    <row r="10251" spans="1:1">
      <c r="A10251" s="27" t="s">
        <v>42</v>
      </c>
    </row>
    <row r="10252" spans="1:1">
      <c r="A10252" s="27">
        <v>217</v>
      </c>
    </row>
    <row r="10253" spans="1:1">
      <c r="A10253" s="27">
        <v>16</v>
      </c>
    </row>
    <row r="10254" spans="1:1">
      <c r="A10254" s="27">
        <v>37</v>
      </c>
    </row>
    <row r="10255" spans="1:1">
      <c r="A10255" s="27">
        <v>53</v>
      </c>
    </row>
    <row r="10256" spans="1:1">
      <c r="A10256" s="27">
        <v>22</v>
      </c>
    </row>
    <row r="10257" spans="1:1">
      <c r="A10257" s="27">
        <v>28</v>
      </c>
    </row>
    <row r="10258" spans="1:1">
      <c r="A10258" s="27">
        <v>0.24</v>
      </c>
    </row>
    <row r="10259" spans="1:1">
      <c r="A10259" s="27">
        <v>1</v>
      </c>
    </row>
    <row r="10260" spans="1:1">
      <c r="A10260" s="27">
        <v>2</v>
      </c>
    </row>
    <row r="10261" spans="1:1">
      <c r="A10261" s="27">
        <v>0</v>
      </c>
    </row>
    <row r="10262" spans="1:1">
      <c r="A10262" s="27">
        <v>0</v>
      </c>
    </row>
    <row r="10263" spans="1:1">
      <c r="A10263" s="27">
        <v>2</v>
      </c>
    </row>
    <row r="10264" spans="1:1">
      <c r="A10264" s="27">
        <v>0</v>
      </c>
    </row>
    <row r="10265" spans="1:1">
      <c r="A10265" s="27">
        <v>258</v>
      </c>
    </row>
    <row r="10266" spans="1:1">
      <c r="A10266" s="27">
        <v>6.2</v>
      </c>
    </row>
    <row r="10267" spans="1:1">
      <c r="A10267" s="29">
        <v>0.65555555555555556</v>
      </c>
    </row>
    <row r="10268" spans="1:1">
      <c r="A10268" s="27">
        <v>20.8</v>
      </c>
    </row>
    <row r="10269" spans="1:1">
      <c r="A10269" s="28">
        <v>0</v>
      </c>
    </row>
    <row r="10270" spans="1:1">
      <c r="A10270" s="25">
        <v>490</v>
      </c>
    </row>
    <row r="10271" spans="1:1" ht="30">
      <c r="A10271" s="26" t="s">
        <v>308</v>
      </c>
    </row>
    <row r="10272" spans="1:1">
      <c r="A10272" s="27" t="s">
        <v>42</v>
      </c>
    </row>
    <row r="10273" spans="1:1">
      <c r="A10273" s="27">
        <v>347</v>
      </c>
    </row>
    <row r="10274" spans="1:1">
      <c r="A10274" s="27">
        <v>14</v>
      </c>
    </row>
    <row r="10275" spans="1:1">
      <c r="A10275" s="27">
        <v>39</v>
      </c>
    </row>
    <row r="10276" spans="1:1">
      <c r="A10276" s="27">
        <v>53</v>
      </c>
    </row>
    <row r="10277" spans="1:1">
      <c r="A10277" s="27">
        <v>28</v>
      </c>
    </row>
    <row r="10278" spans="1:1">
      <c r="A10278" s="27">
        <v>355</v>
      </c>
    </row>
    <row r="10279" spans="1:1">
      <c r="A10279" s="27">
        <v>0.15</v>
      </c>
    </row>
    <row r="10280" spans="1:1">
      <c r="A10280" s="27">
        <v>0</v>
      </c>
    </row>
    <row r="10281" spans="1:1">
      <c r="A10281" s="27">
        <v>0</v>
      </c>
    </row>
    <row r="10282" spans="1:1">
      <c r="A10282" s="27">
        <v>0</v>
      </c>
    </row>
    <row r="10283" spans="1:1">
      <c r="A10283" s="27">
        <v>2</v>
      </c>
    </row>
    <row r="10284" spans="1:1">
      <c r="A10284" s="27">
        <v>1</v>
      </c>
    </row>
    <row r="10285" spans="1:1">
      <c r="A10285" s="27">
        <v>0</v>
      </c>
    </row>
    <row r="10286" spans="1:1">
      <c r="A10286" s="27">
        <v>367</v>
      </c>
    </row>
    <row r="10287" spans="1:1">
      <c r="A10287" s="27">
        <v>3.8</v>
      </c>
    </row>
    <row r="10288" spans="1:1">
      <c r="A10288" s="29">
        <v>0.60833333333333328</v>
      </c>
    </row>
    <row r="10289" spans="1:1">
      <c r="A10289" s="27">
        <v>21.3</v>
      </c>
    </row>
    <row r="10290" spans="1:1">
      <c r="A10290" s="28">
        <v>50</v>
      </c>
    </row>
    <row r="10291" spans="1:1">
      <c r="A10291" s="25">
        <v>491</v>
      </c>
    </row>
    <row r="10292" spans="1:1" ht="30">
      <c r="A10292" s="26" t="s">
        <v>229</v>
      </c>
    </row>
    <row r="10293" spans="1:1">
      <c r="A10293" s="27" t="s">
        <v>42</v>
      </c>
    </row>
    <row r="10294" spans="1:1">
      <c r="A10294" s="27">
        <v>159</v>
      </c>
    </row>
    <row r="10295" spans="1:1">
      <c r="A10295" s="27">
        <v>13</v>
      </c>
    </row>
    <row r="10296" spans="1:1">
      <c r="A10296" s="27">
        <v>40</v>
      </c>
    </row>
    <row r="10297" spans="1:1">
      <c r="A10297" s="27">
        <v>53</v>
      </c>
    </row>
    <row r="10298" spans="1:1">
      <c r="A10298" s="27">
        <v>-6</v>
      </c>
    </row>
    <row r="10299" spans="1:1">
      <c r="A10299" s="27">
        <v>54</v>
      </c>
    </row>
    <row r="10300" spans="1:1">
      <c r="A10300" s="27">
        <v>0.33</v>
      </c>
    </row>
    <row r="10301" spans="1:1">
      <c r="A10301" s="27">
        <v>2</v>
      </c>
    </row>
    <row r="10302" spans="1:1">
      <c r="A10302" s="27">
        <v>5</v>
      </c>
    </row>
    <row r="10303" spans="1:1">
      <c r="A10303" s="27">
        <v>0</v>
      </c>
    </row>
    <row r="10304" spans="1:1">
      <c r="A10304" s="27">
        <v>0</v>
      </c>
    </row>
    <row r="10305" spans="1:1">
      <c r="A10305" s="27">
        <v>2</v>
      </c>
    </row>
    <row r="10306" spans="1:1">
      <c r="A10306" s="27">
        <v>1</v>
      </c>
    </row>
    <row r="10307" spans="1:1">
      <c r="A10307" s="27">
        <v>240</v>
      </c>
    </row>
    <row r="10308" spans="1:1">
      <c r="A10308" s="27">
        <v>5.4</v>
      </c>
    </row>
    <row r="10309" spans="1:1">
      <c r="A10309" s="29">
        <v>0.76597222222222217</v>
      </c>
    </row>
    <row r="10310" spans="1:1">
      <c r="A10310" s="27">
        <v>23.8</v>
      </c>
    </row>
    <row r="10311" spans="1:1">
      <c r="A10311" s="28">
        <v>0</v>
      </c>
    </row>
    <row r="10312" spans="1:1">
      <c r="A10312" s="25">
        <v>492</v>
      </c>
    </row>
    <row r="10313" spans="1:1" ht="45">
      <c r="A10313" s="26" t="s">
        <v>319</v>
      </c>
    </row>
    <row r="10314" spans="1:1">
      <c r="A10314" s="27" t="s">
        <v>653</v>
      </c>
    </row>
    <row r="10315" spans="1:1">
      <c r="A10315" s="27">
        <v>170</v>
      </c>
    </row>
    <row r="10316" spans="1:1">
      <c r="A10316" s="27">
        <v>24</v>
      </c>
    </row>
    <row r="10317" spans="1:1">
      <c r="A10317" s="27">
        <v>28</v>
      </c>
    </row>
    <row r="10318" spans="1:1">
      <c r="A10318" s="27">
        <v>52</v>
      </c>
    </row>
    <row r="10319" spans="1:1">
      <c r="A10319" s="27">
        <v>-8</v>
      </c>
    </row>
    <row r="10320" spans="1:1">
      <c r="A10320" s="27">
        <v>58</v>
      </c>
    </row>
    <row r="10321" spans="1:1">
      <c r="A10321" s="27">
        <v>0.31</v>
      </c>
    </row>
    <row r="10322" spans="1:1">
      <c r="A10322" s="27">
        <v>0</v>
      </c>
    </row>
    <row r="10323" spans="1:1">
      <c r="A10323" s="27">
        <v>1</v>
      </c>
    </row>
    <row r="10324" spans="1:1">
      <c r="A10324" s="27">
        <v>3</v>
      </c>
    </row>
    <row r="10325" spans="1:1">
      <c r="A10325" s="27">
        <v>4</v>
      </c>
    </row>
    <row r="10326" spans="1:1">
      <c r="A10326" s="27">
        <v>4</v>
      </c>
    </row>
    <row r="10327" spans="1:1">
      <c r="A10327" s="27">
        <v>0</v>
      </c>
    </row>
    <row r="10328" spans="1:1">
      <c r="A10328" s="27">
        <v>218</v>
      </c>
    </row>
    <row r="10329" spans="1:1">
      <c r="A10329" s="27">
        <v>11</v>
      </c>
    </row>
    <row r="10330" spans="1:1">
      <c r="A10330" s="29">
        <v>0.51180555555555551</v>
      </c>
    </row>
    <row r="10331" spans="1:1">
      <c r="A10331" s="27">
        <v>17.3</v>
      </c>
    </row>
    <row r="10332" spans="1:1">
      <c r="A10332" s="28">
        <v>43.3</v>
      </c>
    </row>
    <row r="10333" spans="1:1">
      <c r="A10333" s="25">
        <v>493</v>
      </c>
    </row>
    <row r="10334" spans="1:1" ht="30">
      <c r="A10334" s="26" t="s">
        <v>936</v>
      </c>
    </row>
    <row r="10335" spans="1:1">
      <c r="A10335" s="27" t="s">
        <v>653</v>
      </c>
    </row>
    <row r="10336" spans="1:1">
      <c r="A10336" s="27">
        <v>375</v>
      </c>
    </row>
    <row r="10337" spans="1:1">
      <c r="A10337" s="27">
        <v>24</v>
      </c>
    </row>
    <row r="10338" spans="1:1">
      <c r="A10338" s="27">
        <v>28</v>
      </c>
    </row>
    <row r="10339" spans="1:1">
      <c r="A10339" s="27">
        <v>52</v>
      </c>
    </row>
    <row r="10340" spans="1:1">
      <c r="A10340" s="27">
        <v>-24</v>
      </c>
    </row>
    <row r="10341" spans="1:1">
      <c r="A10341" s="27">
        <v>347</v>
      </c>
    </row>
    <row r="10342" spans="1:1">
      <c r="A10342" s="27">
        <v>0.14000000000000001</v>
      </c>
    </row>
    <row r="10343" spans="1:1">
      <c r="A10343" s="27">
        <v>0</v>
      </c>
    </row>
    <row r="10344" spans="1:1">
      <c r="A10344" s="27">
        <v>0</v>
      </c>
    </row>
    <row r="10345" spans="1:1">
      <c r="A10345" s="27">
        <v>0</v>
      </c>
    </row>
    <row r="10346" spans="1:1">
      <c r="A10346" s="27">
        <v>0</v>
      </c>
    </row>
    <row r="10347" spans="1:1">
      <c r="A10347" s="27">
        <v>3</v>
      </c>
    </row>
    <row r="10348" spans="1:1">
      <c r="A10348" s="27">
        <v>0</v>
      </c>
    </row>
    <row r="10349" spans="1:1">
      <c r="A10349" s="27">
        <v>299</v>
      </c>
    </row>
    <row r="10350" spans="1:1">
      <c r="A10350" s="27">
        <v>8</v>
      </c>
    </row>
    <row r="10351" spans="1:1">
      <c r="A10351" s="29">
        <v>0.39305555555555555</v>
      </c>
    </row>
    <row r="10352" spans="1:1">
      <c r="A10352" s="27">
        <v>13.3</v>
      </c>
    </row>
    <row r="10353" spans="1:1">
      <c r="A10353" s="28">
        <v>19.399999999999999</v>
      </c>
    </row>
    <row r="10354" spans="1:1">
      <c r="A10354" s="25">
        <v>494</v>
      </c>
    </row>
    <row r="10355" spans="1:1" ht="30">
      <c r="A10355" s="26" t="s">
        <v>916</v>
      </c>
    </row>
    <row r="10356" spans="1:1">
      <c r="A10356" s="27" t="s">
        <v>43</v>
      </c>
    </row>
    <row r="10357" spans="1:1">
      <c r="A10357" s="27">
        <v>213</v>
      </c>
    </row>
    <row r="10358" spans="1:1">
      <c r="A10358" s="27">
        <v>22</v>
      </c>
    </row>
    <row r="10359" spans="1:1">
      <c r="A10359" s="27">
        <v>30</v>
      </c>
    </row>
    <row r="10360" spans="1:1">
      <c r="A10360" s="27">
        <v>52</v>
      </c>
    </row>
    <row r="10361" spans="1:1">
      <c r="A10361" s="27">
        <v>-10</v>
      </c>
    </row>
    <row r="10362" spans="1:1">
      <c r="A10362" s="27">
        <v>64</v>
      </c>
    </row>
    <row r="10363" spans="1:1">
      <c r="A10363" s="27">
        <v>0.24</v>
      </c>
    </row>
    <row r="10364" spans="1:1">
      <c r="A10364" s="27">
        <v>3</v>
      </c>
    </row>
    <row r="10365" spans="1:1">
      <c r="A10365" s="27">
        <v>5</v>
      </c>
    </row>
    <row r="10366" spans="1:1">
      <c r="A10366" s="27">
        <v>0</v>
      </c>
    </row>
    <row r="10367" spans="1:1">
      <c r="A10367" s="27">
        <v>0</v>
      </c>
    </row>
    <row r="10368" spans="1:1">
      <c r="A10368" s="27">
        <v>1</v>
      </c>
    </row>
    <row r="10369" spans="1:1">
      <c r="A10369" s="27">
        <v>0</v>
      </c>
    </row>
    <row r="10370" spans="1:1">
      <c r="A10370" s="27">
        <v>298</v>
      </c>
    </row>
    <row r="10371" spans="1:1">
      <c r="A10371" s="27">
        <v>7.4</v>
      </c>
    </row>
    <row r="10372" spans="1:1">
      <c r="A10372" s="29">
        <v>0.47083333333333338</v>
      </c>
    </row>
    <row r="10373" spans="1:1">
      <c r="A10373" s="27">
        <v>16.2</v>
      </c>
    </row>
    <row r="10374" spans="1:1">
      <c r="A10374" s="28">
        <v>29.2</v>
      </c>
    </row>
    <row r="10375" spans="1:1">
      <c r="A10375" s="25">
        <v>495</v>
      </c>
    </row>
    <row r="10376" spans="1:1" ht="30">
      <c r="A10376" s="26" t="s">
        <v>824</v>
      </c>
    </row>
    <row r="10377" spans="1:1">
      <c r="A10377" s="27" t="s">
        <v>653</v>
      </c>
    </row>
    <row r="10378" spans="1:1">
      <c r="A10378" s="27">
        <v>252</v>
      </c>
    </row>
    <row r="10379" spans="1:1">
      <c r="A10379" s="27">
        <v>16</v>
      </c>
    </row>
    <row r="10380" spans="1:1">
      <c r="A10380" s="27">
        <v>36</v>
      </c>
    </row>
    <row r="10381" spans="1:1">
      <c r="A10381" s="27">
        <v>52</v>
      </c>
    </row>
    <row r="10382" spans="1:1">
      <c r="A10382" s="27">
        <v>-19</v>
      </c>
    </row>
    <row r="10383" spans="1:1">
      <c r="A10383" s="27">
        <v>66</v>
      </c>
    </row>
    <row r="10384" spans="1:1">
      <c r="A10384" s="27">
        <v>0.21</v>
      </c>
    </row>
    <row r="10385" spans="1:1">
      <c r="A10385" s="27">
        <v>1</v>
      </c>
    </row>
    <row r="10386" spans="1:1">
      <c r="A10386" s="27">
        <v>2</v>
      </c>
    </row>
    <row r="10387" spans="1:1">
      <c r="A10387" s="27">
        <v>1</v>
      </c>
    </row>
    <row r="10388" spans="1:1">
      <c r="A10388" s="27">
        <v>4</v>
      </c>
    </row>
    <row r="10389" spans="1:1">
      <c r="A10389" s="27">
        <v>1</v>
      </c>
    </row>
    <row r="10390" spans="1:1">
      <c r="A10390" s="27">
        <v>0</v>
      </c>
    </row>
    <row r="10391" spans="1:1">
      <c r="A10391" s="27">
        <v>263</v>
      </c>
    </row>
    <row r="10392" spans="1:1">
      <c r="A10392" s="27">
        <v>6.1</v>
      </c>
    </row>
    <row r="10393" spans="1:1">
      <c r="A10393" s="29">
        <v>0.48819444444444443</v>
      </c>
    </row>
    <row r="10394" spans="1:1">
      <c r="A10394" s="27">
        <v>16.600000000000001</v>
      </c>
    </row>
    <row r="10395" spans="1:1">
      <c r="A10395" s="28">
        <v>44</v>
      </c>
    </row>
    <row r="10396" spans="1:1">
      <c r="A10396" s="25">
        <v>496</v>
      </c>
    </row>
    <row r="10397" spans="1:1" ht="30">
      <c r="A10397" s="26" t="s">
        <v>405</v>
      </c>
    </row>
    <row r="10398" spans="1:1">
      <c r="A10398" s="27" t="s">
        <v>42</v>
      </c>
    </row>
    <row r="10399" spans="1:1">
      <c r="A10399" s="27">
        <v>273</v>
      </c>
    </row>
    <row r="10400" spans="1:1">
      <c r="A10400" s="27">
        <v>15</v>
      </c>
    </row>
    <row r="10401" spans="1:1">
      <c r="A10401" s="27">
        <v>37</v>
      </c>
    </row>
    <row r="10402" spans="1:1">
      <c r="A10402" s="27">
        <v>52</v>
      </c>
    </row>
    <row r="10403" spans="1:1">
      <c r="A10403" s="27">
        <v>-8</v>
      </c>
    </row>
    <row r="10404" spans="1:1">
      <c r="A10404" s="27">
        <v>231</v>
      </c>
    </row>
    <row r="10405" spans="1:1">
      <c r="A10405" s="27">
        <v>0.19</v>
      </c>
    </row>
    <row r="10406" spans="1:1">
      <c r="A10406" s="27">
        <v>1</v>
      </c>
    </row>
    <row r="10407" spans="1:1">
      <c r="A10407" s="27">
        <v>1</v>
      </c>
    </row>
    <row r="10408" spans="1:1">
      <c r="A10408" s="27">
        <v>0</v>
      </c>
    </row>
    <row r="10409" spans="1:1">
      <c r="A10409" s="27">
        <v>1</v>
      </c>
    </row>
    <row r="10410" spans="1:1">
      <c r="A10410" s="27">
        <v>2</v>
      </c>
    </row>
    <row r="10411" spans="1:1">
      <c r="A10411" s="27">
        <v>0</v>
      </c>
    </row>
    <row r="10412" spans="1:1">
      <c r="A10412" s="27">
        <v>262</v>
      </c>
    </row>
    <row r="10413" spans="1:1">
      <c r="A10413" s="27">
        <v>5.7</v>
      </c>
    </row>
    <row r="10414" spans="1:1">
      <c r="A10414" s="29">
        <v>0.6333333333333333</v>
      </c>
    </row>
    <row r="10415" spans="1:1">
      <c r="A10415" s="27">
        <v>21.4</v>
      </c>
    </row>
    <row r="10416" spans="1:1">
      <c r="A10416" s="28">
        <v>0</v>
      </c>
    </row>
    <row r="10417" spans="1:1">
      <c r="A10417" s="25">
        <v>497</v>
      </c>
    </row>
    <row r="10418" spans="1:1" ht="30">
      <c r="A10418" s="26" t="s">
        <v>749</v>
      </c>
    </row>
    <row r="10419" spans="1:1">
      <c r="A10419" s="27" t="s">
        <v>42</v>
      </c>
    </row>
    <row r="10420" spans="1:1">
      <c r="A10420" s="27">
        <v>255</v>
      </c>
    </row>
    <row r="10421" spans="1:1">
      <c r="A10421" s="27">
        <v>6</v>
      </c>
    </row>
    <row r="10422" spans="1:1">
      <c r="A10422" s="27">
        <v>46</v>
      </c>
    </row>
    <row r="10423" spans="1:1">
      <c r="A10423" s="27">
        <v>52</v>
      </c>
    </row>
    <row r="10424" spans="1:1">
      <c r="A10424" s="27">
        <v>12</v>
      </c>
    </row>
    <row r="10425" spans="1:1">
      <c r="A10425" s="27">
        <v>172</v>
      </c>
    </row>
    <row r="10426" spans="1:1">
      <c r="A10426" s="27">
        <v>0.2</v>
      </c>
    </row>
    <row r="10427" spans="1:1">
      <c r="A10427" s="27">
        <v>0</v>
      </c>
    </row>
    <row r="10428" spans="1:1">
      <c r="A10428" s="27">
        <v>0</v>
      </c>
    </row>
    <row r="10429" spans="1:1">
      <c r="A10429" s="27">
        <v>0</v>
      </c>
    </row>
    <row r="10430" spans="1:1">
      <c r="A10430" s="27">
        <v>1</v>
      </c>
    </row>
    <row r="10431" spans="1:1">
      <c r="A10431" s="27">
        <v>1</v>
      </c>
    </row>
    <row r="10432" spans="1:1">
      <c r="A10432" s="27">
        <v>0</v>
      </c>
    </row>
    <row r="10433" spans="1:1">
      <c r="A10433" s="27">
        <v>267</v>
      </c>
    </row>
    <row r="10434" spans="1:1">
      <c r="A10434" s="27">
        <v>2.2000000000000002</v>
      </c>
    </row>
    <row r="10435" spans="1:1">
      <c r="A10435" s="29">
        <v>0.8340277777777777</v>
      </c>
    </row>
    <row r="10436" spans="1:1">
      <c r="A10436" s="27">
        <v>25.9</v>
      </c>
    </row>
    <row r="10437" spans="1:1">
      <c r="A10437" s="28">
        <v>50</v>
      </c>
    </row>
    <row r="10438" spans="1:1">
      <c r="A10438" s="25">
        <v>498</v>
      </c>
    </row>
    <row r="10439" spans="1:1" ht="45">
      <c r="A10439" s="26" t="s">
        <v>402</v>
      </c>
    </row>
    <row r="10440" spans="1:1">
      <c r="A10440" s="27" t="s">
        <v>42</v>
      </c>
    </row>
    <row r="10441" spans="1:1">
      <c r="A10441" s="27">
        <v>111</v>
      </c>
    </row>
    <row r="10442" spans="1:1">
      <c r="A10442" s="27">
        <v>19</v>
      </c>
    </row>
    <row r="10443" spans="1:1">
      <c r="A10443" s="27">
        <v>32</v>
      </c>
    </row>
    <row r="10444" spans="1:1">
      <c r="A10444" s="27">
        <v>51</v>
      </c>
    </row>
    <row r="10445" spans="1:1">
      <c r="A10445" s="27">
        <v>-5</v>
      </c>
    </row>
    <row r="10446" spans="1:1">
      <c r="A10446" s="27">
        <v>20</v>
      </c>
    </row>
    <row r="10447" spans="1:1">
      <c r="A10447" s="27">
        <v>0.46</v>
      </c>
    </row>
    <row r="10448" spans="1:1">
      <c r="A10448" s="27">
        <v>2</v>
      </c>
    </row>
    <row r="10449" spans="1:1">
      <c r="A10449" s="27">
        <v>10</v>
      </c>
    </row>
    <row r="10450" spans="1:1">
      <c r="A10450" s="27">
        <v>0</v>
      </c>
    </row>
    <row r="10451" spans="1:1">
      <c r="A10451" s="27">
        <v>1</v>
      </c>
    </row>
    <row r="10452" spans="1:1">
      <c r="A10452" s="27">
        <v>4</v>
      </c>
    </row>
    <row r="10453" spans="1:1">
      <c r="A10453" s="27">
        <v>0</v>
      </c>
    </row>
    <row r="10454" spans="1:1">
      <c r="A10454" s="27">
        <v>254</v>
      </c>
    </row>
    <row r="10455" spans="1:1">
      <c r="A10455" s="27">
        <v>7.5</v>
      </c>
    </row>
    <row r="10456" spans="1:1">
      <c r="A10456" s="29">
        <v>0.98055555555555562</v>
      </c>
    </row>
    <row r="10457" spans="1:1">
      <c r="A10457" s="27">
        <v>28.1</v>
      </c>
    </row>
    <row r="10458" spans="1:1">
      <c r="A10458" s="28">
        <v>0</v>
      </c>
    </row>
    <row r="10459" spans="1:1">
      <c r="A10459" s="25">
        <v>499</v>
      </c>
    </row>
    <row r="10460" spans="1:1" ht="30">
      <c r="A10460" s="26" t="s">
        <v>1082</v>
      </c>
    </row>
    <row r="10461" spans="1:1">
      <c r="A10461" s="27" t="s">
        <v>42</v>
      </c>
    </row>
    <row r="10462" spans="1:1">
      <c r="A10462" s="27">
        <v>148</v>
      </c>
    </row>
    <row r="10463" spans="1:1">
      <c r="A10463" s="27">
        <v>15</v>
      </c>
    </row>
    <row r="10464" spans="1:1">
      <c r="A10464" s="27">
        <v>36</v>
      </c>
    </row>
    <row r="10465" spans="1:1">
      <c r="A10465" s="27">
        <v>51</v>
      </c>
    </row>
    <row r="10466" spans="1:1">
      <c r="A10466" s="27">
        <v>-20</v>
      </c>
    </row>
    <row r="10467" spans="1:1">
      <c r="A10467" s="27">
        <v>18</v>
      </c>
    </row>
    <row r="10468" spans="1:1">
      <c r="A10468" s="27">
        <v>0.34</v>
      </c>
    </row>
    <row r="10469" spans="1:1">
      <c r="A10469" s="27">
        <v>10</v>
      </c>
    </row>
    <row r="10470" spans="1:1">
      <c r="A10470" s="27">
        <v>30</v>
      </c>
    </row>
    <row r="10471" spans="1:1">
      <c r="A10471" s="27">
        <v>0</v>
      </c>
    </row>
    <row r="10472" spans="1:1">
      <c r="A10472" s="27">
        <v>0</v>
      </c>
    </row>
    <row r="10473" spans="1:1">
      <c r="A10473" s="27">
        <v>1</v>
      </c>
    </row>
    <row r="10474" spans="1:1">
      <c r="A10474" s="27">
        <v>0</v>
      </c>
    </row>
    <row r="10475" spans="1:1">
      <c r="A10475" s="27">
        <v>244</v>
      </c>
    </row>
    <row r="10476" spans="1:1">
      <c r="A10476" s="27">
        <v>6.1</v>
      </c>
    </row>
    <row r="10477" spans="1:1">
      <c r="A10477" s="29">
        <v>0.65486111111111112</v>
      </c>
    </row>
    <row r="10478" spans="1:1">
      <c r="A10478" s="27">
        <v>19.899999999999999</v>
      </c>
    </row>
    <row r="10479" spans="1:1">
      <c r="A10479" s="28">
        <v>0</v>
      </c>
    </row>
    <row r="10480" spans="1:1">
      <c r="A10480" s="25">
        <v>500</v>
      </c>
    </row>
    <row r="10481" spans="1:1" ht="30">
      <c r="A10481" s="26" t="s">
        <v>423</v>
      </c>
    </row>
    <row r="10482" spans="1:1">
      <c r="A10482" s="27" t="s">
        <v>653</v>
      </c>
    </row>
    <row r="10483" spans="1:1">
      <c r="A10483" s="27">
        <v>137</v>
      </c>
    </row>
    <row r="10484" spans="1:1">
      <c r="A10484" s="27">
        <v>20</v>
      </c>
    </row>
    <row r="10485" spans="1:1">
      <c r="A10485" s="27">
        <v>30</v>
      </c>
    </row>
    <row r="10486" spans="1:1">
      <c r="A10486" s="27">
        <v>50</v>
      </c>
    </row>
    <row r="10487" spans="1:1">
      <c r="A10487" s="27">
        <v>11</v>
      </c>
    </row>
    <row r="10488" spans="1:1">
      <c r="A10488" s="27">
        <v>12</v>
      </c>
    </row>
    <row r="10489" spans="1:1">
      <c r="A10489" s="27">
        <v>0.36</v>
      </c>
    </row>
    <row r="10490" spans="1:1">
      <c r="A10490" s="27">
        <v>6</v>
      </c>
    </row>
    <row r="10491" spans="1:1">
      <c r="A10491" s="27">
        <v>9</v>
      </c>
    </row>
    <row r="10492" spans="1:1">
      <c r="A10492" s="27">
        <v>0</v>
      </c>
    </row>
    <row r="10493" spans="1:1">
      <c r="A10493" s="27">
        <v>0</v>
      </c>
    </row>
    <row r="10494" spans="1:1">
      <c r="A10494" s="27">
        <v>1</v>
      </c>
    </row>
    <row r="10495" spans="1:1">
      <c r="A10495" s="27">
        <v>0</v>
      </c>
    </row>
    <row r="10496" spans="1:1">
      <c r="A10496" s="27">
        <v>162</v>
      </c>
    </row>
    <row r="10497" spans="1:1">
      <c r="A10497" s="27">
        <v>12.3</v>
      </c>
    </row>
    <row r="10498" spans="1:1">
      <c r="A10498" s="29">
        <v>0.47222222222222227</v>
      </c>
    </row>
    <row r="10499" spans="1:1">
      <c r="A10499" s="27">
        <v>15.4</v>
      </c>
    </row>
    <row r="10500" spans="1:1">
      <c r="A10500" s="28">
        <v>46.4</v>
      </c>
    </row>
    <row r="10501" spans="1:1">
      <c r="A10501" s="25">
        <v>501</v>
      </c>
    </row>
    <row r="10502" spans="1:1" ht="30">
      <c r="A10502" s="26" t="s">
        <v>177</v>
      </c>
    </row>
    <row r="10503" spans="1:1">
      <c r="A10503" s="27" t="s">
        <v>42</v>
      </c>
    </row>
    <row r="10504" spans="1:1">
      <c r="A10504" s="27">
        <v>240</v>
      </c>
    </row>
    <row r="10505" spans="1:1">
      <c r="A10505" s="27">
        <v>6</v>
      </c>
    </row>
    <row r="10506" spans="1:1">
      <c r="A10506" s="27">
        <v>44</v>
      </c>
    </row>
    <row r="10507" spans="1:1">
      <c r="A10507" s="27">
        <v>50</v>
      </c>
    </row>
    <row r="10508" spans="1:1">
      <c r="A10508" s="27">
        <v>-19</v>
      </c>
    </row>
    <row r="10509" spans="1:1">
      <c r="A10509" s="27">
        <v>60</v>
      </c>
    </row>
    <row r="10510" spans="1:1">
      <c r="A10510" s="27">
        <v>0.21</v>
      </c>
    </row>
    <row r="10511" spans="1:1">
      <c r="A10511" s="27">
        <v>0</v>
      </c>
    </row>
    <row r="10512" spans="1:1">
      <c r="A10512" s="27">
        <v>2</v>
      </c>
    </row>
    <row r="10513" spans="1:1">
      <c r="A10513" s="27">
        <v>0</v>
      </c>
    </row>
    <row r="10514" spans="1:1">
      <c r="A10514" s="27">
        <v>2</v>
      </c>
    </row>
    <row r="10515" spans="1:1">
      <c r="A10515" s="27">
        <v>0</v>
      </c>
    </row>
    <row r="10516" spans="1:1">
      <c r="A10516" s="27">
        <v>0</v>
      </c>
    </row>
    <row r="10517" spans="1:1">
      <c r="A10517" s="27">
        <v>285</v>
      </c>
    </row>
    <row r="10518" spans="1:1">
      <c r="A10518" s="27">
        <v>2.1</v>
      </c>
    </row>
    <row r="10519" spans="1:1">
      <c r="A10519" s="29">
        <v>0.74791666666666667</v>
      </c>
    </row>
    <row r="10520" spans="1:1">
      <c r="A10520" s="27">
        <v>23.6</v>
      </c>
    </row>
    <row r="10521" spans="1:1">
      <c r="A10521" s="28">
        <v>0</v>
      </c>
    </row>
    <row r="10522" spans="1:1">
      <c r="A10522" s="25">
        <v>502</v>
      </c>
    </row>
    <row r="10523" spans="1:1" ht="45">
      <c r="A10523" s="26" t="s">
        <v>1163</v>
      </c>
    </row>
    <row r="10524" spans="1:1">
      <c r="A10524" s="27" t="s">
        <v>42</v>
      </c>
    </row>
    <row r="10525" spans="1:1">
      <c r="A10525" s="27">
        <v>263</v>
      </c>
    </row>
    <row r="10526" spans="1:1">
      <c r="A10526" s="27">
        <v>5</v>
      </c>
    </row>
    <row r="10527" spans="1:1">
      <c r="A10527" s="27">
        <v>45</v>
      </c>
    </row>
    <row r="10528" spans="1:1">
      <c r="A10528" s="27">
        <v>50</v>
      </c>
    </row>
    <row r="10529" spans="1:1">
      <c r="A10529" s="27">
        <v>-10</v>
      </c>
    </row>
    <row r="10530" spans="1:1">
      <c r="A10530" s="27">
        <v>360</v>
      </c>
    </row>
    <row r="10531" spans="1:1">
      <c r="A10531" s="27">
        <v>0.19</v>
      </c>
    </row>
    <row r="10532" spans="1:1">
      <c r="A10532" s="27">
        <v>0</v>
      </c>
    </row>
    <row r="10533" spans="1:1">
      <c r="A10533" s="27">
        <v>0</v>
      </c>
    </row>
    <row r="10534" spans="1:1">
      <c r="A10534" s="27">
        <v>0</v>
      </c>
    </row>
    <row r="10535" spans="1:1">
      <c r="A10535" s="27">
        <v>1</v>
      </c>
    </row>
    <row r="10536" spans="1:1">
      <c r="A10536" s="27">
        <v>1</v>
      </c>
    </row>
    <row r="10537" spans="1:1">
      <c r="A10537" s="27">
        <v>0</v>
      </c>
    </row>
    <row r="10538" spans="1:1">
      <c r="A10538" s="27">
        <v>253</v>
      </c>
    </row>
    <row r="10539" spans="1:1">
      <c r="A10539" s="27">
        <v>2</v>
      </c>
    </row>
    <row r="10540" spans="1:1">
      <c r="A10540" s="29">
        <v>0.68194444444444446</v>
      </c>
    </row>
    <row r="10541" spans="1:1">
      <c r="A10541" s="27">
        <v>20.8</v>
      </c>
    </row>
    <row r="10542" spans="1:1">
      <c r="A10542" s="28">
        <v>0</v>
      </c>
    </row>
    <row r="10543" spans="1:1">
      <c r="A10543" s="25">
        <v>503</v>
      </c>
    </row>
    <row r="10544" spans="1:1" ht="45">
      <c r="A10544" s="26" t="s">
        <v>553</v>
      </c>
    </row>
    <row r="10545" spans="1:1">
      <c r="A10545" s="27" t="s">
        <v>44</v>
      </c>
    </row>
    <row r="10546" spans="1:1">
      <c r="A10546" s="27">
        <v>157</v>
      </c>
    </row>
    <row r="10547" spans="1:1">
      <c r="A10547" s="27">
        <v>27</v>
      </c>
    </row>
    <row r="10548" spans="1:1">
      <c r="A10548" s="27">
        <v>22</v>
      </c>
    </row>
    <row r="10549" spans="1:1">
      <c r="A10549" s="27">
        <v>49</v>
      </c>
    </row>
    <row r="10550" spans="1:1">
      <c r="A10550" s="27">
        <v>-3</v>
      </c>
    </row>
    <row r="10551" spans="1:1">
      <c r="A10551" s="27">
        <v>50</v>
      </c>
    </row>
    <row r="10552" spans="1:1">
      <c r="A10552" s="27">
        <v>0.31</v>
      </c>
    </row>
    <row r="10553" spans="1:1">
      <c r="A10553" s="27">
        <v>0</v>
      </c>
    </row>
    <row r="10554" spans="1:1">
      <c r="A10554" s="27">
        <v>0</v>
      </c>
    </row>
    <row r="10555" spans="1:1">
      <c r="A10555" s="27">
        <v>1</v>
      </c>
    </row>
    <row r="10556" spans="1:1">
      <c r="A10556" s="27">
        <v>2</v>
      </c>
    </row>
    <row r="10557" spans="1:1">
      <c r="A10557" s="27">
        <v>3</v>
      </c>
    </row>
    <row r="10558" spans="1:1">
      <c r="A10558" s="27">
        <v>0</v>
      </c>
    </row>
    <row r="10559" spans="1:1">
      <c r="A10559" s="27">
        <v>182</v>
      </c>
    </row>
    <row r="10560" spans="1:1">
      <c r="A10560" s="27">
        <v>14.8</v>
      </c>
    </row>
    <row r="10561" spans="1:1">
      <c r="A10561" s="29">
        <v>0.51041666666666663</v>
      </c>
    </row>
    <row r="10562" spans="1:1">
      <c r="A10562" s="27">
        <v>17.7</v>
      </c>
    </row>
    <row r="10563" spans="1:1">
      <c r="A10563" s="28">
        <v>39.1</v>
      </c>
    </row>
    <row r="10564" spans="1:1">
      <c r="A10564" s="25">
        <v>504</v>
      </c>
    </row>
    <row r="10565" spans="1:1" ht="45">
      <c r="A10565" s="26" t="s">
        <v>870</v>
      </c>
    </row>
    <row r="10566" spans="1:1">
      <c r="A10566" s="27" t="s">
        <v>43</v>
      </c>
    </row>
    <row r="10567" spans="1:1">
      <c r="A10567" s="27">
        <v>202</v>
      </c>
    </row>
    <row r="10568" spans="1:1">
      <c r="A10568" s="27">
        <v>20</v>
      </c>
    </row>
    <row r="10569" spans="1:1">
      <c r="A10569" s="27">
        <v>29</v>
      </c>
    </row>
    <row r="10570" spans="1:1">
      <c r="A10570" s="27">
        <v>49</v>
      </c>
    </row>
    <row r="10571" spans="1:1">
      <c r="A10571" s="27">
        <v>19</v>
      </c>
    </row>
    <row r="10572" spans="1:1">
      <c r="A10572" s="27">
        <v>249</v>
      </c>
    </row>
    <row r="10573" spans="1:1">
      <c r="A10573" s="27">
        <v>0.24</v>
      </c>
    </row>
    <row r="10574" spans="1:1">
      <c r="A10574" s="27">
        <v>0</v>
      </c>
    </row>
    <row r="10575" spans="1:1">
      <c r="A10575" s="27">
        <v>0</v>
      </c>
    </row>
    <row r="10576" spans="1:1">
      <c r="A10576" s="27">
        <v>3</v>
      </c>
    </row>
    <row r="10577" spans="1:1">
      <c r="A10577" s="27">
        <v>5</v>
      </c>
    </row>
    <row r="10578" spans="1:1">
      <c r="A10578" s="27">
        <v>5</v>
      </c>
    </row>
    <row r="10579" spans="1:1">
      <c r="A10579" s="27">
        <v>0</v>
      </c>
    </row>
    <row r="10580" spans="1:1">
      <c r="A10580" s="27">
        <v>209</v>
      </c>
    </row>
    <row r="10581" spans="1:1">
      <c r="A10581" s="27">
        <v>9.6</v>
      </c>
    </row>
    <row r="10582" spans="1:1">
      <c r="A10582" s="29">
        <v>0.4548611111111111</v>
      </c>
    </row>
    <row r="10583" spans="1:1">
      <c r="A10583" s="27">
        <v>15.4</v>
      </c>
    </row>
    <row r="10584" spans="1:1">
      <c r="A10584" s="28">
        <v>38.5</v>
      </c>
    </row>
    <row r="10585" spans="1:1">
      <c r="A10585" s="25">
        <v>505</v>
      </c>
    </row>
    <row r="10586" spans="1:1" ht="30">
      <c r="A10586" s="26" t="s">
        <v>682</v>
      </c>
    </row>
    <row r="10587" spans="1:1">
      <c r="A10587" s="27" t="s">
        <v>44</v>
      </c>
    </row>
    <row r="10588" spans="1:1">
      <c r="A10588" s="27">
        <v>187</v>
      </c>
    </row>
    <row r="10589" spans="1:1">
      <c r="A10589" s="27">
        <v>19</v>
      </c>
    </row>
    <row r="10590" spans="1:1">
      <c r="A10590" s="27">
        <v>30</v>
      </c>
    </row>
    <row r="10591" spans="1:1">
      <c r="A10591" s="27">
        <v>49</v>
      </c>
    </row>
    <row r="10592" spans="1:1">
      <c r="A10592" s="27">
        <v>-28</v>
      </c>
    </row>
    <row r="10593" spans="1:1">
      <c r="A10593" s="27">
        <v>56</v>
      </c>
    </row>
    <row r="10594" spans="1:1">
      <c r="A10594" s="27">
        <v>0.26</v>
      </c>
    </row>
    <row r="10595" spans="1:1">
      <c r="A10595" s="27">
        <v>0</v>
      </c>
    </row>
    <row r="10596" spans="1:1">
      <c r="A10596" s="27">
        <v>1</v>
      </c>
    </row>
    <row r="10597" spans="1:1">
      <c r="A10597" s="27">
        <v>0</v>
      </c>
    </row>
    <row r="10598" spans="1:1">
      <c r="A10598" s="27">
        <v>0</v>
      </c>
    </row>
    <row r="10599" spans="1:1">
      <c r="A10599" s="27">
        <v>2</v>
      </c>
    </row>
    <row r="10600" spans="1:1">
      <c r="A10600" s="27">
        <v>0</v>
      </c>
    </row>
    <row r="10601" spans="1:1">
      <c r="A10601" s="27">
        <v>289</v>
      </c>
    </row>
    <row r="10602" spans="1:1">
      <c r="A10602" s="27">
        <v>6.6</v>
      </c>
    </row>
    <row r="10603" spans="1:1">
      <c r="A10603" s="29">
        <v>0.47430555555555554</v>
      </c>
    </row>
    <row r="10604" spans="1:1">
      <c r="A10604" s="27">
        <v>16.2</v>
      </c>
    </row>
    <row r="10605" spans="1:1">
      <c r="A10605" s="28">
        <v>56</v>
      </c>
    </row>
    <row r="10606" spans="1:1">
      <c r="A10606" s="25">
        <v>506</v>
      </c>
    </row>
    <row r="10607" spans="1:1" ht="30">
      <c r="A10607" s="26" t="s">
        <v>810</v>
      </c>
    </row>
    <row r="10608" spans="1:1">
      <c r="A10608" s="27" t="s">
        <v>44</v>
      </c>
    </row>
    <row r="10609" spans="1:1">
      <c r="A10609" s="27">
        <v>182</v>
      </c>
    </row>
    <row r="10610" spans="1:1">
      <c r="A10610" s="27">
        <v>21</v>
      </c>
    </row>
    <row r="10611" spans="1:1">
      <c r="A10611" s="27">
        <v>27</v>
      </c>
    </row>
    <row r="10612" spans="1:1">
      <c r="A10612" s="27">
        <v>48</v>
      </c>
    </row>
    <row r="10613" spans="1:1">
      <c r="A10613" s="27">
        <v>-28</v>
      </c>
    </row>
    <row r="10614" spans="1:1">
      <c r="A10614" s="27">
        <v>117</v>
      </c>
    </row>
    <row r="10615" spans="1:1">
      <c r="A10615" s="27">
        <v>0.26</v>
      </c>
    </row>
    <row r="10616" spans="1:1">
      <c r="A10616" s="27">
        <v>0</v>
      </c>
    </row>
    <row r="10617" spans="1:1">
      <c r="A10617" s="27">
        <v>1</v>
      </c>
    </row>
    <row r="10618" spans="1:1">
      <c r="A10618" s="27">
        <v>2</v>
      </c>
    </row>
    <row r="10619" spans="1:1">
      <c r="A10619" s="27">
        <v>4</v>
      </c>
    </row>
    <row r="10620" spans="1:1">
      <c r="A10620" s="27">
        <v>4</v>
      </c>
    </row>
    <row r="10621" spans="1:1">
      <c r="A10621" s="27">
        <v>0</v>
      </c>
    </row>
    <row r="10622" spans="1:1">
      <c r="A10622" s="27">
        <v>195</v>
      </c>
    </row>
    <row r="10623" spans="1:1">
      <c r="A10623" s="27">
        <v>10.8</v>
      </c>
    </row>
    <row r="10624" spans="1:1">
      <c r="A10624" s="29">
        <v>0.51458333333333328</v>
      </c>
    </row>
    <row r="10625" spans="1:1">
      <c r="A10625" s="27">
        <v>17.2</v>
      </c>
    </row>
    <row r="10626" spans="1:1">
      <c r="A10626" s="28">
        <v>44.9</v>
      </c>
    </row>
    <row r="10627" spans="1:1">
      <c r="A10627" s="25">
        <v>507</v>
      </c>
    </row>
    <row r="10628" spans="1:1" ht="45">
      <c r="A10628" s="26" t="s">
        <v>937</v>
      </c>
    </row>
    <row r="10629" spans="1:1">
      <c r="A10629" s="27" t="s">
        <v>43</v>
      </c>
    </row>
    <row r="10630" spans="1:1">
      <c r="A10630" s="27">
        <v>210</v>
      </c>
    </row>
    <row r="10631" spans="1:1">
      <c r="A10631" s="27">
        <v>15</v>
      </c>
    </row>
    <row r="10632" spans="1:1">
      <c r="A10632" s="27">
        <v>33</v>
      </c>
    </row>
    <row r="10633" spans="1:1">
      <c r="A10633" s="27">
        <v>48</v>
      </c>
    </row>
    <row r="10634" spans="1:1">
      <c r="A10634" s="27">
        <v>5</v>
      </c>
    </row>
    <row r="10635" spans="1:1">
      <c r="A10635" s="27">
        <v>58</v>
      </c>
    </row>
    <row r="10636" spans="1:1">
      <c r="A10636" s="27">
        <v>0.23</v>
      </c>
    </row>
    <row r="10637" spans="1:1">
      <c r="A10637" s="27">
        <v>0</v>
      </c>
    </row>
    <row r="10638" spans="1:1">
      <c r="A10638" s="27">
        <v>1</v>
      </c>
    </row>
    <row r="10639" spans="1:1">
      <c r="A10639" s="27">
        <v>3</v>
      </c>
    </row>
    <row r="10640" spans="1:1">
      <c r="A10640" s="27">
        <v>6</v>
      </c>
    </row>
    <row r="10641" spans="1:1">
      <c r="A10641" s="27">
        <v>2</v>
      </c>
    </row>
    <row r="10642" spans="1:1">
      <c r="A10642" s="27">
        <v>0</v>
      </c>
    </row>
    <row r="10643" spans="1:1">
      <c r="A10643" s="27">
        <v>202</v>
      </c>
    </row>
    <row r="10644" spans="1:1">
      <c r="A10644" s="27">
        <v>7.4</v>
      </c>
    </row>
    <row r="10645" spans="1:1">
      <c r="A10645" s="29">
        <v>0.46388888888888885</v>
      </c>
    </row>
    <row r="10646" spans="1:1">
      <c r="A10646" s="27">
        <v>16.899999999999999</v>
      </c>
    </row>
    <row r="10647" spans="1:1">
      <c r="A10647" s="28">
        <v>19</v>
      </c>
    </row>
    <row r="10648" spans="1:1">
      <c r="A10648" s="25">
        <v>508</v>
      </c>
    </row>
    <row r="10649" spans="1:1" ht="30">
      <c r="A10649" s="26" t="s">
        <v>1146</v>
      </c>
    </row>
    <row r="10650" spans="1:1">
      <c r="A10650" s="27" t="s">
        <v>42</v>
      </c>
    </row>
    <row r="10651" spans="1:1">
      <c r="A10651" s="27">
        <v>255</v>
      </c>
    </row>
    <row r="10652" spans="1:1">
      <c r="A10652" s="27">
        <v>14</v>
      </c>
    </row>
    <row r="10653" spans="1:1">
      <c r="A10653" s="27">
        <v>34</v>
      </c>
    </row>
    <row r="10654" spans="1:1">
      <c r="A10654" s="27">
        <v>48</v>
      </c>
    </row>
    <row r="10655" spans="1:1">
      <c r="A10655" s="27">
        <v>-18</v>
      </c>
    </row>
    <row r="10656" spans="1:1">
      <c r="A10656" s="27">
        <v>254</v>
      </c>
    </row>
    <row r="10657" spans="1:1">
      <c r="A10657" s="27">
        <v>0.19</v>
      </c>
    </row>
    <row r="10658" spans="1:1">
      <c r="A10658" s="27">
        <v>0</v>
      </c>
    </row>
    <row r="10659" spans="1:1">
      <c r="A10659" s="27">
        <v>1</v>
      </c>
    </row>
    <row r="10660" spans="1:1">
      <c r="A10660" s="27">
        <v>1</v>
      </c>
    </row>
    <row r="10661" spans="1:1">
      <c r="A10661" s="27">
        <v>1</v>
      </c>
    </row>
    <row r="10662" spans="1:1">
      <c r="A10662" s="27">
        <v>4</v>
      </c>
    </row>
    <row r="10663" spans="1:1">
      <c r="A10663" s="27">
        <v>0</v>
      </c>
    </row>
    <row r="10664" spans="1:1">
      <c r="A10664" s="27">
        <v>324</v>
      </c>
    </row>
    <row r="10665" spans="1:1">
      <c r="A10665" s="27">
        <v>4.3</v>
      </c>
    </row>
    <row r="10666" spans="1:1">
      <c r="A10666" s="29">
        <v>0.69861111111111107</v>
      </c>
    </row>
    <row r="10667" spans="1:1">
      <c r="A10667" s="27">
        <v>23.3</v>
      </c>
    </row>
    <row r="10668" spans="1:1">
      <c r="A10668" s="28">
        <v>0</v>
      </c>
    </row>
    <row r="10669" spans="1:1">
      <c r="A10669" s="25">
        <v>509</v>
      </c>
    </row>
    <row r="10670" spans="1:1" ht="30">
      <c r="A10670" s="26" t="s">
        <v>1137</v>
      </c>
    </row>
    <row r="10671" spans="1:1">
      <c r="A10671" s="27" t="s">
        <v>42</v>
      </c>
    </row>
    <row r="10672" spans="1:1">
      <c r="A10672" s="27">
        <v>188</v>
      </c>
    </row>
    <row r="10673" spans="1:1">
      <c r="A10673" s="27">
        <v>13</v>
      </c>
    </row>
    <row r="10674" spans="1:1">
      <c r="A10674" s="27">
        <v>35</v>
      </c>
    </row>
    <row r="10675" spans="1:1">
      <c r="A10675" s="27">
        <v>48</v>
      </c>
    </row>
    <row r="10676" spans="1:1">
      <c r="A10676" s="27">
        <v>9</v>
      </c>
    </row>
    <row r="10677" spans="1:1">
      <c r="A10677" s="27">
        <v>179</v>
      </c>
    </row>
    <row r="10678" spans="1:1">
      <c r="A10678" s="27">
        <v>0.26</v>
      </c>
    </row>
    <row r="10679" spans="1:1">
      <c r="A10679" s="27">
        <v>0</v>
      </c>
    </row>
    <row r="10680" spans="1:1">
      <c r="A10680" s="27">
        <v>0</v>
      </c>
    </row>
    <row r="10681" spans="1:1">
      <c r="A10681" s="27">
        <v>1</v>
      </c>
    </row>
    <row r="10682" spans="1:1">
      <c r="A10682" s="27">
        <v>2</v>
      </c>
    </row>
    <row r="10683" spans="1:1">
      <c r="A10683" s="27">
        <v>1</v>
      </c>
    </row>
    <row r="10684" spans="1:1">
      <c r="A10684" s="27">
        <v>0</v>
      </c>
    </row>
    <row r="10685" spans="1:1">
      <c r="A10685" s="27">
        <v>253</v>
      </c>
    </row>
    <row r="10686" spans="1:1">
      <c r="A10686" s="27">
        <v>5.0999999999999996</v>
      </c>
    </row>
    <row r="10687" spans="1:1">
      <c r="A10687" s="29">
        <v>0.74652777777777779</v>
      </c>
    </row>
    <row r="10688" spans="1:1">
      <c r="A10688" s="27">
        <v>22.4</v>
      </c>
    </row>
    <row r="10689" spans="1:1">
      <c r="A10689" s="28">
        <v>0</v>
      </c>
    </row>
    <row r="10690" spans="1:1">
      <c r="A10690" s="25">
        <v>510</v>
      </c>
    </row>
    <row r="10691" spans="1:1" ht="30">
      <c r="A10691" s="26" t="s">
        <v>1126</v>
      </c>
    </row>
    <row r="10692" spans="1:1">
      <c r="A10692" s="27" t="s">
        <v>42</v>
      </c>
    </row>
    <row r="10693" spans="1:1">
      <c r="A10693" s="27">
        <v>202</v>
      </c>
    </row>
    <row r="10694" spans="1:1">
      <c r="A10694" s="27">
        <v>8</v>
      </c>
    </row>
    <row r="10695" spans="1:1">
      <c r="A10695" s="27">
        <v>40</v>
      </c>
    </row>
    <row r="10696" spans="1:1">
      <c r="A10696" s="27">
        <v>48</v>
      </c>
    </row>
    <row r="10697" spans="1:1">
      <c r="A10697" s="27">
        <v>-35</v>
      </c>
    </row>
    <row r="10698" spans="1:1">
      <c r="A10698" s="27">
        <v>81</v>
      </c>
    </row>
    <row r="10699" spans="1:1">
      <c r="A10699" s="27">
        <v>0.24</v>
      </c>
    </row>
    <row r="10700" spans="1:1">
      <c r="A10700" s="27">
        <v>3</v>
      </c>
    </row>
    <row r="10701" spans="1:1">
      <c r="A10701" s="27">
        <v>14</v>
      </c>
    </row>
    <row r="10702" spans="1:1">
      <c r="A10702" s="27">
        <v>0</v>
      </c>
    </row>
    <row r="10703" spans="1:1">
      <c r="A10703" s="27">
        <v>1</v>
      </c>
    </row>
    <row r="10704" spans="1:1">
      <c r="A10704" s="27">
        <v>6</v>
      </c>
    </row>
    <row r="10705" spans="1:1">
      <c r="A10705" s="27">
        <v>1</v>
      </c>
    </row>
    <row r="10706" spans="1:1">
      <c r="A10706" s="27">
        <v>229</v>
      </c>
    </row>
    <row r="10707" spans="1:1">
      <c r="A10707" s="27">
        <v>3.5</v>
      </c>
    </row>
    <row r="10708" spans="1:1">
      <c r="A10708" s="29">
        <v>0.71111111111111114</v>
      </c>
    </row>
    <row r="10709" spans="1:1">
      <c r="A10709" s="27">
        <v>22.4</v>
      </c>
    </row>
    <row r="10710" spans="1:1">
      <c r="A10710" s="28">
        <v>0</v>
      </c>
    </row>
    <row r="10711" spans="1:1">
      <c r="A10711" s="25">
        <v>511</v>
      </c>
    </row>
    <row r="10712" spans="1:1" ht="45">
      <c r="A10712" s="26" t="s">
        <v>1151</v>
      </c>
    </row>
    <row r="10713" spans="1:1">
      <c r="A10713" s="27" t="s">
        <v>42</v>
      </c>
    </row>
    <row r="10714" spans="1:1">
      <c r="A10714" s="27">
        <v>255</v>
      </c>
    </row>
    <row r="10715" spans="1:1">
      <c r="A10715" s="27">
        <v>8</v>
      </c>
    </row>
    <row r="10716" spans="1:1">
      <c r="A10716" s="27">
        <v>40</v>
      </c>
    </row>
    <row r="10717" spans="1:1">
      <c r="A10717" s="27">
        <v>48</v>
      </c>
    </row>
    <row r="10718" spans="1:1">
      <c r="A10718" s="27">
        <v>-11</v>
      </c>
    </row>
    <row r="10719" spans="1:1">
      <c r="A10719" s="27">
        <v>157</v>
      </c>
    </row>
    <row r="10720" spans="1:1">
      <c r="A10720" s="27">
        <v>0.19</v>
      </c>
    </row>
    <row r="10721" spans="1:1">
      <c r="A10721" s="27">
        <v>0</v>
      </c>
    </row>
    <row r="10722" spans="1:1">
      <c r="A10722" s="27">
        <v>0</v>
      </c>
    </row>
    <row r="10723" spans="1:1">
      <c r="A10723" s="27">
        <v>0</v>
      </c>
    </row>
    <row r="10724" spans="1:1">
      <c r="A10724" s="27">
        <v>0</v>
      </c>
    </row>
    <row r="10725" spans="1:1">
      <c r="A10725" s="27">
        <v>0</v>
      </c>
    </row>
    <row r="10726" spans="1:1">
      <c r="A10726" s="27">
        <v>0</v>
      </c>
    </row>
    <row r="10727" spans="1:1">
      <c r="A10727" s="27">
        <v>293</v>
      </c>
    </row>
    <row r="10728" spans="1:1">
      <c r="A10728" s="27">
        <v>2.7</v>
      </c>
    </row>
    <row r="10729" spans="1:1">
      <c r="A10729" s="29">
        <v>0.71736111111111101</v>
      </c>
    </row>
    <row r="10730" spans="1:1">
      <c r="A10730" s="27">
        <v>23.2</v>
      </c>
    </row>
    <row r="10731" spans="1:1">
      <c r="A10731" s="28">
        <v>0</v>
      </c>
    </row>
    <row r="10732" spans="1:1">
      <c r="A10732" s="25">
        <v>512</v>
      </c>
    </row>
    <row r="10733" spans="1:1" ht="30">
      <c r="A10733" s="26" t="s">
        <v>480</v>
      </c>
    </row>
    <row r="10734" spans="1:1">
      <c r="A10734" s="27" t="s">
        <v>44</v>
      </c>
    </row>
    <row r="10735" spans="1:1">
      <c r="A10735" s="27">
        <v>189</v>
      </c>
    </row>
    <row r="10736" spans="1:1">
      <c r="A10736" s="27">
        <v>23</v>
      </c>
    </row>
    <row r="10737" spans="1:1">
      <c r="A10737" s="27">
        <v>24</v>
      </c>
    </row>
    <row r="10738" spans="1:1">
      <c r="A10738" s="27">
        <v>47</v>
      </c>
    </row>
    <row r="10739" spans="1:1">
      <c r="A10739" s="27">
        <v>-18</v>
      </c>
    </row>
    <row r="10740" spans="1:1">
      <c r="A10740" s="27">
        <v>137</v>
      </c>
    </row>
    <row r="10741" spans="1:1">
      <c r="A10741" s="27">
        <v>0.25</v>
      </c>
    </row>
    <row r="10742" spans="1:1">
      <c r="A10742" s="27">
        <v>0</v>
      </c>
    </row>
    <row r="10743" spans="1:1">
      <c r="A10743" s="27">
        <v>0</v>
      </c>
    </row>
    <row r="10744" spans="1:1">
      <c r="A10744" s="27">
        <v>3</v>
      </c>
    </row>
    <row r="10745" spans="1:1">
      <c r="A10745" s="27">
        <v>3</v>
      </c>
    </row>
    <row r="10746" spans="1:1">
      <c r="A10746" s="27">
        <v>4</v>
      </c>
    </row>
    <row r="10747" spans="1:1">
      <c r="A10747" s="27">
        <v>0</v>
      </c>
    </row>
    <row r="10748" spans="1:1">
      <c r="A10748" s="27">
        <v>263</v>
      </c>
    </row>
    <row r="10749" spans="1:1">
      <c r="A10749" s="27">
        <v>8.6999999999999993</v>
      </c>
    </row>
    <row r="10750" spans="1:1">
      <c r="A10750" s="29">
        <v>0.52152777777777781</v>
      </c>
    </row>
    <row r="10751" spans="1:1">
      <c r="A10751" s="27">
        <v>18.600000000000001</v>
      </c>
    </row>
    <row r="10752" spans="1:1">
      <c r="A10752" s="28">
        <v>39.4</v>
      </c>
    </row>
    <row r="10753" spans="1:1">
      <c r="A10753" s="25">
        <v>513</v>
      </c>
    </row>
    <row r="10754" spans="1:1" ht="45">
      <c r="A10754" s="26" t="s">
        <v>459</v>
      </c>
    </row>
    <row r="10755" spans="1:1">
      <c r="A10755" s="27" t="s">
        <v>653</v>
      </c>
    </row>
    <row r="10756" spans="1:1">
      <c r="A10756" s="27">
        <v>173</v>
      </c>
    </row>
    <row r="10757" spans="1:1">
      <c r="A10757" s="27">
        <v>17</v>
      </c>
    </row>
    <row r="10758" spans="1:1">
      <c r="A10758" s="27">
        <v>30</v>
      </c>
    </row>
    <row r="10759" spans="1:1">
      <c r="A10759" s="27">
        <v>47</v>
      </c>
    </row>
    <row r="10760" spans="1:1">
      <c r="A10760" s="27">
        <v>-4</v>
      </c>
    </row>
    <row r="10761" spans="1:1">
      <c r="A10761" s="27">
        <v>48</v>
      </c>
    </row>
    <row r="10762" spans="1:1">
      <c r="A10762" s="27">
        <v>0.27</v>
      </c>
    </row>
    <row r="10763" spans="1:1">
      <c r="A10763" s="27">
        <v>0</v>
      </c>
    </row>
    <row r="10764" spans="1:1">
      <c r="A10764" s="27">
        <v>0</v>
      </c>
    </row>
    <row r="10765" spans="1:1">
      <c r="A10765" s="27">
        <v>0</v>
      </c>
    </row>
    <row r="10766" spans="1:1">
      <c r="A10766" s="27">
        <v>0</v>
      </c>
    </row>
    <row r="10767" spans="1:1">
      <c r="A10767" s="27">
        <v>3</v>
      </c>
    </row>
    <row r="10768" spans="1:1">
      <c r="A10768" s="27">
        <v>0</v>
      </c>
    </row>
    <row r="10769" spans="1:1">
      <c r="A10769" s="27">
        <v>294</v>
      </c>
    </row>
    <row r="10770" spans="1:1">
      <c r="A10770" s="27">
        <v>5.8</v>
      </c>
    </row>
    <row r="10771" spans="1:1">
      <c r="A10771" s="29">
        <v>0.55208333333333337</v>
      </c>
    </row>
    <row r="10772" spans="1:1">
      <c r="A10772" s="27">
        <v>18.100000000000001</v>
      </c>
    </row>
    <row r="10773" spans="1:1">
      <c r="A10773" s="28">
        <v>44.5</v>
      </c>
    </row>
    <row r="10774" spans="1:1">
      <c r="A10774" s="25">
        <v>514</v>
      </c>
    </row>
    <row r="10775" spans="1:1" ht="30">
      <c r="A10775" s="26" t="s">
        <v>1131</v>
      </c>
    </row>
    <row r="10776" spans="1:1">
      <c r="A10776" s="27" t="s">
        <v>42</v>
      </c>
    </row>
    <row r="10777" spans="1:1">
      <c r="A10777" s="27">
        <v>354</v>
      </c>
    </row>
    <row r="10778" spans="1:1">
      <c r="A10778" s="27">
        <v>10</v>
      </c>
    </row>
    <row r="10779" spans="1:1">
      <c r="A10779" s="27">
        <v>37</v>
      </c>
    </row>
    <row r="10780" spans="1:1">
      <c r="A10780" s="27">
        <v>47</v>
      </c>
    </row>
    <row r="10781" spans="1:1">
      <c r="A10781" s="27">
        <v>0</v>
      </c>
    </row>
    <row r="10782" spans="1:1">
      <c r="A10782" s="27">
        <v>231</v>
      </c>
    </row>
    <row r="10783" spans="1:1">
      <c r="A10783" s="27">
        <v>0.13</v>
      </c>
    </row>
    <row r="10784" spans="1:1">
      <c r="A10784" s="27">
        <v>0</v>
      </c>
    </row>
    <row r="10785" spans="1:1">
      <c r="A10785" s="27">
        <v>5</v>
      </c>
    </row>
    <row r="10786" spans="1:1">
      <c r="A10786" s="27">
        <v>1</v>
      </c>
    </row>
    <row r="10787" spans="1:1">
      <c r="A10787" s="27">
        <v>3</v>
      </c>
    </row>
    <row r="10788" spans="1:1">
      <c r="A10788" s="27">
        <v>4</v>
      </c>
    </row>
    <row r="10789" spans="1:1">
      <c r="A10789" s="27">
        <v>1</v>
      </c>
    </row>
    <row r="10790" spans="1:1">
      <c r="A10790" s="27">
        <v>187</v>
      </c>
    </row>
    <row r="10791" spans="1:1">
      <c r="A10791" s="27">
        <v>5.3</v>
      </c>
    </row>
    <row r="10792" spans="1:1">
      <c r="A10792" s="29">
        <v>0.57291666666666663</v>
      </c>
    </row>
    <row r="10793" spans="1:1">
      <c r="A10793" s="27">
        <v>19.2</v>
      </c>
    </row>
    <row r="10794" spans="1:1">
      <c r="A10794" s="28">
        <v>0</v>
      </c>
    </row>
    <row r="10795" spans="1:1">
      <c r="A10795" s="25">
        <v>515</v>
      </c>
    </row>
    <row r="10796" spans="1:1" ht="30">
      <c r="A10796" s="26" t="s">
        <v>867</v>
      </c>
    </row>
    <row r="10797" spans="1:1">
      <c r="A10797" s="27" t="s">
        <v>43</v>
      </c>
    </row>
    <row r="10798" spans="1:1">
      <c r="A10798" s="27">
        <v>160</v>
      </c>
    </row>
    <row r="10799" spans="1:1">
      <c r="A10799" s="27">
        <v>25</v>
      </c>
    </row>
    <row r="10800" spans="1:1">
      <c r="A10800" s="27">
        <v>21</v>
      </c>
    </row>
    <row r="10801" spans="1:1">
      <c r="A10801" s="27">
        <v>46</v>
      </c>
    </row>
    <row r="10802" spans="1:1">
      <c r="A10802" s="27">
        <v>0</v>
      </c>
    </row>
    <row r="10803" spans="1:1">
      <c r="A10803" s="27">
        <v>88</v>
      </c>
    </row>
    <row r="10804" spans="1:1">
      <c r="A10804" s="27">
        <v>0.28999999999999998</v>
      </c>
    </row>
    <row r="10805" spans="1:1">
      <c r="A10805" s="27">
        <v>0</v>
      </c>
    </row>
    <row r="10806" spans="1:1">
      <c r="A10806" s="27">
        <v>0</v>
      </c>
    </row>
    <row r="10807" spans="1:1">
      <c r="A10807" s="27">
        <v>0</v>
      </c>
    </row>
    <row r="10808" spans="1:1">
      <c r="A10808" s="27">
        <v>0</v>
      </c>
    </row>
    <row r="10809" spans="1:1">
      <c r="A10809" s="27">
        <v>4</v>
      </c>
    </row>
    <row r="10810" spans="1:1">
      <c r="A10810" s="27">
        <v>0</v>
      </c>
    </row>
    <row r="10811" spans="1:1">
      <c r="A10811" s="27">
        <v>256</v>
      </c>
    </row>
    <row r="10812" spans="1:1">
      <c r="A10812" s="27">
        <v>9.8000000000000007</v>
      </c>
    </row>
    <row r="10813" spans="1:1">
      <c r="A10813" s="29">
        <v>0.52013888888888882</v>
      </c>
    </row>
    <row r="10814" spans="1:1">
      <c r="A10814" s="27">
        <v>16.8</v>
      </c>
    </row>
    <row r="10815" spans="1:1">
      <c r="A10815" s="28">
        <v>38.799999999999997</v>
      </c>
    </row>
    <row r="10816" spans="1:1">
      <c r="A10816" s="25">
        <v>516</v>
      </c>
    </row>
    <row r="10817" spans="1:1" ht="30">
      <c r="A10817" s="26" t="s">
        <v>742</v>
      </c>
    </row>
    <row r="10818" spans="1:1">
      <c r="A10818" s="27" t="s">
        <v>43</v>
      </c>
    </row>
    <row r="10819" spans="1:1">
      <c r="A10819" s="27">
        <v>125</v>
      </c>
    </row>
    <row r="10820" spans="1:1">
      <c r="A10820" s="27">
        <v>19</v>
      </c>
    </row>
    <row r="10821" spans="1:1">
      <c r="A10821" s="27">
        <v>27</v>
      </c>
    </row>
    <row r="10822" spans="1:1">
      <c r="A10822" s="27">
        <v>46</v>
      </c>
    </row>
    <row r="10823" spans="1:1">
      <c r="A10823" s="27">
        <v>-23</v>
      </c>
    </row>
    <row r="10824" spans="1:1">
      <c r="A10824" s="27">
        <v>24</v>
      </c>
    </row>
    <row r="10825" spans="1:1">
      <c r="A10825" s="27">
        <v>0.37</v>
      </c>
    </row>
    <row r="10826" spans="1:1">
      <c r="A10826" s="27">
        <v>3</v>
      </c>
    </row>
    <row r="10827" spans="1:1">
      <c r="A10827" s="27">
        <v>11</v>
      </c>
    </row>
    <row r="10828" spans="1:1">
      <c r="A10828" s="27">
        <v>0</v>
      </c>
    </row>
    <row r="10829" spans="1:1">
      <c r="A10829" s="27">
        <v>1</v>
      </c>
    </row>
    <row r="10830" spans="1:1">
      <c r="A10830" s="27">
        <v>2</v>
      </c>
    </row>
    <row r="10831" spans="1:1">
      <c r="A10831" s="27">
        <v>0</v>
      </c>
    </row>
    <row r="10832" spans="1:1">
      <c r="A10832" s="27">
        <v>176</v>
      </c>
    </row>
    <row r="10833" spans="1:1">
      <c r="A10833" s="27">
        <v>10.8</v>
      </c>
    </row>
    <row r="10834" spans="1:1">
      <c r="A10834" s="29">
        <v>0.56041666666666667</v>
      </c>
    </row>
    <row r="10835" spans="1:1">
      <c r="A10835" s="27">
        <v>18.5</v>
      </c>
    </row>
    <row r="10836" spans="1:1">
      <c r="A10836" s="28">
        <v>50</v>
      </c>
    </row>
    <row r="10837" spans="1:1">
      <c r="A10837" s="25">
        <v>517</v>
      </c>
    </row>
    <row r="10838" spans="1:1" ht="30">
      <c r="A10838" s="26" t="s">
        <v>1109</v>
      </c>
    </row>
    <row r="10839" spans="1:1">
      <c r="A10839" s="27" t="s">
        <v>42</v>
      </c>
    </row>
    <row r="10840" spans="1:1">
      <c r="A10840" s="27">
        <v>172</v>
      </c>
    </row>
    <row r="10841" spans="1:1">
      <c r="A10841" s="27">
        <v>11</v>
      </c>
    </row>
    <row r="10842" spans="1:1">
      <c r="A10842" s="27">
        <v>35</v>
      </c>
    </row>
    <row r="10843" spans="1:1">
      <c r="A10843" s="27">
        <v>46</v>
      </c>
    </row>
    <row r="10844" spans="1:1">
      <c r="A10844" s="27">
        <v>-16</v>
      </c>
    </row>
    <row r="10845" spans="1:1">
      <c r="A10845" s="27">
        <v>28</v>
      </c>
    </row>
    <row r="10846" spans="1:1">
      <c r="A10846" s="27">
        <v>0.27</v>
      </c>
    </row>
    <row r="10847" spans="1:1">
      <c r="A10847" s="27">
        <v>4</v>
      </c>
    </row>
    <row r="10848" spans="1:1">
      <c r="A10848" s="27">
        <v>11</v>
      </c>
    </row>
    <row r="10849" spans="1:1">
      <c r="A10849" s="27">
        <v>0</v>
      </c>
    </row>
    <row r="10850" spans="1:1">
      <c r="A10850" s="27">
        <v>0</v>
      </c>
    </row>
    <row r="10851" spans="1:1">
      <c r="A10851" s="27">
        <v>0</v>
      </c>
    </row>
    <row r="10852" spans="1:1">
      <c r="A10852" s="27">
        <v>0</v>
      </c>
    </row>
    <row r="10853" spans="1:1">
      <c r="A10853" s="27">
        <v>232</v>
      </c>
    </row>
    <row r="10854" spans="1:1">
      <c r="A10854" s="27">
        <v>4.7</v>
      </c>
    </row>
    <row r="10855" spans="1:1">
      <c r="A10855" s="29">
        <v>0.79861111111111116</v>
      </c>
    </row>
    <row r="10856" spans="1:1">
      <c r="A10856" s="27">
        <v>23.8</v>
      </c>
    </row>
    <row r="10857" spans="1:1">
      <c r="A10857" s="28">
        <v>0</v>
      </c>
    </row>
    <row r="10858" spans="1:1">
      <c r="A10858" s="25">
        <v>518</v>
      </c>
    </row>
    <row r="10859" spans="1:1" ht="30">
      <c r="A10859" s="26" t="s">
        <v>885</v>
      </c>
    </row>
    <row r="10860" spans="1:1">
      <c r="A10860" s="27" t="s">
        <v>44</v>
      </c>
    </row>
    <row r="10861" spans="1:1">
      <c r="A10861" s="27">
        <v>138</v>
      </c>
    </row>
    <row r="10862" spans="1:1">
      <c r="A10862" s="27">
        <v>19</v>
      </c>
    </row>
    <row r="10863" spans="1:1">
      <c r="A10863" s="27">
        <v>26</v>
      </c>
    </row>
    <row r="10864" spans="1:1">
      <c r="A10864" s="27">
        <v>45</v>
      </c>
    </row>
    <row r="10865" spans="1:1">
      <c r="A10865" s="27">
        <v>2</v>
      </c>
    </row>
    <row r="10866" spans="1:1">
      <c r="A10866" s="27">
        <v>47</v>
      </c>
    </row>
    <row r="10867" spans="1:1">
      <c r="A10867" s="27">
        <v>0.33</v>
      </c>
    </row>
    <row r="10868" spans="1:1">
      <c r="A10868" s="27">
        <v>2</v>
      </c>
    </row>
    <row r="10869" spans="1:1">
      <c r="A10869" s="27">
        <v>3</v>
      </c>
    </row>
    <row r="10870" spans="1:1">
      <c r="A10870" s="27">
        <v>0</v>
      </c>
    </row>
    <row r="10871" spans="1:1">
      <c r="A10871" s="27">
        <v>0</v>
      </c>
    </row>
    <row r="10872" spans="1:1">
      <c r="A10872" s="27">
        <v>3</v>
      </c>
    </row>
    <row r="10873" spans="1:1">
      <c r="A10873" s="27">
        <v>0</v>
      </c>
    </row>
    <row r="10874" spans="1:1">
      <c r="A10874" s="27">
        <v>207</v>
      </c>
    </row>
    <row r="10875" spans="1:1">
      <c r="A10875" s="27">
        <v>9.1999999999999993</v>
      </c>
    </row>
    <row r="10876" spans="1:1">
      <c r="A10876" s="29">
        <v>0.4548611111111111</v>
      </c>
    </row>
    <row r="10877" spans="1:1">
      <c r="A10877" s="27">
        <v>15.4</v>
      </c>
    </row>
    <row r="10878" spans="1:1">
      <c r="A10878" s="28">
        <v>37</v>
      </c>
    </row>
    <row r="10879" spans="1:1">
      <c r="A10879" s="25">
        <v>519</v>
      </c>
    </row>
    <row r="10880" spans="1:1" ht="45">
      <c r="A10880" s="26" t="s">
        <v>1117</v>
      </c>
    </row>
    <row r="10881" spans="1:1">
      <c r="A10881" s="27" t="s">
        <v>42</v>
      </c>
    </row>
    <row r="10882" spans="1:1">
      <c r="A10882" s="27">
        <v>181</v>
      </c>
    </row>
    <row r="10883" spans="1:1">
      <c r="A10883" s="27">
        <v>16</v>
      </c>
    </row>
    <row r="10884" spans="1:1">
      <c r="A10884" s="27">
        <v>29</v>
      </c>
    </row>
    <row r="10885" spans="1:1">
      <c r="A10885" s="27">
        <v>45</v>
      </c>
    </row>
    <row r="10886" spans="1:1">
      <c r="A10886" s="27">
        <v>4</v>
      </c>
    </row>
    <row r="10887" spans="1:1">
      <c r="A10887" s="27">
        <v>104</v>
      </c>
    </row>
    <row r="10888" spans="1:1">
      <c r="A10888" s="27">
        <v>0.25</v>
      </c>
    </row>
    <row r="10889" spans="1:1">
      <c r="A10889" s="27">
        <v>4</v>
      </c>
    </row>
    <row r="10890" spans="1:1">
      <c r="A10890" s="27">
        <v>10</v>
      </c>
    </row>
    <row r="10891" spans="1:1">
      <c r="A10891" s="27">
        <v>0</v>
      </c>
    </row>
    <row r="10892" spans="1:1">
      <c r="A10892" s="27">
        <v>0</v>
      </c>
    </row>
    <row r="10893" spans="1:1">
      <c r="A10893" s="27">
        <v>4</v>
      </c>
    </row>
    <row r="10894" spans="1:1">
      <c r="A10894" s="27">
        <v>0</v>
      </c>
    </row>
    <row r="10895" spans="1:1">
      <c r="A10895" s="27">
        <v>261</v>
      </c>
    </row>
    <row r="10896" spans="1:1">
      <c r="A10896" s="27">
        <v>6.1</v>
      </c>
    </row>
    <row r="10897" spans="1:1">
      <c r="A10897" s="29">
        <v>0.56736111111111109</v>
      </c>
    </row>
    <row r="10898" spans="1:1">
      <c r="A10898" s="27">
        <v>19.7</v>
      </c>
    </row>
    <row r="10899" spans="1:1">
      <c r="A10899" s="28">
        <v>0</v>
      </c>
    </row>
    <row r="10900" spans="1:1">
      <c r="A10900" s="25">
        <v>520</v>
      </c>
    </row>
    <row r="10901" spans="1:1" ht="30">
      <c r="A10901" s="26" t="s">
        <v>30</v>
      </c>
    </row>
    <row r="10902" spans="1:1">
      <c r="A10902" s="27" t="s">
        <v>653</v>
      </c>
    </row>
    <row r="10903" spans="1:1">
      <c r="A10903" s="27">
        <v>182</v>
      </c>
    </row>
    <row r="10904" spans="1:1">
      <c r="A10904" s="27">
        <v>16</v>
      </c>
    </row>
    <row r="10905" spans="1:1">
      <c r="A10905" s="27">
        <v>29</v>
      </c>
    </row>
    <row r="10906" spans="1:1">
      <c r="A10906" s="27">
        <v>45</v>
      </c>
    </row>
    <row r="10907" spans="1:1">
      <c r="A10907" s="27">
        <v>-1</v>
      </c>
    </row>
    <row r="10908" spans="1:1">
      <c r="A10908" s="27">
        <v>96</v>
      </c>
    </row>
    <row r="10909" spans="1:1">
      <c r="A10909" s="27">
        <v>0.25</v>
      </c>
    </row>
    <row r="10910" spans="1:1">
      <c r="A10910" s="27">
        <v>0</v>
      </c>
    </row>
    <row r="10911" spans="1:1">
      <c r="A10911" s="27">
        <v>1</v>
      </c>
    </row>
    <row r="10912" spans="1:1">
      <c r="A10912" s="27">
        <v>0</v>
      </c>
    </row>
    <row r="10913" spans="1:1">
      <c r="A10913" s="27">
        <v>1</v>
      </c>
    </row>
    <row r="10914" spans="1:1">
      <c r="A10914" s="27">
        <v>4</v>
      </c>
    </row>
    <row r="10915" spans="1:1">
      <c r="A10915" s="27">
        <v>1</v>
      </c>
    </row>
    <row r="10916" spans="1:1">
      <c r="A10916" s="27">
        <v>326</v>
      </c>
    </row>
    <row r="10917" spans="1:1">
      <c r="A10917" s="27">
        <v>4.9000000000000004</v>
      </c>
    </row>
    <row r="10918" spans="1:1">
      <c r="A10918" s="29">
        <v>0.54027777777777775</v>
      </c>
    </row>
    <row r="10919" spans="1:1">
      <c r="A10919" s="27">
        <v>18</v>
      </c>
    </row>
    <row r="10920" spans="1:1">
      <c r="A10920" s="28">
        <v>49.3</v>
      </c>
    </row>
    <row r="10921" spans="1:1">
      <c r="A10921" s="25">
        <v>521</v>
      </c>
    </row>
    <row r="10922" spans="1:1" ht="45">
      <c r="A10922" s="26" t="s">
        <v>755</v>
      </c>
    </row>
    <row r="10923" spans="1:1">
      <c r="A10923" s="27" t="s">
        <v>653</v>
      </c>
    </row>
    <row r="10924" spans="1:1">
      <c r="A10924" s="27">
        <v>158</v>
      </c>
    </row>
    <row r="10925" spans="1:1">
      <c r="A10925" s="27">
        <v>16</v>
      </c>
    </row>
    <row r="10926" spans="1:1">
      <c r="A10926" s="27">
        <v>28</v>
      </c>
    </row>
    <row r="10927" spans="1:1">
      <c r="A10927" s="27">
        <v>44</v>
      </c>
    </row>
    <row r="10928" spans="1:1">
      <c r="A10928" s="27">
        <v>3</v>
      </c>
    </row>
    <row r="10929" spans="1:1">
      <c r="A10929" s="27">
        <v>33</v>
      </c>
    </row>
    <row r="10930" spans="1:1">
      <c r="A10930" s="27">
        <v>0.28000000000000003</v>
      </c>
    </row>
    <row r="10931" spans="1:1">
      <c r="A10931" s="27">
        <v>0</v>
      </c>
    </row>
    <row r="10932" spans="1:1">
      <c r="A10932" s="27">
        <v>0</v>
      </c>
    </row>
    <row r="10933" spans="1:1">
      <c r="A10933" s="27">
        <v>2</v>
      </c>
    </row>
    <row r="10934" spans="1:1">
      <c r="A10934" s="27">
        <v>4</v>
      </c>
    </row>
    <row r="10935" spans="1:1">
      <c r="A10935" s="27">
        <v>2</v>
      </c>
    </row>
    <row r="10936" spans="1:1">
      <c r="A10936" s="27">
        <v>0</v>
      </c>
    </row>
    <row r="10937" spans="1:1">
      <c r="A10937" s="27">
        <v>224</v>
      </c>
    </row>
    <row r="10938" spans="1:1">
      <c r="A10938" s="27">
        <v>7.1</v>
      </c>
    </row>
    <row r="10939" spans="1:1">
      <c r="A10939" s="29">
        <v>0.52569444444444446</v>
      </c>
    </row>
    <row r="10940" spans="1:1">
      <c r="A10940" s="27">
        <v>16.8</v>
      </c>
    </row>
    <row r="10941" spans="1:1">
      <c r="A10941" s="28">
        <v>49.6</v>
      </c>
    </row>
    <row r="10942" spans="1:1">
      <c r="A10942" s="25">
        <v>522</v>
      </c>
    </row>
    <row r="10943" spans="1:1" ht="30">
      <c r="A10943" s="26" t="s">
        <v>932</v>
      </c>
    </row>
    <row r="10944" spans="1:1">
      <c r="A10944" s="27" t="s">
        <v>44</v>
      </c>
    </row>
    <row r="10945" spans="1:1">
      <c r="A10945" s="27">
        <v>127</v>
      </c>
    </row>
    <row r="10946" spans="1:1">
      <c r="A10946" s="27">
        <v>17</v>
      </c>
    </row>
    <row r="10947" spans="1:1">
      <c r="A10947" s="27">
        <v>26</v>
      </c>
    </row>
    <row r="10948" spans="1:1">
      <c r="A10948" s="27">
        <v>43</v>
      </c>
    </row>
    <row r="10949" spans="1:1">
      <c r="A10949" s="27">
        <v>-7</v>
      </c>
    </row>
    <row r="10950" spans="1:1">
      <c r="A10950" s="27">
        <v>34</v>
      </c>
    </row>
    <row r="10951" spans="1:1">
      <c r="A10951" s="27">
        <v>0.34</v>
      </c>
    </row>
    <row r="10952" spans="1:1">
      <c r="A10952" s="27">
        <v>3</v>
      </c>
    </row>
    <row r="10953" spans="1:1">
      <c r="A10953" s="27">
        <v>8</v>
      </c>
    </row>
    <row r="10954" spans="1:1">
      <c r="A10954" s="27">
        <v>0</v>
      </c>
    </row>
    <row r="10955" spans="1:1">
      <c r="A10955" s="27">
        <v>0</v>
      </c>
    </row>
    <row r="10956" spans="1:1">
      <c r="A10956" s="27">
        <v>4</v>
      </c>
    </row>
    <row r="10957" spans="1:1">
      <c r="A10957" s="27">
        <v>0</v>
      </c>
    </row>
    <row r="10958" spans="1:1">
      <c r="A10958" s="27">
        <v>183</v>
      </c>
    </row>
    <row r="10959" spans="1:1">
      <c r="A10959" s="27">
        <v>9.3000000000000007</v>
      </c>
    </row>
    <row r="10960" spans="1:1">
      <c r="A10960" s="29">
        <v>0.55486111111111114</v>
      </c>
    </row>
    <row r="10961" spans="1:1">
      <c r="A10961" s="27">
        <v>17.7</v>
      </c>
    </row>
    <row r="10962" spans="1:1">
      <c r="A10962" s="28">
        <v>21.9</v>
      </c>
    </row>
    <row r="10963" spans="1:1">
      <c r="A10963" s="25">
        <v>523</v>
      </c>
    </row>
    <row r="10964" spans="1:1" ht="30">
      <c r="A10964" s="26" t="s">
        <v>320</v>
      </c>
    </row>
    <row r="10965" spans="1:1">
      <c r="A10965" s="27" t="s">
        <v>653</v>
      </c>
    </row>
    <row r="10966" spans="1:1">
      <c r="A10966" s="27">
        <v>95</v>
      </c>
    </row>
    <row r="10967" spans="1:1">
      <c r="A10967" s="27">
        <v>12</v>
      </c>
    </row>
    <row r="10968" spans="1:1">
      <c r="A10968" s="27">
        <v>31</v>
      </c>
    </row>
    <row r="10969" spans="1:1">
      <c r="A10969" s="27">
        <v>43</v>
      </c>
    </row>
    <row r="10970" spans="1:1">
      <c r="A10970" s="27">
        <v>2</v>
      </c>
    </row>
    <row r="10971" spans="1:1">
      <c r="A10971" s="27">
        <v>20</v>
      </c>
    </row>
    <row r="10972" spans="1:1">
      <c r="A10972" s="27">
        <v>0.45</v>
      </c>
    </row>
    <row r="10973" spans="1:1">
      <c r="A10973" s="27">
        <v>3</v>
      </c>
    </row>
    <row r="10974" spans="1:1">
      <c r="A10974" s="27">
        <v>7</v>
      </c>
    </row>
    <row r="10975" spans="1:1">
      <c r="A10975" s="27">
        <v>0</v>
      </c>
    </row>
    <row r="10976" spans="1:1">
      <c r="A10976" s="27">
        <v>0</v>
      </c>
    </row>
    <row r="10977" spans="1:1">
      <c r="A10977" s="27">
        <v>2</v>
      </c>
    </row>
    <row r="10978" spans="1:1">
      <c r="A10978" s="27">
        <v>0</v>
      </c>
    </row>
    <row r="10979" spans="1:1">
      <c r="A10979" s="27">
        <v>111</v>
      </c>
    </row>
    <row r="10980" spans="1:1">
      <c r="A10980" s="27">
        <v>10.8</v>
      </c>
    </row>
    <row r="10981" spans="1:1">
      <c r="A10981" s="29">
        <v>0.55555555555555558</v>
      </c>
    </row>
    <row r="10982" spans="1:1">
      <c r="A10982" s="27">
        <v>17</v>
      </c>
    </row>
    <row r="10983" spans="1:1">
      <c r="A10983" s="28">
        <v>42.7</v>
      </c>
    </row>
    <row r="10984" spans="1:1">
      <c r="A10984" s="25">
        <v>524</v>
      </c>
    </row>
    <row r="10985" spans="1:1" ht="45">
      <c r="A10985" s="26" t="s">
        <v>137</v>
      </c>
    </row>
    <row r="10986" spans="1:1">
      <c r="A10986" s="27" t="s">
        <v>42</v>
      </c>
    </row>
    <row r="10987" spans="1:1">
      <c r="A10987" s="27">
        <v>351</v>
      </c>
    </row>
    <row r="10988" spans="1:1">
      <c r="A10988" s="27">
        <v>10</v>
      </c>
    </row>
    <row r="10989" spans="1:1">
      <c r="A10989" s="27">
        <v>33</v>
      </c>
    </row>
    <row r="10990" spans="1:1">
      <c r="A10990" s="27">
        <v>43</v>
      </c>
    </row>
    <row r="10991" spans="1:1">
      <c r="A10991" s="27">
        <v>-9</v>
      </c>
    </row>
    <row r="10992" spans="1:1">
      <c r="A10992" s="27">
        <v>620</v>
      </c>
    </row>
    <row r="10993" spans="1:1">
      <c r="A10993" s="27">
        <v>0.12</v>
      </c>
    </row>
    <row r="10994" spans="1:1">
      <c r="A10994" s="27">
        <v>0</v>
      </c>
    </row>
    <row r="10995" spans="1:1">
      <c r="A10995" s="27">
        <v>0</v>
      </c>
    </row>
    <row r="10996" spans="1:1">
      <c r="A10996" s="27">
        <v>0</v>
      </c>
    </row>
    <row r="10997" spans="1:1">
      <c r="A10997" s="27">
        <v>0</v>
      </c>
    </row>
    <row r="10998" spans="1:1">
      <c r="A10998" s="27">
        <v>0</v>
      </c>
    </row>
    <row r="10999" spans="1:1">
      <c r="A10999" s="27">
        <v>0</v>
      </c>
    </row>
    <row r="11000" spans="1:1">
      <c r="A11000" s="27">
        <v>275</v>
      </c>
    </row>
    <row r="11001" spans="1:1">
      <c r="A11001" s="27">
        <v>3.6</v>
      </c>
    </row>
    <row r="11002" spans="1:1">
      <c r="A11002" s="29">
        <v>0.62430555555555556</v>
      </c>
    </row>
    <row r="11003" spans="1:1">
      <c r="A11003" s="27">
        <v>22</v>
      </c>
    </row>
    <row r="11004" spans="1:1">
      <c r="A11004" s="28">
        <v>33.299999999999997</v>
      </c>
    </row>
    <row r="11005" spans="1:1">
      <c r="A11005" s="25">
        <v>525</v>
      </c>
    </row>
    <row r="11006" spans="1:1" ht="30">
      <c r="A11006" s="26" t="s">
        <v>665</v>
      </c>
    </row>
    <row r="11007" spans="1:1">
      <c r="A11007" s="27" t="s">
        <v>42</v>
      </c>
    </row>
    <row r="11008" spans="1:1">
      <c r="A11008" s="27">
        <v>233</v>
      </c>
    </row>
    <row r="11009" spans="1:1">
      <c r="A11009" s="27">
        <v>7</v>
      </c>
    </row>
    <row r="11010" spans="1:1">
      <c r="A11010" s="27">
        <v>36</v>
      </c>
    </row>
    <row r="11011" spans="1:1">
      <c r="A11011" s="27">
        <v>43</v>
      </c>
    </row>
    <row r="11012" spans="1:1">
      <c r="A11012" s="27">
        <v>24</v>
      </c>
    </row>
    <row r="11013" spans="1:1">
      <c r="A11013" s="27">
        <v>109</v>
      </c>
    </row>
    <row r="11014" spans="1:1">
      <c r="A11014" s="27">
        <v>0.18</v>
      </c>
    </row>
    <row r="11015" spans="1:1">
      <c r="A11015" s="27">
        <v>0</v>
      </c>
    </row>
    <row r="11016" spans="1:1">
      <c r="A11016" s="27">
        <v>1</v>
      </c>
    </row>
    <row r="11017" spans="1:1">
      <c r="A11017" s="27">
        <v>0</v>
      </c>
    </row>
    <row r="11018" spans="1:1">
      <c r="A11018" s="27">
        <v>1</v>
      </c>
    </row>
    <row r="11019" spans="1:1">
      <c r="A11019" s="27">
        <v>0</v>
      </c>
    </row>
    <row r="11020" spans="1:1">
      <c r="A11020" s="27">
        <v>0</v>
      </c>
    </row>
    <row r="11021" spans="1:1">
      <c r="A11021" s="27">
        <v>199</v>
      </c>
    </row>
    <row r="11022" spans="1:1">
      <c r="A11022" s="27">
        <v>3.5</v>
      </c>
    </row>
    <row r="11023" spans="1:1">
      <c r="A11023" s="29">
        <v>0.6381944444444444</v>
      </c>
    </row>
    <row r="11024" spans="1:1">
      <c r="A11024" s="27">
        <v>21</v>
      </c>
    </row>
    <row r="11025" spans="1:1">
      <c r="A11025" s="28">
        <v>100</v>
      </c>
    </row>
    <row r="11026" spans="1:1">
      <c r="A11026" s="25">
        <v>526</v>
      </c>
    </row>
    <row r="11027" spans="1:1" ht="30">
      <c r="A11027" s="26" t="s">
        <v>161</v>
      </c>
    </row>
    <row r="11028" spans="1:1">
      <c r="A11028" s="27" t="s">
        <v>42</v>
      </c>
    </row>
    <row r="11029" spans="1:1">
      <c r="A11029" s="27">
        <v>274</v>
      </c>
    </row>
    <row r="11030" spans="1:1">
      <c r="A11030" s="27">
        <v>5</v>
      </c>
    </row>
    <row r="11031" spans="1:1">
      <c r="A11031" s="27">
        <v>38</v>
      </c>
    </row>
    <row r="11032" spans="1:1">
      <c r="A11032" s="27">
        <v>43</v>
      </c>
    </row>
    <row r="11033" spans="1:1">
      <c r="A11033" s="27">
        <v>20</v>
      </c>
    </row>
    <row r="11034" spans="1:1">
      <c r="A11034" s="27">
        <v>144</v>
      </c>
    </row>
    <row r="11035" spans="1:1">
      <c r="A11035" s="27">
        <v>0.16</v>
      </c>
    </row>
    <row r="11036" spans="1:1">
      <c r="A11036" s="27">
        <v>0</v>
      </c>
    </row>
    <row r="11037" spans="1:1">
      <c r="A11037" s="27">
        <v>1</v>
      </c>
    </row>
    <row r="11038" spans="1:1">
      <c r="A11038" s="27">
        <v>0</v>
      </c>
    </row>
    <row r="11039" spans="1:1">
      <c r="A11039" s="27">
        <v>3</v>
      </c>
    </row>
    <row r="11040" spans="1:1">
      <c r="A11040" s="27">
        <v>1</v>
      </c>
    </row>
    <row r="11041" spans="1:1">
      <c r="A11041" s="27">
        <v>0</v>
      </c>
    </row>
    <row r="11042" spans="1:1">
      <c r="A11042" s="27">
        <v>272</v>
      </c>
    </row>
    <row r="11043" spans="1:1">
      <c r="A11043" s="27">
        <v>1.8</v>
      </c>
    </row>
    <row r="11044" spans="1:1">
      <c r="A11044" s="29">
        <v>0.7270833333333333</v>
      </c>
    </row>
    <row r="11045" spans="1:1">
      <c r="A11045" s="27">
        <v>22.3</v>
      </c>
    </row>
    <row r="11046" spans="1:1">
      <c r="A11046" s="28">
        <v>0</v>
      </c>
    </row>
    <row r="11047" spans="1:1">
      <c r="A11047" s="25">
        <v>527</v>
      </c>
    </row>
    <row r="11048" spans="1:1" ht="30">
      <c r="A11048" s="26" t="s">
        <v>911</v>
      </c>
    </row>
    <row r="11049" spans="1:1">
      <c r="A11049" s="27" t="s">
        <v>653</v>
      </c>
    </row>
    <row r="11050" spans="1:1">
      <c r="A11050" s="27">
        <v>133</v>
      </c>
    </row>
    <row r="11051" spans="1:1">
      <c r="A11051" s="27">
        <v>20</v>
      </c>
    </row>
    <row r="11052" spans="1:1">
      <c r="A11052" s="27">
        <v>22</v>
      </c>
    </row>
    <row r="11053" spans="1:1">
      <c r="A11053" s="27">
        <v>42</v>
      </c>
    </row>
    <row r="11054" spans="1:1">
      <c r="A11054" s="27">
        <v>-33</v>
      </c>
    </row>
    <row r="11055" spans="1:1">
      <c r="A11055" s="27">
        <v>18</v>
      </c>
    </row>
    <row r="11056" spans="1:1">
      <c r="A11056" s="27">
        <v>0.32</v>
      </c>
    </row>
    <row r="11057" spans="1:1">
      <c r="A11057" s="27">
        <v>4</v>
      </c>
    </row>
    <row r="11058" spans="1:1">
      <c r="A11058" s="27">
        <v>9</v>
      </c>
    </row>
    <row r="11059" spans="1:1">
      <c r="A11059" s="27">
        <v>0</v>
      </c>
    </row>
    <row r="11060" spans="1:1">
      <c r="A11060" s="27">
        <v>0</v>
      </c>
    </row>
    <row r="11061" spans="1:1">
      <c r="A11061" s="27">
        <v>5</v>
      </c>
    </row>
    <row r="11062" spans="1:1">
      <c r="A11062" s="27">
        <v>0</v>
      </c>
    </row>
    <row r="11063" spans="1:1">
      <c r="A11063" s="27">
        <v>228</v>
      </c>
    </row>
    <row r="11064" spans="1:1">
      <c r="A11064" s="27">
        <v>8.8000000000000007</v>
      </c>
    </row>
    <row r="11065" spans="1:1">
      <c r="A11065" s="29">
        <v>0.5131944444444444</v>
      </c>
    </row>
    <row r="11066" spans="1:1">
      <c r="A11066" s="27">
        <v>16.7</v>
      </c>
    </row>
    <row r="11067" spans="1:1">
      <c r="A11067" s="28">
        <v>30</v>
      </c>
    </row>
    <row r="11068" spans="1:1">
      <c r="A11068" s="25">
        <v>528</v>
      </c>
    </row>
    <row r="11069" spans="1:1" ht="30">
      <c r="A11069" s="26" t="s">
        <v>1125</v>
      </c>
    </row>
    <row r="11070" spans="1:1">
      <c r="A11070" s="27" t="s">
        <v>42</v>
      </c>
    </row>
    <row r="11071" spans="1:1">
      <c r="A11071" s="27">
        <v>205</v>
      </c>
    </row>
    <row r="11072" spans="1:1">
      <c r="A11072" s="27">
        <v>11</v>
      </c>
    </row>
    <row r="11073" spans="1:1">
      <c r="A11073" s="27">
        <v>31</v>
      </c>
    </row>
    <row r="11074" spans="1:1">
      <c r="A11074" s="27">
        <v>42</v>
      </c>
    </row>
    <row r="11075" spans="1:1">
      <c r="A11075" s="27">
        <v>-17</v>
      </c>
    </row>
    <row r="11076" spans="1:1">
      <c r="A11076" s="27">
        <v>137</v>
      </c>
    </row>
    <row r="11077" spans="1:1">
      <c r="A11077" s="27">
        <v>0.2</v>
      </c>
    </row>
    <row r="11078" spans="1:1">
      <c r="A11078" s="27">
        <v>2</v>
      </c>
    </row>
    <row r="11079" spans="1:1">
      <c r="A11079" s="27">
        <v>5</v>
      </c>
    </row>
    <row r="11080" spans="1:1">
      <c r="A11080" s="27">
        <v>0</v>
      </c>
    </row>
    <row r="11081" spans="1:1">
      <c r="A11081" s="27">
        <v>0</v>
      </c>
    </row>
    <row r="11082" spans="1:1">
      <c r="A11082" s="27">
        <v>5</v>
      </c>
    </row>
    <row r="11083" spans="1:1">
      <c r="A11083" s="27">
        <v>0</v>
      </c>
    </row>
    <row r="11084" spans="1:1">
      <c r="A11084" s="27">
        <v>237</v>
      </c>
    </row>
    <row r="11085" spans="1:1">
      <c r="A11085" s="27">
        <v>4.5999999999999996</v>
      </c>
    </row>
    <row r="11086" spans="1:1">
      <c r="A11086" s="29">
        <v>0.6645833333333333</v>
      </c>
    </row>
    <row r="11087" spans="1:1">
      <c r="A11087" s="27">
        <v>21.3</v>
      </c>
    </row>
    <row r="11088" spans="1:1">
      <c r="A11088" s="28">
        <v>0</v>
      </c>
    </row>
    <row r="11089" spans="1:1">
      <c r="A11089" s="25">
        <v>529</v>
      </c>
    </row>
    <row r="11090" spans="1:1" ht="30">
      <c r="A11090" s="26" t="s">
        <v>21</v>
      </c>
    </row>
    <row r="11091" spans="1:1">
      <c r="A11091" s="27" t="s">
        <v>42</v>
      </c>
    </row>
    <row r="11092" spans="1:1">
      <c r="A11092" s="27">
        <v>258</v>
      </c>
    </row>
    <row r="11093" spans="1:1">
      <c r="A11093" s="27">
        <v>10</v>
      </c>
    </row>
    <row r="11094" spans="1:1">
      <c r="A11094" s="27">
        <v>32</v>
      </c>
    </row>
    <row r="11095" spans="1:1">
      <c r="A11095" s="27">
        <v>42</v>
      </c>
    </row>
    <row r="11096" spans="1:1">
      <c r="A11096" s="27">
        <v>51</v>
      </c>
    </row>
    <row r="11097" spans="1:1">
      <c r="A11097" s="27">
        <v>155</v>
      </c>
    </row>
    <row r="11098" spans="1:1">
      <c r="A11098" s="27">
        <v>0.16</v>
      </c>
    </row>
    <row r="11099" spans="1:1">
      <c r="A11099" s="27">
        <v>0</v>
      </c>
    </row>
    <row r="11100" spans="1:1">
      <c r="A11100" s="27">
        <v>0</v>
      </c>
    </row>
    <row r="11101" spans="1:1">
      <c r="A11101" s="27">
        <v>1</v>
      </c>
    </row>
    <row r="11102" spans="1:1">
      <c r="A11102" s="27">
        <v>4</v>
      </c>
    </row>
    <row r="11103" spans="1:1">
      <c r="A11103" s="27">
        <v>0</v>
      </c>
    </row>
    <row r="11104" spans="1:1">
      <c r="A11104" s="27">
        <v>0</v>
      </c>
    </row>
    <row r="11105" spans="1:1">
      <c r="A11105" s="27">
        <v>326</v>
      </c>
    </row>
    <row r="11106" spans="1:1">
      <c r="A11106" s="27">
        <v>3.1</v>
      </c>
    </row>
    <row r="11107" spans="1:1">
      <c r="A11107" s="29">
        <v>0.84583333333333333</v>
      </c>
    </row>
    <row r="11108" spans="1:1">
      <c r="A11108" s="27">
        <v>25.2</v>
      </c>
    </row>
    <row r="11109" spans="1:1">
      <c r="A11109" s="28">
        <v>100</v>
      </c>
    </row>
    <row r="11110" spans="1:1">
      <c r="A11110" s="25">
        <v>530</v>
      </c>
    </row>
    <row r="11111" spans="1:1" ht="45">
      <c r="A11111" s="26" t="s">
        <v>893</v>
      </c>
    </row>
    <row r="11112" spans="1:1">
      <c r="A11112" s="27" t="s">
        <v>44</v>
      </c>
    </row>
    <row r="11113" spans="1:1">
      <c r="A11113" s="27">
        <v>150</v>
      </c>
    </row>
    <row r="11114" spans="1:1">
      <c r="A11114" s="27">
        <v>14</v>
      </c>
    </row>
    <row r="11115" spans="1:1">
      <c r="A11115" s="27">
        <v>27</v>
      </c>
    </row>
    <row r="11116" spans="1:1">
      <c r="A11116" s="27">
        <v>41</v>
      </c>
    </row>
    <row r="11117" spans="1:1">
      <c r="A11117" s="27">
        <v>-15</v>
      </c>
    </row>
    <row r="11118" spans="1:1">
      <c r="A11118" s="27">
        <v>58</v>
      </c>
    </row>
    <row r="11119" spans="1:1">
      <c r="A11119" s="27">
        <v>0.27</v>
      </c>
    </row>
    <row r="11120" spans="1:1">
      <c r="A11120" s="27">
        <v>0</v>
      </c>
    </row>
    <row r="11121" spans="1:1">
      <c r="A11121" s="27">
        <v>1</v>
      </c>
    </row>
    <row r="11122" spans="1:1">
      <c r="A11122" s="27">
        <v>0</v>
      </c>
    </row>
    <row r="11123" spans="1:1">
      <c r="A11123" s="27">
        <v>0</v>
      </c>
    </row>
    <row r="11124" spans="1:1">
      <c r="A11124" s="27">
        <v>3</v>
      </c>
    </row>
    <row r="11125" spans="1:1">
      <c r="A11125" s="27">
        <v>2</v>
      </c>
    </row>
    <row r="11126" spans="1:1">
      <c r="A11126" s="27">
        <v>231</v>
      </c>
    </row>
    <row r="11127" spans="1:1">
      <c r="A11127" s="27">
        <v>6.1</v>
      </c>
    </row>
    <row r="11128" spans="1:1">
      <c r="A11128" s="29">
        <v>0.49583333333333335</v>
      </c>
    </row>
    <row r="11129" spans="1:1">
      <c r="A11129" s="27">
        <v>16.600000000000001</v>
      </c>
    </row>
    <row r="11130" spans="1:1">
      <c r="A11130" s="28">
        <v>35.700000000000003</v>
      </c>
    </row>
    <row r="11131" spans="1:1">
      <c r="A11131" s="25">
        <v>531</v>
      </c>
    </row>
    <row r="11132" spans="1:1" ht="30">
      <c r="A11132" s="26" t="s">
        <v>26</v>
      </c>
    </row>
    <row r="11133" spans="1:1">
      <c r="A11133" s="27" t="s">
        <v>42</v>
      </c>
    </row>
    <row r="11134" spans="1:1">
      <c r="A11134" s="27">
        <v>157</v>
      </c>
    </row>
    <row r="11135" spans="1:1">
      <c r="A11135" s="27">
        <v>8</v>
      </c>
    </row>
    <row r="11136" spans="1:1">
      <c r="A11136" s="27">
        <v>33</v>
      </c>
    </row>
    <row r="11137" spans="1:1">
      <c r="A11137" s="27">
        <v>41</v>
      </c>
    </row>
    <row r="11138" spans="1:1">
      <c r="A11138" s="27">
        <v>33</v>
      </c>
    </row>
    <row r="11139" spans="1:1">
      <c r="A11139" s="27">
        <v>104</v>
      </c>
    </row>
    <row r="11140" spans="1:1">
      <c r="A11140" s="27">
        <v>0.26</v>
      </c>
    </row>
    <row r="11141" spans="1:1">
      <c r="A11141" s="27">
        <v>1</v>
      </c>
    </row>
    <row r="11142" spans="1:1">
      <c r="A11142" s="27">
        <v>11</v>
      </c>
    </row>
    <row r="11143" spans="1:1">
      <c r="A11143" s="27">
        <v>0</v>
      </c>
    </row>
    <row r="11144" spans="1:1">
      <c r="A11144" s="27">
        <v>0</v>
      </c>
    </row>
    <row r="11145" spans="1:1">
      <c r="A11145" s="27">
        <v>0</v>
      </c>
    </row>
    <row r="11146" spans="1:1">
      <c r="A11146" s="27">
        <v>0</v>
      </c>
    </row>
    <row r="11147" spans="1:1">
      <c r="A11147" s="27">
        <v>226</v>
      </c>
    </row>
    <row r="11148" spans="1:1">
      <c r="A11148" s="27">
        <v>3.5</v>
      </c>
    </row>
    <row r="11149" spans="1:1">
      <c r="A11149" s="29">
        <v>0.75208333333333333</v>
      </c>
    </row>
    <row r="11150" spans="1:1">
      <c r="A11150" s="27">
        <v>24.1</v>
      </c>
    </row>
    <row r="11151" spans="1:1">
      <c r="A11151" s="28">
        <v>0</v>
      </c>
    </row>
    <row r="11152" spans="1:1">
      <c r="A11152" s="25">
        <v>532</v>
      </c>
    </row>
    <row r="11153" spans="1:1" ht="30">
      <c r="A11153" s="26" t="s">
        <v>95</v>
      </c>
    </row>
    <row r="11154" spans="1:1">
      <c r="A11154" s="27" t="s">
        <v>42</v>
      </c>
    </row>
    <row r="11155" spans="1:1">
      <c r="A11155" s="27">
        <v>171</v>
      </c>
    </row>
    <row r="11156" spans="1:1">
      <c r="A11156" s="27">
        <v>7</v>
      </c>
    </row>
    <row r="11157" spans="1:1">
      <c r="A11157" s="27">
        <v>34</v>
      </c>
    </row>
    <row r="11158" spans="1:1">
      <c r="A11158" s="27">
        <v>41</v>
      </c>
    </row>
    <row r="11159" spans="1:1">
      <c r="A11159" s="27">
        <v>-7</v>
      </c>
    </row>
    <row r="11160" spans="1:1">
      <c r="A11160" s="27">
        <v>56</v>
      </c>
    </row>
    <row r="11161" spans="1:1">
      <c r="A11161" s="27">
        <v>0.24</v>
      </c>
    </row>
    <row r="11162" spans="1:1">
      <c r="A11162" s="27">
        <v>1</v>
      </c>
    </row>
    <row r="11163" spans="1:1">
      <c r="A11163" s="27">
        <v>9</v>
      </c>
    </row>
    <row r="11164" spans="1:1">
      <c r="A11164" s="27">
        <v>0</v>
      </c>
    </row>
    <row r="11165" spans="1:1">
      <c r="A11165" s="27">
        <v>0</v>
      </c>
    </row>
    <row r="11166" spans="1:1">
      <c r="A11166" s="27">
        <v>1</v>
      </c>
    </row>
    <row r="11167" spans="1:1">
      <c r="A11167" s="27">
        <v>0</v>
      </c>
    </row>
    <row r="11168" spans="1:1">
      <c r="A11168" s="27">
        <v>230</v>
      </c>
    </row>
    <row r="11169" spans="1:1">
      <c r="A11169" s="27">
        <v>3</v>
      </c>
    </row>
    <row r="11170" spans="1:1">
      <c r="A11170" s="29">
        <v>0.6430555555555556</v>
      </c>
    </row>
    <row r="11171" spans="1:1">
      <c r="A11171" s="27">
        <v>20</v>
      </c>
    </row>
    <row r="11172" spans="1:1">
      <c r="A11172" s="28">
        <v>0</v>
      </c>
    </row>
    <row r="11173" spans="1:1">
      <c r="A11173" s="25">
        <v>533</v>
      </c>
    </row>
    <row r="11174" spans="1:1" ht="30">
      <c r="A11174" s="26" t="s">
        <v>447</v>
      </c>
    </row>
    <row r="11175" spans="1:1">
      <c r="A11175" s="27" t="s">
        <v>653</v>
      </c>
    </row>
    <row r="11176" spans="1:1">
      <c r="A11176" s="27">
        <v>93</v>
      </c>
    </row>
    <row r="11177" spans="1:1">
      <c r="A11177" s="27">
        <v>18</v>
      </c>
    </row>
    <row r="11178" spans="1:1">
      <c r="A11178" s="27">
        <v>22</v>
      </c>
    </row>
    <row r="11179" spans="1:1">
      <c r="A11179" s="27">
        <v>40</v>
      </c>
    </row>
    <row r="11180" spans="1:1">
      <c r="A11180" s="27">
        <v>-10</v>
      </c>
    </row>
    <row r="11181" spans="1:1">
      <c r="A11181" s="27">
        <v>14</v>
      </c>
    </row>
    <row r="11182" spans="1:1">
      <c r="A11182" s="27">
        <v>0.43</v>
      </c>
    </row>
    <row r="11183" spans="1:1">
      <c r="A11183" s="27">
        <v>5</v>
      </c>
    </row>
    <row r="11184" spans="1:1">
      <c r="A11184" s="27">
        <v>12</v>
      </c>
    </row>
    <row r="11185" spans="1:1">
      <c r="A11185" s="27">
        <v>0</v>
      </c>
    </row>
    <row r="11186" spans="1:1">
      <c r="A11186" s="27">
        <v>0</v>
      </c>
    </row>
    <row r="11187" spans="1:1">
      <c r="A11187" s="27">
        <v>1</v>
      </c>
    </row>
    <row r="11188" spans="1:1">
      <c r="A11188" s="27">
        <v>1</v>
      </c>
    </row>
    <row r="11189" spans="1:1">
      <c r="A11189" s="27">
        <v>196</v>
      </c>
    </row>
    <row r="11190" spans="1:1">
      <c r="A11190" s="27">
        <v>9.1999999999999993</v>
      </c>
    </row>
    <row r="11191" spans="1:1">
      <c r="A11191" s="29">
        <v>0.53333333333333333</v>
      </c>
    </row>
    <row r="11192" spans="1:1">
      <c r="A11192" s="27">
        <v>16.3</v>
      </c>
    </row>
    <row r="11193" spans="1:1">
      <c r="A11193" s="28">
        <v>50.8</v>
      </c>
    </row>
    <row r="11194" spans="1:1">
      <c r="A11194" s="25">
        <v>534</v>
      </c>
    </row>
    <row r="11195" spans="1:1" ht="30">
      <c r="A11195" s="26" t="s">
        <v>724</v>
      </c>
    </row>
    <row r="11196" spans="1:1">
      <c r="A11196" s="27" t="s">
        <v>653</v>
      </c>
    </row>
    <row r="11197" spans="1:1">
      <c r="A11197" s="27">
        <v>161</v>
      </c>
    </row>
    <row r="11198" spans="1:1">
      <c r="A11198" s="27">
        <v>17</v>
      </c>
    </row>
    <row r="11199" spans="1:1">
      <c r="A11199" s="27">
        <v>23</v>
      </c>
    </row>
    <row r="11200" spans="1:1">
      <c r="A11200" s="27">
        <v>40</v>
      </c>
    </row>
    <row r="11201" spans="1:1">
      <c r="A11201" s="27">
        <v>-11</v>
      </c>
    </row>
    <row r="11202" spans="1:1">
      <c r="A11202" s="27">
        <v>30</v>
      </c>
    </row>
    <row r="11203" spans="1:1">
      <c r="A11203" s="27">
        <v>0.25</v>
      </c>
    </row>
    <row r="11204" spans="1:1">
      <c r="A11204" s="27">
        <v>0</v>
      </c>
    </row>
    <row r="11205" spans="1:1">
      <c r="A11205" s="27">
        <v>0</v>
      </c>
    </row>
    <row r="11206" spans="1:1">
      <c r="A11206" s="27">
        <v>3</v>
      </c>
    </row>
    <row r="11207" spans="1:1">
      <c r="A11207" s="27">
        <v>3</v>
      </c>
    </row>
    <row r="11208" spans="1:1">
      <c r="A11208" s="27">
        <v>2</v>
      </c>
    </row>
    <row r="11209" spans="1:1">
      <c r="A11209" s="27">
        <v>0</v>
      </c>
    </row>
    <row r="11210" spans="1:1">
      <c r="A11210" s="27">
        <v>130</v>
      </c>
    </row>
    <row r="11211" spans="1:1">
      <c r="A11211" s="27">
        <v>13.1</v>
      </c>
    </row>
    <row r="11212" spans="1:1">
      <c r="A11212" s="29">
        <v>0.47916666666666669</v>
      </c>
    </row>
    <row r="11213" spans="1:1">
      <c r="A11213" s="27">
        <v>17.100000000000001</v>
      </c>
    </row>
    <row r="11214" spans="1:1">
      <c r="A11214" s="28">
        <v>50.4</v>
      </c>
    </row>
    <row r="11215" spans="1:1">
      <c r="A11215" s="25">
        <v>535</v>
      </c>
    </row>
    <row r="11216" spans="1:1" ht="30">
      <c r="A11216" s="26" t="s">
        <v>861</v>
      </c>
    </row>
    <row r="11217" spans="1:1">
      <c r="A11217" s="27" t="s">
        <v>44</v>
      </c>
    </row>
    <row r="11218" spans="1:1">
      <c r="A11218" s="27">
        <v>118</v>
      </c>
    </row>
    <row r="11219" spans="1:1">
      <c r="A11219" s="27">
        <v>13</v>
      </c>
    </row>
    <row r="11220" spans="1:1">
      <c r="A11220" s="27">
        <v>27</v>
      </c>
    </row>
    <row r="11221" spans="1:1">
      <c r="A11221" s="27">
        <v>40</v>
      </c>
    </row>
    <row r="11222" spans="1:1">
      <c r="A11222" s="27">
        <v>-22</v>
      </c>
    </row>
    <row r="11223" spans="1:1">
      <c r="A11223" s="27">
        <v>56</v>
      </c>
    </row>
    <row r="11224" spans="1:1">
      <c r="A11224" s="27">
        <v>0.34</v>
      </c>
    </row>
    <row r="11225" spans="1:1">
      <c r="A11225" s="27">
        <v>3</v>
      </c>
    </row>
    <row r="11226" spans="1:1">
      <c r="A11226" s="27">
        <v>9</v>
      </c>
    </row>
    <row r="11227" spans="1:1">
      <c r="A11227" s="27">
        <v>0</v>
      </c>
    </row>
    <row r="11228" spans="1:1">
      <c r="A11228" s="27">
        <v>1</v>
      </c>
    </row>
    <row r="11229" spans="1:1">
      <c r="A11229" s="27">
        <v>1</v>
      </c>
    </row>
    <row r="11230" spans="1:1">
      <c r="A11230" s="27">
        <v>0</v>
      </c>
    </row>
    <row r="11231" spans="1:1">
      <c r="A11231" s="27">
        <v>247</v>
      </c>
    </row>
    <row r="11232" spans="1:1">
      <c r="A11232" s="27">
        <v>5.3</v>
      </c>
    </row>
    <row r="11233" spans="1:1">
      <c r="A11233" s="29">
        <v>0.54027777777777775</v>
      </c>
    </row>
    <row r="11234" spans="1:1">
      <c r="A11234" s="27">
        <v>16.899999999999999</v>
      </c>
    </row>
    <row r="11235" spans="1:1">
      <c r="A11235" s="28">
        <v>40</v>
      </c>
    </row>
    <row r="11236" spans="1:1">
      <c r="A11236" s="25">
        <v>536</v>
      </c>
    </row>
    <row r="11237" spans="1:1" ht="30">
      <c r="A11237" s="26" t="s">
        <v>681</v>
      </c>
    </row>
    <row r="11238" spans="1:1">
      <c r="A11238" s="27" t="s">
        <v>44</v>
      </c>
    </row>
    <row r="11239" spans="1:1">
      <c r="A11239" s="27">
        <v>179</v>
      </c>
    </row>
    <row r="11240" spans="1:1">
      <c r="A11240" s="27">
        <v>20</v>
      </c>
    </row>
    <row r="11241" spans="1:1">
      <c r="A11241" s="27">
        <v>19</v>
      </c>
    </row>
    <row r="11242" spans="1:1">
      <c r="A11242" s="27">
        <v>39</v>
      </c>
    </row>
    <row r="11243" spans="1:1">
      <c r="A11243" s="27">
        <v>-5</v>
      </c>
    </row>
    <row r="11244" spans="1:1">
      <c r="A11244" s="27">
        <v>44</v>
      </c>
    </row>
    <row r="11245" spans="1:1">
      <c r="A11245" s="27">
        <v>0.22</v>
      </c>
    </row>
    <row r="11246" spans="1:1">
      <c r="A11246" s="27">
        <v>0</v>
      </c>
    </row>
    <row r="11247" spans="1:1">
      <c r="A11247" s="27">
        <v>0</v>
      </c>
    </row>
    <row r="11248" spans="1:1">
      <c r="A11248" s="27">
        <v>3</v>
      </c>
    </row>
    <row r="11249" spans="1:1">
      <c r="A11249" s="27">
        <v>4</v>
      </c>
    </row>
    <row r="11250" spans="1:1">
      <c r="A11250" s="27">
        <v>1</v>
      </c>
    </row>
    <row r="11251" spans="1:1">
      <c r="A11251" s="27">
        <v>0</v>
      </c>
    </row>
    <row r="11252" spans="1:1">
      <c r="A11252" s="27">
        <v>268</v>
      </c>
    </row>
    <row r="11253" spans="1:1">
      <c r="A11253" s="27">
        <v>7.5</v>
      </c>
    </row>
    <row r="11254" spans="1:1">
      <c r="A11254" s="29">
        <v>0.48125000000000001</v>
      </c>
    </row>
    <row r="11255" spans="1:1">
      <c r="A11255" s="27">
        <v>15.2</v>
      </c>
    </row>
    <row r="11256" spans="1:1">
      <c r="A11256" s="28">
        <v>56.2</v>
      </c>
    </row>
    <row r="11257" spans="1:1">
      <c r="A11257" s="25">
        <v>537</v>
      </c>
    </row>
    <row r="11258" spans="1:1" ht="45">
      <c r="A11258" s="26" t="s">
        <v>78</v>
      </c>
    </row>
    <row r="11259" spans="1:1">
      <c r="A11259" s="27" t="s">
        <v>653</v>
      </c>
    </row>
    <row r="11260" spans="1:1">
      <c r="A11260" s="27">
        <v>111</v>
      </c>
    </row>
    <row r="11261" spans="1:1">
      <c r="A11261" s="27">
        <v>17</v>
      </c>
    </row>
    <row r="11262" spans="1:1">
      <c r="A11262" s="27">
        <v>22</v>
      </c>
    </row>
    <row r="11263" spans="1:1">
      <c r="A11263" s="27">
        <v>39</v>
      </c>
    </row>
    <row r="11264" spans="1:1">
      <c r="A11264" s="27">
        <v>-20</v>
      </c>
    </row>
    <row r="11265" spans="1:1">
      <c r="A11265" s="27">
        <v>14</v>
      </c>
    </row>
    <row r="11266" spans="1:1">
      <c r="A11266" s="27">
        <v>0.35</v>
      </c>
    </row>
    <row r="11267" spans="1:1">
      <c r="A11267" s="27">
        <v>5</v>
      </c>
    </row>
    <row r="11268" spans="1:1">
      <c r="A11268" s="27">
        <v>13</v>
      </c>
    </row>
    <row r="11269" spans="1:1">
      <c r="A11269" s="27">
        <v>0</v>
      </c>
    </row>
    <row r="11270" spans="1:1">
      <c r="A11270" s="27">
        <v>0</v>
      </c>
    </row>
    <row r="11271" spans="1:1">
      <c r="A11271" s="27">
        <v>2</v>
      </c>
    </row>
    <row r="11272" spans="1:1">
      <c r="A11272" s="27">
        <v>0</v>
      </c>
    </row>
    <row r="11273" spans="1:1">
      <c r="A11273" s="27">
        <v>160</v>
      </c>
    </row>
    <row r="11274" spans="1:1">
      <c r="A11274" s="27">
        <v>10.6</v>
      </c>
    </row>
    <row r="11275" spans="1:1">
      <c r="A11275" s="29">
        <v>0.55555555555555558</v>
      </c>
    </row>
    <row r="11276" spans="1:1">
      <c r="A11276" s="27">
        <v>17.5</v>
      </c>
    </row>
    <row r="11277" spans="1:1">
      <c r="A11277" s="28">
        <v>41.9</v>
      </c>
    </row>
    <row r="11278" spans="1:1">
      <c r="A11278" s="25">
        <v>538</v>
      </c>
    </row>
    <row r="11279" spans="1:1" ht="45">
      <c r="A11279" s="26" t="s">
        <v>807</v>
      </c>
    </row>
    <row r="11280" spans="1:1">
      <c r="A11280" s="27" t="s">
        <v>653</v>
      </c>
    </row>
    <row r="11281" spans="1:1">
      <c r="A11281" s="27">
        <v>100</v>
      </c>
    </row>
    <row r="11282" spans="1:1">
      <c r="A11282" s="27">
        <v>14</v>
      </c>
    </row>
    <row r="11283" spans="1:1">
      <c r="A11283" s="27">
        <v>25</v>
      </c>
    </row>
    <row r="11284" spans="1:1">
      <c r="A11284" s="27">
        <v>39</v>
      </c>
    </row>
    <row r="11285" spans="1:1">
      <c r="A11285" s="27">
        <v>-5</v>
      </c>
    </row>
    <row r="11286" spans="1:1">
      <c r="A11286" s="27">
        <v>28</v>
      </c>
    </row>
    <row r="11287" spans="1:1">
      <c r="A11287" s="27">
        <v>0.39</v>
      </c>
    </row>
    <row r="11288" spans="1:1">
      <c r="A11288" s="27">
        <v>1</v>
      </c>
    </row>
    <row r="11289" spans="1:1">
      <c r="A11289" s="27">
        <v>6</v>
      </c>
    </row>
    <row r="11290" spans="1:1">
      <c r="A11290" s="27">
        <v>0</v>
      </c>
    </row>
    <row r="11291" spans="1:1">
      <c r="A11291" s="27">
        <v>0</v>
      </c>
    </row>
    <row r="11292" spans="1:1">
      <c r="A11292" s="27">
        <v>2</v>
      </c>
    </row>
    <row r="11293" spans="1:1">
      <c r="A11293" s="27">
        <v>0</v>
      </c>
    </row>
    <row r="11294" spans="1:1">
      <c r="A11294" s="27">
        <v>163</v>
      </c>
    </row>
    <row r="11295" spans="1:1">
      <c r="A11295" s="27">
        <v>8.6</v>
      </c>
    </row>
    <row r="11296" spans="1:1">
      <c r="A11296" s="29">
        <v>0.56805555555555554</v>
      </c>
    </row>
    <row r="11297" spans="1:1">
      <c r="A11297" s="27">
        <v>18.3</v>
      </c>
    </row>
    <row r="11298" spans="1:1">
      <c r="A11298" s="28">
        <v>45.3</v>
      </c>
    </row>
    <row r="11299" spans="1:1">
      <c r="A11299" s="25">
        <v>539</v>
      </c>
    </row>
    <row r="11300" spans="1:1" ht="45">
      <c r="A11300" s="26" t="s">
        <v>250</v>
      </c>
    </row>
    <row r="11301" spans="1:1">
      <c r="A11301" s="27" t="s">
        <v>653</v>
      </c>
    </row>
    <row r="11302" spans="1:1">
      <c r="A11302" s="27">
        <v>128</v>
      </c>
    </row>
    <row r="11303" spans="1:1">
      <c r="A11303" s="27">
        <v>14</v>
      </c>
    </row>
    <row r="11304" spans="1:1">
      <c r="A11304" s="27">
        <v>25</v>
      </c>
    </row>
    <row r="11305" spans="1:1">
      <c r="A11305" s="27">
        <v>39</v>
      </c>
    </row>
    <row r="11306" spans="1:1">
      <c r="A11306" s="27">
        <v>-15</v>
      </c>
    </row>
    <row r="11307" spans="1:1">
      <c r="A11307" s="27">
        <v>44</v>
      </c>
    </row>
    <row r="11308" spans="1:1">
      <c r="A11308" s="27">
        <v>0.3</v>
      </c>
    </row>
    <row r="11309" spans="1:1">
      <c r="A11309" s="27">
        <v>2</v>
      </c>
    </row>
    <row r="11310" spans="1:1">
      <c r="A11310" s="27">
        <v>8</v>
      </c>
    </row>
    <row r="11311" spans="1:1">
      <c r="A11311" s="27">
        <v>0</v>
      </c>
    </row>
    <row r="11312" spans="1:1">
      <c r="A11312" s="27">
        <v>0</v>
      </c>
    </row>
    <row r="11313" spans="1:1">
      <c r="A11313" s="27">
        <v>4</v>
      </c>
    </row>
    <row r="11314" spans="1:1">
      <c r="A11314" s="27">
        <v>0</v>
      </c>
    </row>
    <row r="11315" spans="1:1">
      <c r="A11315" s="27">
        <v>194</v>
      </c>
    </row>
    <row r="11316" spans="1:1">
      <c r="A11316" s="27">
        <v>7.2</v>
      </c>
    </row>
    <row r="11317" spans="1:1">
      <c r="A11317" s="29">
        <v>0.57152777777777775</v>
      </c>
    </row>
    <row r="11318" spans="1:1">
      <c r="A11318" s="27">
        <v>20.2</v>
      </c>
    </row>
    <row r="11319" spans="1:1">
      <c r="A11319" s="28">
        <v>51.4</v>
      </c>
    </row>
    <row r="11320" spans="1:1">
      <c r="A11320" s="25">
        <v>540</v>
      </c>
    </row>
    <row r="11321" spans="1:1" ht="30">
      <c r="A11321" s="26" t="s">
        <v>775</v>
      </c>
    </row>
    <row r="11322" spans="1:1">
      <c r="A11322" s="27" t="s">
        <v>653</v>
      </c>
    </row>
    <row r="11323" spans="1:1">
      <c r="A11323" s="27">
        <v>204</v>
      </c>
    </row>
    <row r="11324" spans="1:1">
      <c r="A11324" s="27">
        <v>23</v>
      </c>
    </row>
    <row r="11325" spans="1:1">
      <c r="A11325" s="27">
        <v>15</v>
      </c>
    </row>
    <row r="11326" spans="1:1">
      <c r="A11326" s="27">
        <v>38</v>
      </c>
    </row>
    <row r="11327" spans="1:1">
      <c r="A11327" s="27">
        <v>-15</v>
      </c>
    </row>
    <row r="11328" spans="1:1">
      <c r="A11328" s="27">
        <v>82</v>
      </c>
    </row>
    <row r="11329" spans="1:1">
      <c r="A11329" s="27">
        <v>0.19</v>
      </c>
    </row>
    <row r="11330" spans="1:1">
      <c r="A11330" s="27">
        <v>0</v>
      </c>
    </row>
    <row r="11331" spans="1:1">
      <c r="A11331" s="27">
        <v>0</v>
      </c>
    </row>
    <row r="11332" spans="1:1">
      <c r="A11332" s="27">
        <v>1</v>
      </c>
    </row>
    <row r="11333" spans="1:1">
      <c r="A11333" s="27">
        <v>1</v>
      </c>
    </row>
    <row r="11334" spans="1:1">
      <c r="A11334" s="27">
        <v>4</v>
      </c>
    </row>
    <row r="11335" spans="1:1">
      <c r="A11335" s="27">
        <v>0</v>
      </c>
    </row>
    <row r="11336" spans="1:1">
      <c r="A11336" s="27">
        <v>242</v>
      </c>
    </row>
    <row r="11337" spans="1:1">
      <c r="A11337" s="27">
        <v>9.5</v>
      </c>
    </row>
    <row r="11338" spans="1:1">
      <c r="A11338" s="29">
        <v>0.52222222222222225</v>
      </c>
    </row>
    <row r="11339" spans="1:1">
      <c r="A11339" s="27">
        <v>17</v>
      </c>
    </row>
    <row r="11340" spans="1:1">
      <c r="A11340" s="28">
        <v>48.3</v>
      </c>
    </row>
    <row r="11341" spans="1:1">
      <c r="A11341" s="25">
        <v>541</v>
      </c>
    </row>
    <row r="11342" spans="1:1" ht="30">
      <c r="A11342" s="26" t="s">
        <v>865</v>
      </c>
    </row>
    <row r="11343" spans="1:1">
      <c r="A11343" s="27" t="s">
        <v>44</v>
      </c>
    </row>
    <row r="11344" spans="1:1">
      <c r="A11344" s="27">
        <v>152</v>
      </c>
    </row>
    <row r="11345" spans="1:1">
      <c r="A11345" s="27">
        <v>22</v>
      </c>
    </row>
    <row r="11346" spans="1:1">
      <c r="A11346" s="27">
        <v>16</v>
      </c>
    </row>
    <row r="11347" spans="1:1">
      <c r="A11347" s="27">
        <v>38</v>
      </c>
    </row>
    <row r="11348" spans="1:1">
      <c r="A11348" s="27">
        <v>-21</v>
      </c>
    </row>
    <row r="11349" spans="1:1">
      <c r="A11349" s="27">
        <v>34</v>
      </c>
    </row>
    <row r="11350" spans="1:1">
      <c r="A11350" s="27">
        <v>0.25</v>
      </c>
    </row>
    <row r="11351" spans="1:1">
      <c r="A11351" s="27">
        <v>3</v>
      </c>
    </row>
    <row r="11352" spans="1:1">
      <c r="A11352" s="27">
        <v>6</v>
      </c>
    </row>
    <row r="11353" spans="1:1">
      <c r="A11353" s="27">
        <v>0</v>
      </c>
    </row>
    <row r="11354" spans="1:1">
      <c r="A11354" s="27">
        <v>0</v>
      </c>
    </row>
    <row r="11355" spans="1:1">
      <c r="A11355" s="27">
        <v>1</v>
      </c>
    </row>
    <row r="11356" spans="1:1">
      <c r="A11356" s="27">
        <v>0</v>
      </c>
    </row>
    <row r="11357" spans="1:1">
      <c r="A11357" s="27">
        <v>178</v>
      </c>
    </row>
    <row r="11358" spans="1:1">
      <c r="A11358" s="27">
        <v>12.3</v>
      </c>
    </row>
    <row r="11359" spans="1:1">
      <c r="A11359" s="29">
        <v>0.48819444444444443</v>
      </c>
    </row>
    <row r="11360" spans="1:1">
      <c r="A11360" s="27">
        <v>16.7</v>
      </c>
    </row>
    <row r="11361" spans="1:1">
      <c r="A11361" s="28">
        <v>39.1</v>
      </c>
    </row>
    <row r="11362" spans="1:1">
      <c r="A11362" s="25">
        <v>542</v>
      </c>
    </row>
    <row r="11363" spans="1:1" ht="30">
      <c r="A11363" s="26" t="s">
        <v>316</v>
      </c>
    </row>
    <row r="11364" spans="1:1">
      <c r="A11364" s="27" t="s">
        <v>44</v>
      </c>
    </row>
    <row r="11365" spans="1:1">
      <c r="A11365" s="27">
        <v>124</v>
      </c>
    </row>
    <row r="11366" spans="1:1">
      <c r="A11366" s="27">
        <v>15</v>
      </c>
    </row>
    <row r="11367" spans="1:1">
      <c r="A11367" s="27">
        <v>23</v>
      </c>
    </row>
    <row r="11368" spans="1:1">
      <c r="A11368" s="27">
        <v>38</v>
      </c>
    </row>
    <row r="11369" spans="1:1">
      <c r="A11369" s="27">
        <v>14</v>
      </c>
    </row>
    <row r="11370" spans="1:1">
      <c r="A11370" s="27">
        <v>45</v>
      </c>
    </row>
    <row r="11371" spans="1:1">
      <c r="A11371" s="27">
        <v>0.31</v>
      </c>
    </row>
    <row r="11372" spans="1:1">
      <c r="A11372" s="27">
        <v>0</v>
      </c>
    </row>
    <row r="11373" spans="1:1">
      <c r="A11373" s="27">
        <v>1</v>
      </c>
    </row>
    <row r="11374" spans="1:1">
      <c r="A11374" s="27">
        <v>0</v>
      </c>
    </row>
    <row r="11375" spans="1:1">
      <c r="A11375" s="27">
        <v>0</v>
      </c>
    </row>
    <row r="11376" spans="1:1">
      <c r="A11376" s="27">
        <v>5</v>
      </c>
    </row>
    <row r="11377" spans="1:1">
      <c r="A11377" s="27">
        <v>0</v>
      </c>
    </row>
    <row r="11378" spans="1:1">
      <c r="A11378" s="27">
        <v>145</v>
      </c>
    </row>
    <row r="11379" spans="1:1">
      <c r="A11379" s="27">
        <v>10.3</v>
      </c>
    </row>
    <row r="11380" spans="1:1">
      <c r="A11380" s="29">
        <v>0.50347222222222221</v>
      </c>
    </row>
    <row r="11381" spans="1:1">
      <c r="A11381" s="27">
        <v>16.7</v>
      </c>
    </row>
    <row r="11382" spans="1:1">
      <c r="A11382" s="28">
        <v>47.2</v>
      </c>
    </row>
    <row r="11383" spans="1:1">
      <c r="A11383" s="25">
        <v>543</v>
      </c>
    </row>
    <row r="11384" spans="1:1" ht="30">
      <c r="A11384" s="26" t="s">
        <v>819</v>
      </c>
    </row>
    <row r="11385" spans="1:1">
      <c r="A11385" s="27" t="s">
        <v>653</v>
      </c>
    </row>
    <row r="11386" spans="1:1">
      <c r="A11386" s="27">
        <v>121</v>
      </c>
    </row>
    <row r="11387" spans="1:1">
      <c r="A11387" s="27">
        <v>13</v>
      </c>
    </row>
    <row r="11388" spans="1:1">
      <c r="A11388" s="27">
        <v>25</v>
      </c>
    </row>
    <row r="11389" spans="1:1">
      <c r="A11389" s="27">
        <v>38</v>
      </c>
    </row>
    <row r="11390" spans="1:1">
      <c r="A11390" s="27">
        <v>-11</v>
      </c>
    </row>
    <row r="11391" spans="1:1">
      <c r="A11391" s="27">
        <v>20</v>
      </c>
    </row>
    <row r="11392" spans="1:1">
      <c r="A11392" s="27">
        <v>0.31</v>
      </c>
    </row>
    <row r="11393" spans="1:1">
      <c r="A11393" s="27">
        <v>1</v>
      </c>
    </row>
    <row r="11394" spans="1:1">
      <c r="A11394" s="27">
        <v>8</v>
      </c>
    </row>
    <row r="11395" spans="1:1">
      <c r="A11395" s="27">
        <v>0</v>
      </c>
    </row>
    <row r="11396" spans="1:1">
      <c r="A11396" s="27">
        <v>0</v>
      </c>
    </row>
    <row r="11397" spans="1:1">
      <c r="A11397" s="27">
        <v>4</v>
      </c>
    </row>
    <row r="11398" spans="1:1">
      <c r="A11398" s="27">
        <v>0</v>
      </c>
    </row>
    <row r="11399" spans="1:1">
      <c r="A11399" s="27">
        <v>147</v>
      </c>
    </row>
    <row r="11400" spans="1:1">
      <c r="A11400" s="27">
        <v>8.8000000000000007</v>
      </c>
    </row>
    <row r="11401" spans="1:1">
      <c r="A11401" s="29">
        <v>0.49583333333333335</v>
      </c>
    </row>
    <row r="11402" spans="1:1">
      <c r="A11402" s="27">
        <v>16.600000000000001</v>
      </c>
    </row>
    <row r="11403" spans="1:1">
      <c r="A11403" s="28">
        <v>44.6</v>
      </c>
    </row>
    <row r="11404" spans="1:1">
      <c r="A11404" s="25">
        <v>544</v>
      </c>
    </row>
    <row r="11405" spans="1:1" ht="30">
      <c r="A11405" s="26" t="s">
        <v>552</v>
      </c>
    </row>
    <row r="11406" spans="1:1">
      <c r="A11406" s="27" t="s">
        <v>42</v>
      </c>
    </row>
    <row r="11407" spans="1:1">
      <c r="A11407" s="27">
        <v>264</v>
      </c>
    </row>
    <row r="11408" spans="1:1">
      <c r="A11408" s="27">
        <v>7</v>
      </c>
    </row>
    <row r="11409" spans="1:1">
      <c r="A11409" s="27">
        <v>31</v>
      </c>
    </row>
    <row r="11410" spans="1:1">
      <c r="A11410" s="27">
        <v>38</v>
      </c>
    </row>
    <row r="11411" spans="1:1">
      <c r="A11411" s="27">
        <v>-13</v>
      </c>
    </row>
    <row r="11412" spans="1:1">
      <c r="A11412" s="27">
        <v>321</v>
      </c>
    </row>
    <row r="11413" spans="1:1">
      <c r="A11413" s="27">
        <v>0.14000000000000001</v>
      </c>
    </row>
    <row r="11414" spans="1:1">
      <c r="A11414" s="27">
        <v>0</v>
      </c>
    </row>
    <row r="11415" spans="1:1">
      <c r="A11415" s="27">
        <v>1</v>
      </c>
    </row>
    <row r="11416" spans="1:1">
      <c r="A11416" s="27">
        <v>0</v>
      </c>
    </row>
    <row r="11417" spans="1:1">
      <c r="A11417" s="27">
        <v>0</v>
      </c>
    </row>
    <row r="11418" spans="1:1">
      <c r="A11418" s="27">
        <v>0</v>
      </c>
    </row>
    <row r="11419" spans="1:1">
      <c r="A11419" s="27">
        <v>0</v>
      </c>
    </row>
    <row r="11420" spans="1:1">
      <c r="A11420" s="27">
        <v>241</v>
      </c>
    </row>
    <row r="11421" spans="1:1">
      <c r="A11421" s="27">
        <v>2.9</v>
      </c>
    </row>
    <row r="11422" spans="1:1">
      <c r="A11422" s="29">
        <v>0.68888888888888899</v>
      </c>
    </row>
    <row r="11423" spans="1:1">
      <c r="A11423" s="27">
        <v>21</v>
      </c>
    </row>
    <row r="11424" spans="1:1">
      <c r="A11424" s="28">
        <v>0</v>
      </c>
    </row>
    <row r="11425" spans="1:1">
      <c r="A11425" s="25">
        <v>545</v>
      </c>
    </row>
    <row r="11426" spans="1:1" ht="45">
      <c r="A11426" s="26" t="s">
        <v>216</v>
      </c>
    </row>
    <row r="11427" spans="1:1">
      <c r="A11427" s="27" t="s">
        <v>42</v>
      </c>
    </row>
    <row r="11428" spans="1:1">
      <c r="A11428" s="27">
        <v>134</v>
      </c>
    </row>
    <row r="11429" spans="1:1">
      <c r="A11429" s="27">
        <v>4</v>
      </c>
    </row>
    <row r="11430" spans="1:1">
      <c r="A11430" s="27">
        <v>34</v>
      </c>
    </row>
    <row r="11431" spans="1:1">
      <c r="A11431" s="27">
        <v>38</v>
      </c>
    </row>
    <row r="11432" spans="1:1">
      <c r="A11432" s="27">
        <v>21</v>
      </c>
    </row>
    <row r="11433" spans="1:1">
      <c r="A11433" s="27">
        <v>78</v>
      </c>
    </row>
    <row r="11434" spans="1:1">
      <c r="A11434" s="27">
        <v>0.28000000000000003</v>
      </c>
    </row>
    <row r="11435" spans="1:1">
      <c r="A11435" s="27">
        <v>1</v>
      </c>
    </row>
    <row r="11436" spans="1:1">
      <c r="A11436" s="27">
        <v>7</v>
      </c>
    </row>
    <row r="11437" spans="1:1">
      <c r="A11437" s="27">
        <v>0</v>
      </c>
    </row>
    <row r="11438" spans="1:1">
      <c r="A11438" s="27">
        <v>1</v>
      </c>
    </row>
    <row r="11439" spans="1:1">
      <c r="A11439" s="27">
        <v>0</v>
      </c>
    </row>
    <row r="11440" spans="1:1">
      <c r="A11440" s="27">
        <v>0</v>
      </c>
    </row>
    <row r="11441" spans="1:1">
      <c r="A11441" s="27">
        <v>135</v>
      </c>
    </row>
    <row r="11442" spans="1:1">
      <c r="A11442" s="27">
        <v>3</v>
      </c>
    </row>
    <row r="11443" spans="1:1">
      <c r="A11443" s="29">
        <v>0.6972222222222223</v>
      </c>
    </row>
    <row r="11444" spans="1:1">
      <c r="A11444" s="27">
        <v>22.7</v>
      </c>
    </row>
    <row r="11445" spans="1:1">
      <c r="A11445" s="28">
        <v>100</v>
      </c>
    </row>
    <row r="11446" spans="1:1">
      <c r="A11446" s="25">
        <v>546</v>
      </c>
    </row>
    <row r="11447" spans="1:1" ht="45">
      <c r="A11447" s="26" t="s">
        <v>462</v>
      </c>
    </row>
    <row r="11448" spans="1:1">
      <c r="A11448" s="27" t="s">
        <v>43</v>
      </c>
    </row>
    <row r="11449" spans="1:1">
      <c r="A11449" s="27">
        <v>142</v>
      </c>
    </row>
    <row r="11450" spans="1:1">
      <c r="A11450" s="27">
        <v>21</v>
      </c>
    </row>
    <row r="11451" spans="1:1">
      <c r="A11451" s="27">
        <v>16</v>
      </c>
    </row>
    <row r="11452" spans="1:1">
      <c r="A11452" s="27">
        <v>37</v>
      </c>
    </row>
    <row r="11453" spans="1:1">
      <c r="A11453" s="27">
        <v>-6</v>
      </c>
    </row>
    <row r="11454" spans="1:1">
      <c r="A11454" s="27">
        <v>50</v>
      </c>
    </row>
    <row r="11455" spans="1:1">
      <c r="A11455" s="27">
        <v>0.26</v>
      </c>
    </row>
    <row r="11456" spans="1:1">
      <c r="A11456" s="27">
        <v>0</v>
      </c>
    </row>
    <row r="11457" spans="1:1">
      <c r="A11457" s="27">
        <v>0</v>
      </c>
    </row>
    <row r="11458" spans="1:1">
      <c r="A11458" s="27">
        <v>1</v>
      </c>
    </row>
    <row r="11459" spans="1:1">
      <c r="A11459" s="27">
        <v>2</v>
      </c>
    </row>
    <row r="11460" spans="1:1">
      <c r="A11460" s="27">
        <v>1</v>
      </c>
    </row>
    <row r="11461" spans="1:1">
      <c r="A11461" s="27">
        <v>0</v>
      </c>
    </row>
    <row r="11462" spans="1:1">
      <c r="A11462" s="27">
        <v>165</v>
      </c>
    </row>
    <row r="11463" spans="1:1">
      <c r="A11463" s="27">
        <v>12.7</v>
      </c>
    </row>
    <row r="11464" spans="1:1">
      <c r="A11464" s="29">
        <v>0.52916666666666667</v>
      </c>
    </row>
    <row r="11465" spans="1:1">
      <c r="A11465" s="27">
        <v>19.100000000000001</v>
      </c>
    </row>
    <row r="11466" spans="1:1">
      <c r="A11466" s="28">
        <v>35.6</v>
      </c>
    </row>
    <row r="11467" spans="1:1">
      <c r="A11467" s="25">
        <v>547</v>
      </c>
    </row>
    <row r="11468" spans="1:1" ht="30">
      <c r="A11468" s="26" t="s">
        <v>536</v>
      </c>
    </row>
    <row r="11469" spans="1:1">
      <c r="A11469" s="27" t="s">
        <v>653</v>
      </c>
    </row>
    <row r="11470" spans="1:1">
      <c r="A11470" s="27">
        <v>354</v>
      </c>
    </row>
    <row r="11471" spans="1:1">
      <c r="A11471" s="27">
        <v>15</v>
      </c>
    </row>
    <row r="11472" spans="1:1">
      <c r="A11472" s="27">
        <v>22</v>
      </c>
    </row>
    <row r="11473" spans="1:1">
      <c r="A11473" s="27">
        <v>37</v>
      </c>
    </row>
    <row r="11474" spans="1:1">
      <c r="A11474" s="27">
        <v>-43</v>
      </c>
    </row>
    <row r="11475" spans="1:1">
      <c r="A11475" s="27">
        <v>723</v>
      </c>
    </row>
    <row r="11476" spans="1:1">
      <c r="A11476" s="27">
        <v>0.1</v>
      </c>
    </row>
    <row r="11477" spans="1:1">
      <c r="A11477" s="27">
        <v>0</v>
      </c>
    </row>
    <row r="11478" spans="1:1">
      <c r="A11478" s="27">
        <v>0</v>
      </c>
    </row>
    <row r="11479" spans="1:1">
      <c r="A11479" s="27">
        <v>0</v>
      </c>
    </row>
    <row r="11480" spans="1:1">
      <c r="A11480" s="27">
        <v>0</v>
      </c>
    </row>
    <row r="11481" spans="1:1">
      <c r="A11481" s="27">
        <v>2</v>
      </c>
    </row>
    <row r="11482" spans="1:1">
      <c r="A11482" s="27">
        <v>0</v>
      </c>
    </row>
    <row r="11483" spans="1:1">
      <c r="A11483" s="27">
        <v>276</v>
      </c>
    </row>
    <row r="11484" spans="1:1">
      <c r="A11484" s="27">
        <v>5.4</v>
      </c>
    </row>
    <row r="11485" spans="1:1">
      <c r="A11485" s="29">
        <v>0.35416666666666669</v>
      </c>
    </row>
    <row r="11486" spans="1:1">
      <c r="A11486" s="27">
        <v>12.5</v>
      </c>
    </row>
    <row r="11487" spans="1:1">
      <c r="A11487" s="28">
        <v>39.5</v>
      </c>
    </row>
    <row r="11488" spans="1:1">
      <c r="A11488" s="25">
        <v>548</v>
      </c>
    </row>
    <row r="11489" spans="1:1" ht="30">
      <c r="A11489" s="26" t="s">
        <v>762</v>
      </c>
    </row>
    <row r="11490" spans="1:1">
      <c r="A11490" s="27" t="s">
        <v>653</v>
      </c>
    </row>
    <row r="11491" spans="1:1">
      <c r="A11491" s="27">
        <v>136</v>
      </c>
    </row>
    <row r="11492" spans="1:1">
      <c r="A11492" s="27">
        <v>12</v>
      </c>
    </row>
    <row r="11493" spans="1:1">
      <c r="A11493" s="27">
        <v>25</v>
      </c>
    </row>
    <row r="11494" spans="1:1">
      <c r="A11494" s="27">
        <v>37</v>
      </c>
    </row>
    <row r="11495" spans="1:1">
      <c r="A11495" s="27">
        <v>-23</v>
      </c>
    </row>
    <row r="11496" spans="1:1">
      <c r="A11496" s="27">
        <v>30</v>
      </c>
    </row>
    <row r="11497" spans="1:1">
      <c r="A11497" s="27">
        <v>0.27</v>
      </c>
    </row>
    <row r="11498" spans="1:1">
      <c r="A11498" s="27">
        <v>0</v>
      </c>
    </row>
    <row r="11499" spans="1:1">
      <c r="A11499" s="27">
        <v>0</v>
      </c>
    </row>
    <row r="11500" spans="1:1">
      <c r="A11500" s="27">
        <v>1</v>
      </c>
    </row>
    <row r="11501" spans="1:1">
      <c r="A11501" s="27">
        <v>1</v>
      </c>
    </row>
    <row r="11502" spans="1:1">
      <c r="A11502" s="27">
        <v>1</v>
      </c>
    </row>
    <row r="11503" spans="1:1">
      <c r="A11503" s="27">
        <v>0</v>
      </c>
    </row>
    <row r="11504" spans="1:1">
      <c r="A11504" s="27">
        <v>161</v>
      </c>
    </row>
    <row r="11505" spans="1:1">
      <c r="A11505" s="27">
        <v>7.4</v>
      </c>
    </row>
    <row r="11506" spans="1:1">
      <c r="A11506" s="29">
        <v>0.5708333333333333</v>
      </c>
    </row>
    <row r="11507" spans="1:1">
      <c r="A11507" s="27">
        <v>19.600000000000001</v>
      </c>
    </row>
    <row r="11508" spans="1:1">
      <c r="A11508" s="28">
        <v>49.2</v>
      </c>
    </row>
    <row r="11509" spans="1:1">
      <c r="A11509" s="25">
        <v>549</v>
      </c>
    </row>
    <row r="11510" spans="1:1" ht="30">
      <c r="A11510" s="26" t="s">
        <v>269</v>
      </c>
    </row>
    <row r="11511" spans="1:1">
      <c r="A11511" s="27" t="s">
        <v>653</v>
      </c>
    </row>
    <row r="11512" spans="1:1">
      <c r="A11512" s="27">
        <v>101</v>
      </c>
    </row>
    <row r="11513" spans="1:1">
      <c r="A11513" s="27">
        <v>20</v>
      </c>
    </row>
    <row r="11514" spans="1:1">
      <c r="A11514" s="27">
        <v>16</v>
      </c>
    </row>
    <row r="11515" spans="1:1">
      <c r="A11515" s="27">
        <v>36</v>
      </c>
    </row>
    <row r="11516" spans="1:1">
      <c r="A11516" s="27">
        <v>-21</v>
      </c>
    </row>
    <row r="11517" spans="1:1">
      <c r="A11517" s="27">
        <v>16</v>
      </c>
    </row>
    <row r="11518" spans="1:1">
      <c r="A11518" s="27">
        <v>0.36</v>
      </c>
    </row>
    <row r="11519" spans="1:1">
      <c r="A11519" s="27">
        <v>3</v>
      </c>
    </row>
    <row r="11520" spans="1:1">
      <c r="A11520" s="27">
        <v>7</v>
      </c>
    </row>
    <row r="11521" spans="1:1">
      <c r="A11521" s="27">
        <v>0</v>
      </c>
    </row>
    <row r="11522" spans="1:1">
      <c r="A11522" s="27">
        <v>0</v>
      </c>
    </row>
    <row r="11523" spans="1:1">
      <c r="A11523" s="27">
        <v>4</v>
      </c>
    </row>
    <row r="11524" spans="1:1">
      <c r="A11524" s="27">
        <v>0</v>
      </c>
    </row>
    <row r="11525" spans="1:1">
      <c r="A11525" s="27">
        <v>194</v>
      </c>
    </row>
    <row r="11526" spans="1:1">
      <c r="A11526" s="27">
        <v>10.3</v>
      </c>
    </row>
    <row r="11527" spans="1:1">
      <c r="A11527" s="29">
        <v>0.59305555555555556</v>
      </c>
    </row>
    <row r="11528" spans="1:1">
      <c r="A11528" s="27">
        <v>17.8</v>
      </c>
    </row>
    <row r="11529" spans="1:1">
      <c r="A11529" s="28">
        <v>38.6</v>
      </c>
    </row>
    <row r="11530" spans="1:1">
      <c r="A11530" s="25">
        <v>550</v>
      </c>
    </row>
    <row r="11531" spans="1:1" ht="30">
      <c r="A11531" s="26" t="s">
        <v>165</v>
      </c>
    </row>
    <row r="11532" spans="1:1">
      <c r="A11532" s="27" t="s">
        <v>42</v>
      </c>
    </row>
    <row r="11533" spans="1:1">
      <c r="A11533" s="27">
        <v>74</v>
      </c>
    </row>
    <row r="11534" spans="1:1">
      <c r="A11534" s="27">
        <v>10</v>
      </c>
    </row>
    <row r="11535" spans="1:1">
      <c r="A11535" s="27">
        <v>26</v>
      </c>
    </row>
    <row r="11536" spans="1:1">
      <c r="A11536" s="27">
        <v>36</v>
      </c>
    </row>
    <row r="11537" spans="1:1">
      <c r="A11537" s="27">
        <v>-23</v>
      </c>
    </row>
    <row r="11538" spans="1:1">
      <c r="A11538" s="27">
        <v>43</v>
      </c>
    </row>
    <row r="11539" spans="1:1">
      <c r="A11539" s="27">
        <v>0.49</v>
      </c>
    </row>
    <row r="11540" spans="1:1">
      <c r="A11540" s="27">
        <v>2</v>
      </c>
    </row>
    <row r="11541" spans="1:1">
      <c r="A11541" s="27">
        <v>8</v>
      </c>
    </row>
    <row r="11542" spans="1:1">
      <c r="A11542" s="27">
        <v>0</v>
      </c>
    </row>
    <row r="11543" spans="1:1">
      <c r="A11543" s="27">
        <v>1</v>
      </c>
    </row>
    <row r="11544" spans="1:1">
      <c r="A11544" s="27">
        <v>0</v>
      </c>
    </row>
    <row r="11545" spans="1:1">
      <c r="A11545" s="27">
        <v>0</v>
      </c>
    </row>
    <row r="11546" spans="1:1">
      <c r="A11546" s="27">
        <v>134</v>
      </c>
    </row>
    <row r="11547" spans="1:1">
      <c r="A11547" s="27">
        <v>7.5</v>
      </c>
    </row>
    <row r="11548" spans="1:1">
      <c r="A11548" s="29">
        <v>0.87986111111111109</v>
      </c>
    </row>
    <row r="11549" spans="1:1">
      <c r="A11549" s="27">
        <v>26.3</v>
      </c>
    </row>
    <row r="11550" spans="1:1">
      <c r="A11550" s="28">
        <v>0</v>
      </c>
    </row>
    <row r="11551" spans="1:1">
      <c r="A11551" s="25">
        <v>551</v>
      </c>
    </row>
    <row r="11552" spans="1:1" ht="30">
      <c r="A11552" s="26" t="s">
        <v>1159</v>
      </c>
    </row>
    <row r="11553" spans="1:1">
      <c r="A11553" s="27" t="s">
        <v>42</v>
      </c>
    </row>
    <row r="11554" spans="1:1">
      <c r="A11554" s="27">
        <v>247</v>
      </c>
    </row>
    <row r="11555" spans="1:1">
      <c r="A11555" s="27">
        <v>4</v>
      </c>
    </row>
    <row r="11556" spans="1:1">
      <c r="A11556" s="27">
        <v>32</v>
      </c>
    </row>
    <row r="11557" spans="1:1">
      <c r="A11557" s="27">
        <v>36</v>
      </c>
    </row>
    <row r="11558" spans="1:1">
      <c r="A11558" s="27">
        <v>-14</v>
      </c>
    </row>
    <row r="11559" spans="1:1">
      <c r="A11559" s="27">
        <v>156</v>
      </c>
    </row>
    <row r="11560" spans="1:1">
      <c r="A11560" s="27">
        <v>0.15</v>
      </c>
    </row>
    <row r="11561" spans="1:1">
      <c r="A11561" s="27">
        <v>0</v>
      </c>
    </row>
    <row r="11562" spans="1:1">
      <c r="A11562" s="27">
        <v>0</v>
      </c>
    </row>
    <row r="11563" spans="1:1">
      <c r="A11563" s="27">
        <v>0</v>
      </c>
    </row>
    <row r="11564" spans="1:1">
      <c r="A11564" s="27">
        <v>0</v>
      </c>
    </row>
    <row r="11565" spans="1:1">
      <c r="A11565" s="27">
        <v>0</v>
      </c>
    </row>
    <row r="11566" spans="1:1">
      <c r="A11566" s="27">
        <v>0</v>
      </c>
    </row>
    <row r="11567" spans="1:1">
      <c r="A11567" s="27">
        <v>284</v>
      </c>
    </row>
    <row r="11568" spans="1:1">
      <c r="A11568" s="27">
        <v>1.4</v>
      </c>
    </row>
    <row r="11569" spans="1:1">
      <c r="A11569" s="29">
        <v>0.71458333333333324</v>
      </c>
    </row>
    <row r="11570" spans="1:1">
      <c r="A11570" s="27">
        <v>22.2</v>
      </c>
    </row>
    <row r="11571" spans="1:1">
      <c r="A11571" s="28">
        <v>0</v>
      </c>
    </row>
    <row r="11572" spans="1:1">
      <c r="A11572" s="25">
        <v>552</v>
      </c>
    </row>
    <row r="11573" spans="1:1" ht="30">
      <c r="A11573" s="26" t="s">
        <v>1156</v>
      </c>
    </row>
    <row r="11574" spans="1:1">
      <c r="A11574" s="27" t="s">
        <v>42</v>
      </c>
    </row>
    <row r="11575" spans="1:1">
      <c r="A11575" s="27">
        <v>192</v>
      </c>
    </row>
    <row r="11576" spans="1:1">
      <c r="A11576" s="27">
        <v>4</v>
      </c>
    </row>
    <row r="11577" spans="1:1">
      <c r="A11577" s="27">
        <v>32</v>
      </c>
    </row>
    <row r="11578" spans="1:1">
      <c r="A11578" s="27">
        <v>36</v>
      </c>
    </row>
    <row r="11579" spans="1:1">
      <c r="A11579" s="27">
        <v>-16</v>
      </c>
    </row>
    <row r="11580" spans="1:1">
      <c r="A11580" s="27">
        <v>96</v>
      </c>
    </row>
    <row r="11581" spans="1:1">
      <c r="A11581" s="27">
        <v>0.19</v>
      </c>
    </row>
    <row r="11582" spans="1:1">
      <c r="A11582" s="27">
        <v>0</v>
      </c>
    </row>
    <row r="11583" spans="1:1">
      <c r="A11583" s="27">
        <v>1</v>
      </c>
    </row>
    <row r="11584" spans="1:1">
      <c r="A11584" s="27">
        <v>0</v>
      </c>
    </row>
    <row r="11585" spans="1:1">
      <c r="A11585" s="27">
        <v>1</v>
      </c>
    </row>
    <row r="11586" spans="1:1">
      <c r="A11586" s="27">
        <v>2</v>
      </c>
    </row>
    <row r="11587" spans="1:1">
      <c r="A11587" s="27">
        <v>0</v>
      </c>
    </row>
    <row r="11588" spans="1:1">
      <c r="A11588" s="27">
        <v>287</v>
      </c>
    </row>
    <row r="11589" spans="1:1">
      <c r="A11589" s="27">
        <v>1.4</v>
      </c>
    </row>
    <row r="11590" spans="1:1">
      <c r="A11590" s="29">
        <v>0.65138888888888891</v>
      </c>
    </row>
    <row r="11591" spans="1:1">
      <c r="A11591" s="27">
        <v>21.9</v>
      </c>
    </row>
    <row r="11592" spans="1:1">
      <c r="A11592" s="28">
        <v>0</v>
      </c>
    </row>
    <row r="11593" spans="1:1">
      <c r="A11593" s="25">
        <v>553</v>
      </c>
    </row>
    <row r="11594" spans="1:1" ht="30">
      <c r="A11594" s="26" t="s">
        <v>707</v>
      </c>
    </row>
    <row r="11595" spans="1:1">
      <c r="A11595" s="27" t="s">
        <v>44</v>
      </c>
    </row>
    <row r="11596" spans="1:1">
      <c r="A11596" s="27">
        <v>80</v>
      </c>
    </row>
    <row r="11597" spans="1:1">
      <c r="A11597" s="27">
        <v>20</v>
      </c>
    </row>
    <row r="11598" spans="1:1">
      <c r="A11598" s="27">
        <v>15</v>
      </c>
    </row>
    <row r="11599" spans="1:1">
      <c r="A11599" s="27">
        <v>35</v>
      </c>
    </row>
    <row r="11600" spans="1:1">
      <c r="A11600" s="27">
        <v>-12</v>
      </c>
    </row>
    <row r="11601" spans="1:1">
      <c r="A11601" s="27">
        <v>28</v>
      </c>
    </row>
    <row r="11602" spans="1:1">
      <c r="A11602" s="27">
        <v>0.44</v>
      </c>
    </row>
    <row r="11603" spans="1:1">
      <c r="A11603" s="27">
        <v>4</v>
      </c>
    </row>
    <row r="11604" spans="1:1">
      <c r="A11604" s="27">
        <v>9</v>
      </c>
    </row>
    <row r="11605" spans="1:1">
      <c r="A11605" s="27">
        <v>1</v>
      </c>
    </row>
    <row r="11606" spans="1:1">
      <c r="A11606" s="27">
        <v>1</v>
      </c>
    </row>
    <row r="11607" spans="1:1">
      <c r="A11607" s="27">
        <v>4</v>
      </c>
    </row>
    <row r="11608" spans="1:1">
      <c r="A11608" s="27">
        <v>1</v>
      </c>
    </row>
    <row r="11609" spans="1:1">
      <c r="A11609" s="27">
        <v>142</v>
      </c>
    </row>
    <row r="11610" spans="1:1">
      <c r="A11610" s="27">
        <v>14.1</v>
      </c>
    </row>
    <row r="11611" spans="1:1">
      <c r="A11611" s="29">
        <v>0.60902777777777783</v>
      </c>
    </row>
    <row r="11612" spans="1:1">
      <c r="A11612" s="27">
        <v>22.9</v>
      </c>
    </row>
    <row r="11613" spans="1:1">
      <c r="A11613" s="28">
        <v>51.7</v>
      </c>
    </row>
    <row r="11614" spans="1:1">
      <c r="A11614" s="25">
        <v>554</v>
      </c>
    </row>
    <row r="11615" spans="1:1" ht="30">
      <c r="A11615" s="26" t="s">
        <v>929</v>
      </c>
    </row>
    <row r="11616" spans="1:1">
      <c r="A11616" s="27" t="s">
        <v>44</v>
      </c>
    </row>
    <row r="11617" spans="1:1">
      <c r="A11617" s="27">
        <v>108</v>
      </c>
    </row>
    <row r="11618" spans="1:1">
      <c r="A11618" s="27">
        <v>15</v>
      </c>
    </row>
    <row r="11619" spans="1:1">
      <c r="A11619" s="27">
        <v>20</v>
      </c>
    </row>
    <row r="11620" spans="1:1">
      <c r="A11620" s="27">
        <v>35</v>
      </c>
    </row>
    <row r="11621" spans="1:1">
      <c r="A11621" s="27">
        <v>3</v>
      </c>
    </row>
    <row r="11622" spans="1:1">
      <c r="A11622" s="27">
        <v>26</v>
      </c>
    </row>
    <row r="11623" spans="1:1">
      <c r="A11623" s="27">
        <v>0.32</v>
      </c>
    </row>
    <row r="11624" spans="1:1">
      <c r="A11624" s="27">
        <v>3</v>
      </c>
    </row>
    <row r="11625" spans="1:1">
      <c r="A11625" s="27">
        <v>4</v>
      </c>
    </row>
    <row r="11626" spans="1:1">
      <c r="A11626" s="27">
        <v>0</v>
      </c>
    </row>
    <row r="11627" spans="1:1">
      <c r="A11627" s="27">
        <v>0</v>
      </c>
    </row>
    <row r="11628" spans="1:1">
      <c r="A11628" s="27">
        <v>2</v>
      </c>
    </row>
    <row r="11629" spans="1:1">
      <c r="A11629" s="27">
        <v>0</v>
      </c>
    </row>
    <row r="11630" spans="1:1">
      <c r="A11630" s="27">
        <v>158</v>
      </c>
    </row>
    <row r="11631" spans="1:1">
      <c r="A11631" s="27">
        <v>9.5</v>
      </c>
    </row>
    <row r="11632" spans="1:1">
      <c r="A11632" s="29">
        <v>0.47222222222222227</v>
      </c>
    </row>
    <row r="11633" spans="1:1">
      <c r="A11633" s="27">
        <v>16.100000000000001</v>
      </c>
    </row>
    <row r="11634" spans="1:1">
      <c r="A11634" s="28">
        <v>23.8</v>
      </c>
    </row>
    <row r="11635" spans="1:1">
      <c r="A11635" s="25">
        <v>555</v>
      </c>
    </row>
    <row r="11636" spans="1:1" ht="45">
      <c r="A11636" s="26" t="s">
        <v>401</v>
      </c>
    </row>
    <row r="11637" spans="1:1">
      <c r="A11637" s="27" t="s">
        <v>653</v>
      </c>
    </row>
    <row r="11638" spans="1:1">
      <c r="A11638" s="27">
        <v>130</v>
      </c>
    </row>
    <row r="11639" spans="1:1">
      <c r="A11639" s="27">
        <v>13</v>
      </c>
    </row>
    <row r="11640" spans="1:1">
      <c r="A11640" s="27">
        <v>22</v>
      </c>
    </row>
    <row r="11641" spans="1:1">
      <c r="A11641" s="27">
        <v>35</v>
      </c>
    </row>
    <row r="11642" spans="1:1">
      <c r="A11642" s="27">
        <v>11</v>
      </c>
    </row>
    <row r="11643" spans="1:1">
      <c r="A11643" s="27">
        <v>42</v>
      </c>
    </row>
    <row r="11644" spans="1:1">
      <c r="A11644" s="27">
        <v>0.27</v>
      </c>
    </row>
    <row r="11645" spans="1:1">
      <c r="A11645" s="27">
        <v>0</v>
      </c>
    </row>
    <row r="11646" spans="1:1">
      <c r="A11646" s="27">
        <v>0</v>
      </c>
    </row>
    <row r="11647" spans="1:1">
      <c r="A11647" s="27">
        <v>0</v>
      </c>
    </row>
    <row r="11648" spans="1:1">
      <c r="A11648" s="27">
        <v>0</v>
      </c>
    </row>
    <row r="11649" spans="1:1">
      <c r="A11649" s="27">
        <v>3</v>
      </c>
    </row>
    <row r="11650" spans="1:1">
      <c r="A11650" s="27">
        <v>2</v>
      </c>
    </row>
    <row r="11651" spans="1:1">
      <c r="A11651" s="27">
        <v>153</v>
      </c>
    </row>
    <row r="11652" spans="1:1">
      <c r="A11652" s="27">
        <v>8.5</v>
      </c>
    </row>
    <row r="11653" spans="1:1">
      <c r="A11653" s="29">
        <v>0.51597222222222217</v>
      </c>
    </row>
    <row r="11654" spans="1:1">
      <c r="A11654" s="27">
        <v>19</v>
      </c>
    </row>
    <row r="11655" spans="1:1">
      <c r="A11655" s="28">
        <v>44.1</v>
      </c>
    </row>
    <row r="11656" spans="1:1">
      <c r="A11656" s="25">
        <v>556</v>
      </c>
    </row>
    <row r="11657" spans="1:1" ht="30">
      <c r="A11657" s="26" t="s">
        <v>831</v>
      </c>
    </row>
    <row r="11658" spans="1:1">
      <c r="A11658" s="27" t="s">
        <v>43</v>
      </c>
    </row>
    <row r="11659" spans="1:1">
      <c r="A11659" s="27">
        <v>114</v>
      </c>
    </row>
    <row r="11660" spans="1:1">
      <c r="A11660" s="27">
        <v>12</v>
      </c>
    </row>
    <row r="11661" spans="1:1">
      <c r="A11661" s="27">
        <v>23</v>
      </c>
    </row>
    <row r="11662" spans="1:1">
      <c r="A11662" s="27">
        <v>35</v>
      </c>
    </row>
    <row r="11663" spans="1:1">
      <c r="A11663" s="27">
        <v>-4</v>
      </c>
    </row>
    <row r="11664" spans="1:1">
      <c r="A11664" s="27">
        <v>22</v>
      </c>
    </row>
    <row r="11665" spans="1:1">
      <c r="A11665" s="27">
        <v>0.31</v>
      </c>
    </row>
    <row r="11666" spans="1:1">
      <c r="A11666" s="27">
        <v>0</v>
      </c>
    </row>
    <row r="11667" spans="1:1">
      <c r="A11667" s="27">
        <v>0</v>
      </c>
    </row>
    <row r="11668" spans="1:1">
      <c r="A11668" s="27">
        <v>0</v>
      </c>
    </row>
    <row r="11669" spans="1:1">
      <c r="A11669" s="27">
        <v>0</v>
      </c>
    </row>
    <row r="11670" spans="1:1">
      <c r="A11670" s="27">
        <v>1</v>
      </c>
    </row>
    <row r="11671" spans="1:1">
      <c r="A11671" s="27">
        <v>0</v>
      </c>
    </row>
    <row r="11672" spans="1:1">
      <c r="A11672" s="27">
        <v>180</v>
      </c>
    </row>
    <row r="11673" spans="1:1">
      <c r="A11673" s="27">
        <v>6.7</v>
      </c>
    </row>
    <row r="11674" spans="1:1">
      <c r="A11674" s="29">
        <v>0.45833333333333331</v>
      </c>
    </row>
    <row r="11675" spans="1:1">
      <c r="A11675" s="27">
        <v>15.3</v>
      </c>
    </row>
    <row r="11676" spans="1:1">
      <c r="A11676" s="28">
        <v>43.6</v>
      </c>
    </row>
    <row r="11677" spans="1:1">
      <c r="A11677" s="25">
        <v>557</v>
      </c>
    </row>
    <row r="11678" spans="1:1" ht="30">
      <c r="A11678" s="26" t="s">
        <v>51</v>
      </c>
    </row>
    <row r="11679" spans="1:1">
      <c r="A11679" s="27" t="s">
        <v>42</v>
      </c>
    </row>
    <row r="11680" spans="1:1">
      <c r="A11680" s="27">
        <v>118</v>
      </c>
    </row>
    <row r="11681" spans="1:1">
      <c r="A11681" s="27">
        <v>8</v>
      </c>
    </row>
    <row r="11682" spans="1:1">
      <c r="A11682" s="27">
        <v>27</v>
      </c>
    </row>
    <row r="11683" spans="1:1">
      <c r="A11683" s="27">
        <v>35</v>
      </c>
    </row>
    <row r="11684" spans="1:1">
      <c r="A11684" s="27">
        <v>18</v>
      </c>
    </row>
    <row r="11685" spans="1:1">
      <c r="A11685" s="27">
        <v>34</v>
      </c>
    </row>
    <row r="11686" spans="1:1">
      <c r="A11686" s="27">
        <v>0.3</v>
      </c>
    </row>
    <row r="11687" spans="1:1">
      <c r="A11687" s="27">
        <v>0</v>
      </c>
    </row>
    <row r="11688" spans="1:1">
      <c r="A11688" s="27">
        <v>0</v>
      </c>
    </row>
    <row r="11689" spans="1:1">
      <c r="A11689" s="27">
        <v>0</v>
      </c>
    </row>
    <row r="11690" spans="1:1">
      <c r="A11690" s="27">
        <v>0</v>
      </c>
    </row>
    <row r="11691" spans="1:1">
      <c r="A11691" s="27">
        <v>1</v>
      </c>
    </row>
    <row r="11692" spans="1:1">
      <c r="A11692" s="27">
        <v>0</v>
      </c>
    </row>
    <row r="11693" spans="1:1">
      <c r="A11693" s="27">
        <v>180</v>
      </c>
    </row>
    <row r="11694" spans="1:1">
      <c r="A11694" s="27">
        <v>4.4000000000000004</v>
      </c>
    </row>
    <row r="11695" spans="1:1">
      <c r="A11695" s="29">
        <v>0.68680555555555556</v>
      </c>
    </row>
    <row r="11696" spans="1:1">
      <c r="A11696" s="27">
        <v>22.3</v>
      </c>
    </row>
    <row r="11697" spans="1:1">
      <c r="A11697" s="28">
        <v>0</v>
      </c>
    </row>
    <row r="11698" spans="1:1">
      <c r="A11698" s="25">
        <v>558</v>
      </c>
    </row>
    <row r="11699" spans="1:1" ht="30">
      <c r="A11699" s="26" t="s">
        <v>259</v>
      </c>
    </row>
    <row r="11700" spans="1:1">
      <c r="A11700" s="27" t="s">
        <v>44</v>
      </c>
    </row>
    <row r="11701" spans="1:1">
      <c r="A11701" s="27">
        <v>95</v>
      </c>
    </row>
    <row r="11702" spans="1:1">
      <c r="A11702" s="27">
        <v>18</v>
      </c>
    </row>
    <row r="11703" spans="1:1">
      <c r="A11703" s="27">
        <v>16</v>
      </c>
    </row>
    <row r="11704" spans="1:1">
      <c r="A11704" s="27">
        <v>34</v>
      </c>
    </row>
    <row r="11705" spans="1:1">
      <c r="A11705" s="27">
        <v>-13</v>
      </c>
    </row>
    <row r="11706" spans="1:1">
      <c r="A11706" s="27">
        <v>26</v>
      </c>
    </row>
    <row r="11707" spans="1:1">
      <c r="A11707" s="27">
        <v>0.36</v>
      </c>
    </row>
    <row r="11708" spans="1:1">
      <c r="A11708" s="27">
        <v>0</v>
      </c>
    </row>
    <row r="11709" spans="1:1">
      <c r="A11709" s="27">
        <v>5</v>
      </c>
    </row>
    <row r="11710" spans="1:1">
      <c r="A11710" s="27">
        <v>0</v>
      </c>
    </row>
    <row r="11711" spans="1:1">
      <c r="A11711" s="27">
        <v>0</v>
      </c>
    </row>
    <row r="11712" spans="1:1">
      <c r="A11712" s="27">
        <v>4</v>
      </c>
    </row>
    <row r="11713" spans="1:1">
      <c r="A11713" s="27">
        <v>1</v>
      </c>
    </row>
    <row r="11714" spans="1:1">
      <c r="A11714" s="27">
        <v>109</v>
      </c>
    </row>
    <row r="11715" spans="1:1">
      <c r="A11715" s="27">
        <v>16.5</v>
      </c>
    </row>
    <row r="11716" spans="1:1">
      <c r="A11716" s="29">
        <v>0.4680555555555555</v>
      </c>
    </row>
    <row r="11717" spans="1:1">
      <c r="A11717" s="27">
        <v>15.1</v>
      </c>
    </row>
    <row r="11718" spans="1:1">
      <c r="A11718" s="28">
        <v>0</v>
      </c>
    </row>
    <row r="11719" spans="1:1">
      <c r="A11719" s="25">
        <v>559</v>
      </c>
    </row>
    <row r="11720" spans="1:1" ht="45">
      <c r="A11720" s="26" t="s">
        <v>450</v>
      </c>
    </row>
    <row r="11721" spans="1:1">
      <c r="A11721" s="27" t="s">
        <v>44</v>
      </c>
    </row>
    <row r="11722" spans="1:1">
      <c r="A11722" s="27">
        <v>113</v>
      </c>
    </row>
    <row r="11723" spans="1:1">
      <c r="A11723" s="27">
        <v>15</v>
      </c>
    </row>
    <row r="11724" spans="1:1">
      <c r="A11724" s="27">
        <v>19</v>
      </c>
    </row>
    <row r="11725" spans="1:1">
      <c r="A11725" s="27">
        <v>34</v>
      </c>
    </row>
    <row r="11726" spans="1:1">
      <c r="A11726" s="27">
        <v>-13</v>
      </c>
    </row>
    <row r="11727" spans="1:1">
      <c r="A11727" s="27">
        <v>43</v>
      </c>
    </row>
    <row r="11728" spans="1:1">
      <c r="A11728" s="27">
        <v>0.3</v>
      </c>
    </row>
    <row r="11729" spans="1:1">
      <c r="A11729" s="27">
        <v>0</v>
      </c>
    </row>
    <row r="11730" spans="1:1">
      <c r="A11730" s="27">
        <v>1</v>
      </c>
    </row>
    <row r="11731" spans="1:1">
      <c r="A11731" s="27">
        <v>0</v>
      </c>
    </row>
    <row r="11732" spans="1:1">
      <c r="A11732" s="27">
        <v>0</v>
      </c>
    </row>
    <row r="11733" spans="1:1">
      <c r="A11733" s="27">
        <v>1</v>
      </c>
    </row>
    <row r="11734" spans="1:1">
      <c r="A11734" s="27">
        <v>0</v>
      </c>
    </row>
    <row r="11735" spans="1:1">
      <c r="A11735" s="27">
        <v>148</v>
      </c>
    </row>
    <row r="11736" spans="1:1">
      <c r="A11736" s="27">
        <v>10.1</v>
      </c>
    </row>
    <row r="11737" spans="1:1">
      <c r="A11737" s="29">
        <v>0.56944444444444442</v>
      </c>
    </row>
    <row r="11738" spans="1:1">
      <c r="A11738" s="27">
        <v>18</v>
      </c>
    </row>
    <row r="11739" spans="1:1">
      <c r="A11739" s="28">
        <v>38.200000000000003</v>
      </c>
    </row>
    <row r="11740" spans="1:1">
      <c r="A11740" s="25">
        <v>560</v>
      </c>
    </row>
    <row r="11741" spans="1:1" ht="45">
      <c r="A11741" s="26" t="s">
        <v>184</v>
      </c>
    </row>
    <row r="11742" spans="1:1">
      <c r="A11742" s="27" t="s">
        <v>653</v>
      </c>
    </row>
    <row r="11743" spans="1:1">
      <c r="A11743" s="27">
        <v>169</v>
      </c>
    </row>
    <row r="11744" spans="1:1">
      <c r="A11744" s="27">
        <v>15</v>
      </c>
    </row>
    <row r="11745" spans="1:1">
      <c r="A11745" s="27">
        <v>19</v>
      </c>
    </row>
    <row r="11746" spans="1:1">
      <c r="A11746" s="27">
        <v>34</v>
      </c>
    </row>
    <row r="11747" spans="1:1">
      <c r="A11747" s="27">
        <v>3</v>
      </c>
    </row>
    <row r="11748" spans="1:1">
      <c r="A11748" s="27">
        <v>16</v>
      </c>
    </row>
    <row r="11749" spans="1:1">
      <c r="A11749" s="27">
        <v>0.2</v>
      </c>
    </row>
    <row r="11750" spans="1:1">
      <c r="A11750" s="27">
        <v>0</v>
      </c>
    </row>
    <row r="11751" spans="1:1">
      <c r="A11751" s="27">
        <v>0</v>
      </c>
    </row>
    <row r="11752" spans="1:1">
      <c r="A11752" s="27">
        <v>1</v>
      </c>
    </row>
    <row r="11753" spans="1:1">
      <c r="A11753" s="27">
        <v>2</v>
      </c>
    </row>
    <row r="11754" spans="1:1">
      <c r="A11754" s="27">
        <v>2</v>
      </c>
    </row>
    <row r="11755" spans="1:1">
      <c r="A11755" s="27">
        <v>0</v>
      </c>
    </row>
    <row r="11756" spans="1:1">
      <c r="A11756" s="27">
        <v>96</v>
      </c>
    </row>
    <row r="11757" spans="1:1">
      <c r="A11757" s="27">
        <v>15.6</v>
      </c>
    </row>
    <row r="11758" spans="1:1">
      <c r="A11758" s="29">
        <v>0.4861111111111111</v>
      </c>
    </row>
    <row r="11759" spans="1:1">
      <c r="A11759" s="27">
        <v>15.5</v>
      </c>
    </row>
    <row r="11760" spans="1:1">
      <c r="A11760" s="28">
        <v>51.3</v>
      </c>
    </row>
    <row r="11761" spans="1:1">
      <c r="A11761" s="25">
        <v>561</v>
      </c>
    </row>
    <row r="11762" spans="1:1" ht="30">
      <c r="A11762" s="26" t="s">
        <v>1075</v>
      </c>
    </row>
    <row r="11763" spans="1:1">
      <c r="A11763" s="27" t="s">
        <v>42</v>
      </c>
    </row>
    <row r="11764" spans="1:1">
      <c r="A11764" s="27">
        <v>121</v>
      </c>
    </row>
    <row r="11765" spans="1:1">
      <c r="A11765" s="27">
        <v>7</v>
      </c>
    </row>
    <row r="11766" spans="1:1">
      <c r="A11766" s="27">
        <v>27</v>
      </c>
    </row>
    <row r="11767" spans="1:1">
      <c r="A11767" s="27">
        <v>34</v>
      </c>
    </row>
    <row r="11768" spans="1:1">
      <c r="A11768" s="27">
        <v>7</v>
      </c>
    </row>
    <row r="11769" spans="1:1">
      <c r="A11769" s="27">
        <v>42</v>
      </c>
    </row>
    <row r="11770" spans="1:1">
      <c r="A11770" s="27">
        <v>0.28000000000000003</v>
      </c>
    </row>
    <row r="11771" spans="1:1">
      <c r="A11771" s="27">
        <v>0</v>
      </c>
    </row>
    <row r="11772" spans="1:1">
      <c r="A11772" s="27">
        <v>7</v>
      </c>
    </row>
    <row r="11773" spans="1:1">
      <c r="A11773" s="27">
        <v>0</v>
      </c>
    </row>
    <row r="11774" spans="1:1">
      <c r="A11774" s="27">
        <v>1</v>
      </c>
    </row>
    <row r="11775" spans="1:1">
      <c r="A11775" s="27">
        <v>0</v>
      </c>
    </row>
    <row r="11776" spans="1:1">
      <c r="A11776" s="27">
        <v>0</v>
      </c>
    </row>
    <row r="11777" spans="1:1">
      <c r="A11777" s="27">
        <v>166</v>
      </c>
    </row>
    <row r="11778" spans="1:1">
      <c r="A11778" s="27">
        <v>4.2</v>
      </c>
    </row>
    <row r="11779" spans="1:1">
      <c r="A11779" s="29">
        <v>0.58194444444444449</v>
      </c>
    </row>
    <row r="11780" spans="1:1">
      <c r="A11780" s="27">
        <v>20.7</v>
      </c>
    </row>
    <row r="11781" spans="1:1">
      <c r="A11781" s="28">
        <v>0</v>
      </c>
    </row>
    <row r="11782" spans="1:1">
      <c r="A11782" s="25">
        <v>562</v>
      </c>
    </row>
    <row r="11783" spans="1:1" ht="30">
      <c r="A11783" s="26" t="s">
        <v>485</v>
      </c>
    </row>
    <row r="11784" spans="1:1">
      <c r="A11784" s="27" t="s">
        <v>43</v>
      </c>
    </row>
    <row r="11785" spans="1:1">
      <c r="A11785" s="27">
        <v>76</v>
      </c>
    </row>
    <row r="11786" spans="1:1">
      <c r="A11786" s="27">
        <v>23</v>
      </c>
    </row>
    <row r="11787" spans="1:1">
      <c r="A11787" s="27">
        <v>10</v>
      </c>
    </row>
    <row r="11788" spans="1:1">
      <c r="A11788" s="27">
        <v>33</v>
      </c>
    </row>
    <row r="11789" spans="1:1">
      <c r="A11789" s="27">
        <v>10</v>
      </c>
    </row>
    <row r="11790" spans="1:1">
      <c r="A11790" s="27">
        <v>18</v>
      </c>
    </row>
    <row r="11791" spans="1:1">
      <c r="A11791" s="27">
        <v>0.43</v>
      </c>
    </row>
    <row r="11792" spans="1:1">
      <c r="A11792" s="27">
        <v>5</v>
      </c>
    </row>
    <row r="11793" spans="1:1">
      <c r="A11793" s="27">
        <v>10</v>
      </c>
    </row>
    <row r="11794" spans="1:1">
      <c r="A11794" s="27">
        <v>0</v>
      </c>
    </row>
    <row r="11795" spans="1:1">
      <c r="A11795" s="27">
        <v>0</v>
      </c>
    </row>
    <row r="11796" spans="1:1">
      <c r="A11796" s="27">
        <v>4</v>
      </c>
    </row>
    <row r="11797" spans="1:1">
      <c r="A11797" s="27">
        <v>0</v>
      </c>
    </row>
    <row r="11798" spans="1:1">
      <c r="A11798" s="27">
        <v>190</v>
      </c>
    </row>
    <row r="11799" spans="1:1">
      <c r="A11799" s="27">
        <v>12.1</v>
      </c>
    </row>
    <row r="11800" spans="1:1">
      <c r="A11800" s="29">
        <v>0.54375000000000007</v>
      </c>
    </row>
    <row r="11801" spans="1:1">
      <c r="A11801" s="27">
        <v>17.5</v>
      </c>
    </row>
    <row r="11802" spans="1:1">
      <c r="A11802" s="28">
        <v>55.5</v>
      </c>
    </row>
    <row r="11803" spans="1:1">
      <c r="A11803" s="25">
        <v>563</v>
      </c>
    </row>
    <row r="11804" spans="1:1" ht="30">
      <c r="A11804" s="26" t="s">
        <v>126</v>
      </c>
    </row>
    <row r="11805" spans="1:1">
      <c r="A11805" s="27" t="s">
        <v>43</v>
      </c>
    </row>
    <row r="11806" spans="1:1">
      <c r="A11806" s="27">
        <v>95</v>
      </c>
    </row>
    <row r="11807" spans="1:1">
      <c r="A11807" s="27">
        <v>17</v>
      </c>
    </row>
    <row r="11808" spans="1:1">
      <c r="A11808" s="27">
        <v>16</v>
      </c>
    </row>
    <row r="11809" spans="1:1">
      <c r="A11809" s="27">
        <v>33</v>
      </c>
    </row>
    <row r="11810" spans="1:1">
      <c r="A11810" s="27">
        <v>4</v>
      </c>
    </row>
    <row r="11811" spans="1:1">
      <c r="A11811" s="27">
        <v>32</v>
      </c>
    </row>
    <row r="11812" spans="1:1">
      <c r="A11812" s="27">
        <v>0.35</v>
      </c>
    </row>
    <row r="11813" spans="1:1">
      <c r="A11813" s="27">
        <v>0</v>
      </c>
    </row>
    <row r="11814" spans="1:1">
      <c r="A11814" s="27">
        <v>0</v>
      </c>
    </row>
    <row r="11815" spans="1:1">
      <c r="A11815" s="27">
        <v>0</v>
      </c>
    </row>
    <row r="11816" spans="1:1">
      <c r="A11816" s="27">
        <v>3</v>
      </c>
    </row>
    <row r="11817" spans="1:1">
      <c r="A11817" s="27">
        <v>1</v>
      </c>
    </row>
    <row r="11818" spans="1:1">
      <c r="A11818" s="27">
        <v>0</v>
      </c>
    </row>
    <row r="11819" spans="1:1">
      <c r="A11819" s="27">
        <v>122</v>
      </c>
    </row>
    <row r="11820" spans="1:1">
      <c r="A11820" s="27">
        <v>13.9</v>
      </c>
    </row>
    <row r="11821" spans="1:1">
      <c r="A11821" s="29">
        <v>0.48194444444444445</v>
      </c>
    </row>
    <row r="11822" spans="1:1">
      <c r="A11822" s="27">
        <v>16.600000000000001</v>
      </c>
    </row>
    <row r="11823" spans="1:1">
      <c r="A11823" s="28">
        <v>29.2</v>
      </c>
    </row>
    <row r="11824" spans="1:1">
      <c r="A11824" s="25">
        <v>564</v>
      </c>
    </row>
    <row r="11825" spans="1:1" ht="30">
      <c r="A11825" s="26" t="s">
        <v>829</v>
      </c>
    </row>
    <row r="11826" spans="1:1">
      <c r="A11826" s="27" t="s">
        <v>44</v>
      </c>
    </row>
    <row r="11827" spans="1:1">
      <c r="A11827" s="27">
        <v>206</v>
      </c>
    </row>
    <row r="11828" spans="1:1">
      <c r="A11828" s="27">
        <v>12</v>
      </c>
    </row>
    <row r="11829" spans="1:1">
      <c r="A11829" s="27">
        <v>21</v>
      </c>
    </row>
    <row r="11830" spans="1:1">
      <c r="A11830" s="27">
        <v>33</v>
      </c>
    </row>
    <row r="11831" spans="1:1">
      <c r="A11831" s="27">
        <v>-26</v>
      </c>
    </row>
    <row r="11832" spans="1:1">
      <c r="A11832" s="27">
        <v>71</v>
      </c>
    </row>
    <row r="11833" spans="1:1">
      <c r="A11833" s="27">
        <v>0.16</v>
      </c>
    </row>
    <row r="11834" spans="1:1">
      <c r="A11834" s="27">
        <v>0</v>
      </c>
    </row>
    <row r="11835" spans="1:1">
      <c r="A11835" s="27">
        <v>0</v>
      </c>
    </row>
    <row r="11836" spans="1:1">
      <c r="A11836" s="27">
        <v>2</v>
      </c>
    </row>
    <row r="11837" spans="1:1">
      <c r="A11837" s="27">
        <v>2</v>
      </c>
    </row>
    <row r="11838" spans="1:1">
      <c r="A11838" s="27">
        <v>0</v>
      </c>
    </row>
    <row r="11839" spans="1:1">
      <c r="A11839" s="27">
        <v>0</v>
      </c>
    </row>
    <row r="11840" spans="1:1">
      <c r="A11840" s="27">
        <v>196</v>
      </c>
    </row>
    <row r="11841" spans="1:1">
      <c r="A11841" s="27">
        <v>6.1</v>
      </c>
    </row>
    <row r="11842" spans="1:1">
      <c r="A11842" s="29">
        <v>0.5</v>
      </c>
    </row>
    <row r="11843" spans="1:1">
      <c r="A11843" s="27">
        <v>17.3</v>
      </c>
    </row>
    <row r="11844" spans="1:1">
      <c r="A11844" s="28">
        <v>43.7</v>
      </c>
    </row>
    <row r="11845" spans="1:1">
      <c r="A11845" s="25">
        <v>565</v>
      </c>
    </row>
    <row r="11846" spans="1:1" ht="45">
      <c r="A11846" s="26" t="s">
        <v>116</v>
      </c>
    </row>
    <row r="11847" spans="1:1">
      <c r="A11847" s="27" t="s">
        <v>42</v>
      </c>
    </row>
    <row r="11848" spans="1:1">
      <c r="A11848" s="27">
        <v>146</v>
      </c>
    </row>
    <row r="11849" spans="1:1">
      <c r="A11849" s="27">
        <v>9</v>
      </c>
    </row>
    <row r="11850" spans="1:1">
      <c r="A11850" s="27">
        <v>24</v>
      </c>
    </row>
    <row r="11851" spans="1:1">
      <c r="A11851" s="27">
        <v>33</v>
      </c>
    </row>
    <row r="11852" spans="1:1">
      <c r="A11852" s="27">
        <v>1</v>
      </c>
    </row>
    <row r="11853" spans="1:1">
      <c r="A11853" s="27">
        <v>115</v>
      </c>
    </row>
    <row r="11854" spans="1:1">
      <c r="A11854" s="27">
        <v>0.23</v>
      </c>
    </row>
    <row r="11855" spans="1:1">
      <c r="A11855" s="27">
        <v>0</v>
      </c>
    </row>
    <row r="11856" spans="1:1">
      <c r="A11856" s="27">
        <v>1</v>
      </c>
    </row>
    <row r="11857" spans="1:1">
      <c r="A11857" s="27">
        <v>0</v>
      </c>
    </row>
    <row r="11858" spans="1:1">
      <c r="A11858" s="27">
        <v>0</v>
      </c>
    </row>
    <row r="11859" spans="1:1">
      <c r="A11859" s="27">
        <v>2</v>
      </c>
    </row>
    <row r="11860" spans="1:1">
      <c r="A11860" s="27">
        <v>0</v>
      </c>
    </row>
    <row r="11861" spans="1:1">
      <c r="A11861" s="27">
        <v>177</v>
      </c>
    </row>
    <row r="11862" spans="1:1">
      <c r="A11862" s="27">
        <v>5.0999999999999996</v>
      </c>
    </row>
    <row r="11863" spans="1:1">
      <c r="A11863" s="29">
        <v>0.68263888888888891</v>
      </c>
    </row>
    <row r="11864" spans="1:1">
      <c r="A11864" s="27">
        <v>21.7</v>
      </c>
    </row>
    <row r="11865" spans="1:1">
      <c r="A11865" s="28">
        <v>100</v>
      </c>
    </row>
    <row r="11866" spans="1:1">
      <c r="A11866" s="25">
        <v>566</v>
      </c>
    </row>
    <row r="11867" spans="1:1" ht="30">
      <c r="A11867" s="26" t="s">
        <v>28</v>
      </c>
    </row>
    <row r="11868" spans="1:1">
      <c r="A11868" s="27" t="s">
        <v>42</v>
      </c>
    </row>
    <row r="11869" spans="1:1">
      <c r="A11869" s="27">
        <v>205</v>
      </c>
    </row>
    <row r="11870" spans="1:1">
      <c r="A11870" s="27">
        <v>13</v>
      </c>
    </row>
    <row r="11871" spans="1:1">
      <c r="A11871" s="27">
        <v>19</v>
      </c>
    </row>
    <row r="11872" spans="1:1">
      <c r="A11872" s="27">
        <v>32</v>
      </c>
    </row>
    <row r="11873" spans="1:1">
      <c r="A11873" s="27">
        <v>-4</v>
      </c>
    </row>
    <row r="11874" spans="1:1">
      <c r="A11874" s="27">
        <v>106</v>
      </c>
    </row>
    <row r="11875" spans="1:1">
      <c r="A11875" s="27">
        <v>0.16</v>
      </c>
    </row>
    <row r="11876" spans="1:1">
      <c r="A11876" s="27">
        <v>1</v>
      </c>
    </row>
    <row r="11877" spans="1:1">
      <c r="A11877" s="27">
        <v>7</v>
      </c>
    </row>
    <row r="11878" spans="1:1">
      <c r="A11878" s="27">
        <v>0</v>
      </c>
    </row>
    <row r="11879" spans="1:1">
      <c r="A11879" s="27">
        <v>0</v>
      </c>
    </row>
    <row r="11880" spans="1:1">
      <c r="A11880" s="27">
        <v>2</v>
      </c>
    </row>
    <row r="11881" spans="1:1">
      <c r="A11881" s="27">
        <v>0</v>
      </c>
    </row>
    <row r="11882" spans="1:1">
      <c r="A11882" s="27">
        <v>244</v>
      </c>
    </row>
    <row r="11883" spans="1:1">
      <c r="A11883" s="27">
        <v>5.3</v>
      </c>
    </row>
    <row r="11884" spans="1:1">
      <c r="A11884" s="29">
        <v>0.65972222222222221</v>
      </c>
    </row>
    <row r="11885" spans="1:1">
      <c r="A11885" s="27">
        <v>20.7</v>
      </c>
    </row>
    <row r="11886" spans="1:1">
      <c r="A11886" s="28">
        <v>50</v>
      </c>
    </row>
    <row r="11887" spans="1:1">
      <c r="A11887" s="25">
        <v>567</v>
      </c>
    </row>
    <row r="11888" spans="1:1" ht="30">
      <c r="A11888" s="26" t="s">
        <v>805</v>
      </c>
    </row>
    <row r="11889" spans="1:1">
      <c r="A11889" s="27" t="s">
        <v>653</v>
      </c>
    </row>
    <row r="11890" spans="1:1">
      <c r="A11890" s="27">
        <v>262</v>
      </c>
    </row>
    <row r="11891" spans="1:1">
      <c r="A11891" s="27">
        <v>11</v>
      </c>
    </row>
    <row r="11892" spans="1:1">
      <c r="A11892" s="27">
        <v>21</v>
      </c>
    </row>
    <row r="11893" spans="1:1">
      <c r="A11893" s="27">
        <v>32</v>
      </c>
    </row>
    <row r="11894" spans="1:1">
      <c r="A11894" s="27">
        <v>-25</v>
      </c>
    </row>
    <row r="11895" spans="1:1">
      <c r="A11895" s="27">
        <v>677</v>
      </c>
    </row>
    <row r="11896" spans="1:1">
      <c r="A11896" s="27">
        <v>0.12</v>
      </c>
    </row>
    <row r="11897" spans="1:1">
      <c r="A11897" s="27">
        <v>0</v>
      </c>
    </row>
    <row r="11898" spans="1:1">
      <c r="A11898" s="27">
        <v>0</v>
      </c>
    </row>
    <row r="11899" spans="1:1">
      <c r="A11899" s="27">
        <v>0</v>
      </c>
    </row>
    <row r="11900" spans="1:1">
      <c r="A11900" s="27">
        <v>0</v>
      </c>
    </row>
    <row r="11901" spans="1:1">
      <c r="A11901" s="27">
        <v>2</v>
      </c>
    </row>
    <row r="11902" spans="1:1">
      <c r="A11902" s="27">
        <v>0</v>
      </c>
    </row>
    <row r="11903" spans="1:1">
      <c r="A11903" s="27">
        <v>175</v>
      </c>
    </row>
    <row r="11904" spans="1:1">
      <c r="A11904" s="27">
        <v>6.3</v>
      </c>
    </row>
    <row r="11905" spans="1:1">
      <c r="A11905" s="29">
        <v>0.33194444444444443</v>
      </c>
    </row>
    <row r="11906" spans="1:1">
      <c r="A11906" s="27">
        <v>12.1</v>
      </c>
    </row>
    <row r="11907" spans="1:1">
      <c r="A11907" s="28">
        <v>45.4</v>
      </c>
    </row>
    <row r="11908" spans="1:1">
      <c r="A11908" s="25">
        <v>568</v>
      </c>
    </row>
    <row r="11909" spans="1:1" ht="30">
      <c r="A11909" s="26" t="s">
        <v>1122</v>
      </c>
    </row>
    <row r="11910" spans="1:1">
      <c r="A11910" s="27" t="s">
        <v>42</v>
      </c>
    </row>
    <row r="11911" spans="1:1">
      <c r="A11911" s="27">
        <v>162</v>
      </c>
    </row>
    <row r="11912" spans="1:1">
      <c r="A11912" s="27">
        <v>9</v>
      </c>
    </row>
    <row r="11913" spans="1:1">
      <c r="A11913" s="27">
        <v>23</v>
      </c>
    </row>
    <row r="11914" spans="1:1">
      <c r="A11914" s="27">
        <v>32</v>
      </c>
    </row>
    <row r="11915" spans="1:1">
      <c r="A11915" s="27">
        <v>-12</v>
      </c>
    </row>
    <row r="11916" spans="1:1">
      <c r="A11916" s="27">
        <v>62</v>
      </c>
    </row>
    <row r="11917" spans="1:1">
      <c r="A11917" s="27">
        <v>0.2</v>
      </c>
    </row>
    <row r="11918" spans="1:1">
      <c r="A11918" s="27">
        <v>1</v>
      </c>
    </row>
    <row r="11919" spans="1:1">
      <c r="A11919" s="27">
        <v>7</v>
      </c>
    </row>
    <row r="11920" spans="1:1">
      <c r="A11920" s="27">
        <v>0</v>
      </c>
    </row>
    <row r="11921" spans="1:1">
      <c r="A11921" s="27">
        <v>0</v>
      </c>
    </row>
    <row r="11922" spans="1:1">
      <c r="A11922" s="27">
        <v>0</v>
      </c>
    </row>
    <row r="11923" spans="1:1">
      <c r="A11923" s="27">
        <v>0</v>
      </c>
    </row>
    <row r="11924" spans="1:1">
      <c r="A11924" s="27">
        <v>206</v>
      </c>
    </row>
    <row r="11925" spans="1:1">
      <c r="A11925" s="27">
        <v>4.4000000000000004</v>
      </c>
    </row>
    <row r="11926" spans="1:1">
      <c r="A11926" s="29">
        <v>0.65555555555555556</v>
      </c>
    </row>
    <row r="11927" spans="1:1">
      <c r="A11927" s="27">
        <v>20.2</v>
      </c>
    </row>
    <row r="11928" spans="1:1">
      <c r="A11928" s="28">
        <v>0</v>
      </c>
    </row>
    <row r="11929" spans="1:1">
      <c r="A11929" s="25">
        <v>569</v>
      </c>
    </row>
    <row r="11930" spans="1:1" ht="30">
      <c r="A11930" s="26" t="s">
        <v>224</v>
      </c>
    </row>
    <row r="11931" spans="1:1">
      <c r="A11931" s="27" t="s">
        <v>42</v>
      </c>
    </row>
    <row r="11932" spans="1:1">
      <c r="A11932" s="27">
        <v>169</v>
      </c>
    </row>
    <row r="11933" spans="1:1">
      <c r="A11933" s="27">
        <v>8</v>
      </c>
    </row>
    <row r="11934" spans="1:1">
      <c r="A11934" s="27">
        <v>24</v>
      </c>
    </row>
    <row r="11935" spans="1:1">
      <c r="A11935" s="27">
        <v>32</v>
      </c>
    </row>
    <row r="11936" spans="1:1">
      <c r="A11936" s="27">
        <v>0</v>
      </c>
    </row>
    <row r="11937" spans="1:1">
      <c r="A11937" s="27">
        <v>103</v>
      </c>
    </row>
    <row r="11938" spans="1:1">
      <c r="A11938" s="27">
        <v>0.19</v>
      </c>
    </row>
    <row r="11939" spans="1:1">
      <c r="A11939" s="27">
        <v>0</v>
      </c>
    </row>
    <row r="11940" spans="1:1">
      <c r="A11940" s="27">
        <v>0</v>
      </c>
    </row>
    <row r="11941" spans="1:1">
      <c r="A11941" s="27">
        <v>0</v>
      </c>
    </row>
    <row r="11942" spans="1:1">
      <c r="A11942" s="27">
        <v>0</v>
      </c>
    </row>
    <row r="11943" spans="1:1">
      <c r="A11943" s="27">
        <v>1</v>
      </c>
    </row>
    <row r="11944" spans="1:1">
      <c r="A11944" s="27">
        <v>0</v>
      </c>
    </row>
    <row r="11945" spans="1:1">
      <c r="A11945" s="27">
        <v>194</v>
      </c>
    </row>
    <row r="11946" spans="1:1">
      <c r="A11946" s="27">
        <v>4.0999999999999996</v>
      </c>
    </row>
    <row r="11947" spans="1:1">
      <c r="A11947" s="29">
        <v>0.72083333333333333</v>
      </c>
    </row>
    <row r="11948" spans="1:1">
      <c r="A11948" s="27">
        <v>23.5</v>
      </c>
    </row>
    <row r="11949" spans="1:1">
      <c r="A11949" s="28">
        <v>0</v>
      </c>
    </row>
    <row r="11950" spans="1:1">
      <c r="A11950" s="25">
        <v>570</v>
      </c>
    </row>
    <row r="11951" spans="1:1" ht="30">
      <c r="A11951" s="26" t="s">
        <v>907</v>
      </c>
    </row>
    <row r="11952" spans="1:1">
      <c r="A11952" s="27" t="s">
        <v>653</v>
      </c>
    </row>
    <row r="11953" spans="1:1">
      <c r="A11953" s="27">
        <v>159</v>
      </c>
    </row>
    <row r="11954" spans="1:1">
      <c r="A11954" s="27">
        <v>18</v>
      </c>
    </row>
    <row r="11955" spans="1:1">
      <c r="A11955" s="27">
        <v>13</v>
      </c>
    </row>
    <row r="11956" spans="1:1">
      <c r="A11956" s="27">
        <v>31</v>
      </c>
    </row>
    <row r="11957" spans="1:1">
      <c r="A11957" s="27">
        <v>-15</v>
      </c>
    </row>
    <row r="11958" spans="1:1">
      <c r="A11958" s="27">
        <v>32</v>
      </c>
    </row>
    <row r="11959" spans="1:1">
      <c r="A11959" s="27">
        <v>0.19</v>
      </c>
    </row>
    <row r="11960" spans="1:1">
      <c r="A11960" s="27">
        <v>0</v>
      </c>
    </row>
    <row r="11961" spans="1:1">
      <c r="A11961" s="27">
        <v>0</v>
      </c>
    </row>
    <row r="11962" spans="1:1">
      <c r="A11962" s="27">
        <v>2</v>
      </c>
    </row>
    <row r="11963" spans="1:1">
      <c r="A11963" s="27">
        <v>2</v>
      </c>
    </row>
    <row r="11964" spans="1:1">
      <c r="A11964" s="27">
        <v>1</v>
      </c>
    </row>
    <row r="11965" spans="1:1">
      <c r="A11965" s="27">
        <v>0</v>
      </c>
    </row>
    <row r="11966" spans="1:1">
      <c r="A11966" s="27">
        <v>227</v>
      </c>
    </row>
    <row r="11967" spans="1:1">
      <c r="A11967" s="27">
        <v>7.9</v>
      </c>
    </row>
    <row r="11968" spans="1:1">
      <c r="A11968" s="29">
        <v>0.50208333333333333</v>
      </c>
    </row>
    <row r="11969" spans="1:1">
      <c r="A11969" s="27">
        <v>17.899999999999999</v>
      </c>
    </row>
    <row r="11970" spans="1:1">
      <c r="A11970" s="28">
        <v>31.3</v>
      </c>
    </row>
    <row r="11971" spans="1:1">
      <c r="A11971" s="25">
        <v>571</v>
      </c>
    </row>
    <row r="11972" spans="1:1" ht="30">
      <c r="A11972" s="26" t="s">
        <v>451</v>
      </c>
    </row>
    <row r="11973" spans="1:1">
      <c r="A11973" s="27" t="s">
        <v>653</v>
      </c>
    </row>
    <row r="11974" spans="1:1">
      <c r="A11974" s="27">
        <v>95</v>
      </c>
    </row>
    <row r="11975" spans="1:1">
      <c r="A11975" s="27">
        <v>14</v>
      </c>
    </row>
    <row r="11976" spans="1:1">
      <c r="A11976" s="27">
        <v>17</v>
      </c>
    </row>
    <row r="11977" spans="1:1">
      <c r="A11977" s="27">
        <v>31</v>
      </c>
    </row>
    <row r="11978" spans="1:1">
      <c r="A11978" s="27">
        <v>-24</v>
      </c>
    </row>
    <row r="11979" spans="1:1">
      <c r="A11979" s="27">
        <v>61</v>
      </c>
    </row>
    <row r="11980" spans="1:1">
      <c r="A11980" s="27">
        <v>0.33</v>
      </c>
    </row>
    <row r="11981" spans="1:1">
      <c r="A11981" s="27">
        <v>0</v>
      </c>
    </row>
    <row r="11982" spans="1:1">
      <c r="A11982" s="27">
        <v>1</v>
      </c>
    </row>
    <row r="11983" spans="1:1">
      <c r="A11983" s="27">
        <v>1</v>
      </c>
    </row>
    <row r="11984" spans="1:1">
      <c r="A11984" s="27">
        <v>1</v>
      </c>
    </row>
    <row r="11985" spans="1:1">
      <c r="A11985" s="27">
        <v>1</v>
      </c>
    </row>
    <row r="11986" spans="1:1">
      <c r="A11986" s="27">
        <v>0</v>
      </c>
    </row>
    <row r="11987" spans="1:1">
      <c r="A11987" s="27">
        <v>180</v>
      </c>
    </row>
    <row r="11988" spans="1:1">
      <c r="A11988" s="27">
        <v>7.8</v>
      </c>
    </row>
    <row r="11989" spans="1:1">
      <c r="A11989" s="29">
        <v>0.64166666666666672</v>
      </c>
    </row>
    <row r="11990" spans="1:1">
      <c r="A11990" s="27">
        <v>20.3</v>
      </c>
    </row>
    <row r="11991" spans="1:1">
      <c r="A11991" s="28">
        <v>46.7</v>
      </c>
    </row>
    <row r="11992" spans="1:1">
      <c r="A11992" s="25">
        <v>572</v>
      </c>
    </row>
    <row r="11993" spans="1:1" ht="30">
      <c r="A11993" s="26" t="s">
        <v>1098</v>
      </c>
    </row>
    <row r="11994" spans="1:1">
      <c r="A11994" s="27" t="s">
        <v>43</v>
      </c>
    </row>
    <row r="11995" spans="1:1">
      <c r="A11995" s="27">
        <v>100</v>
      </c>
    </row>
    <row r="11996" spans="1:1">
      <c r="A11996" s="27">
        <v>12</v>
      </c>
    </row>
    <row r="11997" spans="1:1">
      <c r="A11997" s="27">
        <v>19</v>
      </c>
    </row>
    <row r="11998" spans="1:1">
      <c r="A11998" s="27">
        <v>31</v>
      </c>
    </row>
    <row r="11999" spans="1:1">
      <c r="A11999" s="27">
        <v>-26</v>
      </c>
    </row>
    <row r="12000" spans="1:1">
      <c r="A12000" s="27">
        <v>18</v>
      </c>
    </row>
    <row r="12001" spans="1:1">
      <c r="A12001" s="27">
        <v>0.31</v>
      </c>
    </row>
    <row r="12002" spans="1:1">
      <c r="A12002" s="27">
        <v>6</v>
      </c>
    </row>
    <row r="12003" spans="1:1">
      <c r="A12003" s="27">
        <v>10</v>
      </c>
    </row>
    <row r="12004" spans="1:1">
      <c r="A12004" s="27">
        <v>0</v>
      </c>
    </row>
    <row r="12005" spans="1:1">
      <c r="A12005" s="27">
        <v>0</v>
      </c>
    </row>
    <row r="12006" spans="1:1">
      <c r="A12006" s="27">
        <v>0</v>
      </c>
    </row>
    <row r="12007" spans="1:1">
      <c r="A12007" s="27">
        <v>0</v>
      </c>
    </row>
    <row r="12008" spans="1:1">
      <c r="A12008" s="27">
        <v>128</v>
      </c>
    </row>
    <row r="12009" spans="1:1">
      <c r="A12009" s="27">
        <v>9.4</v>
      </c>
    </row>
    <row r="12010" spans="1:1">
      <c r="A12010" s="29">
        <v>0.41319444444444442</v>
      </c>
    </row>
    <row r="12011" spans="1:1">
      <c r="A12011" s="27">
        <v>13.8</v>
      </c>
    </row>
    <row r="12012" spans="1:1">
      <c r="A12012" s="28">
        <v>0</v>
      </c>
    </row>
    <row r="12013" spans="1:1">
      <c r="A12013" s="25">
        <v>573</v>
      </c>
    </row>
    <row r="12014" spans="1:1" ht="30">
      <c r="A12014" s="26" t="s">
        <v>426</v>
      </c>
    </row>
    <row r="12015" spans="1:1">
      <c r="A12015" s="27" t="s">
        <v>43</v>
      </c>
    </row>
    <row r="12016" spans="1:1">
      <c r="A12016" s="27">
        <v>194</v>
      </c>
    </row>
    <row r="12017" spans="1:1">
      <c r="A12017" s="27">
        <v>12</v>
      </c>
    </row>
    <row r="12018" spans="1:1">
      <c r="A12018" s="27">
        <v>19</v>
      </c>
    </row>
    <row r="12019" spans="1:1">
      <c r="A12019" s="27">
        <v>31</v>
      </c>
    </row>
    <row r="12020" spans="1:1">
      <c r="A12020" s="27">
        <v>-14</v>
      </c>
    </row>
    <row r="12021" spans="1:1">
      <c r="A12021" s="27">
        <v>35</v>
      </c>
    </row>
    <row r="12022" spans="1:1">
      <c r="A12022" s="27">
        <v>0.16</v>
      </c>
    </row>
    <row r="12023" spans="1:1">
      <c r="A12023" s="27">
        <v>1</v>
      </c>
    </row>
    <row r="12024" spans="1:1">
      <c r="A12024" s="27">
        <v>1</v>
      </c>
    </row>
    <row r="12025" spans="1:1">
      <c r="A12025" s="27">
        <v>1</v>
      </c>
    </row>
    <row r="12026" spans="1:1">
      <c r="A12026" s="27">
        <v>3</v>
      </c>
    </row>
    <row r="12027" spans="1:1">
      <c r="A12027" s="27">
        <v>3</v>
      </c>
    </row>
    <row r="12028" spans="1:1">
      <c r="A12028" s="27">
        <v>0</v>
      </c>
    </row>
    <row r="12029" spans="1:1">
      <c r="A12029" s="27">
        <v>242</v>
      </c>
    </row>
    <row r="12030" spans="1:1">
      <c r="A12030" s="27">
        <v>5</v>
      </c>
    </row>
    <row r="12031" spans="1:1">
      <c r="A12031" s="29">
        <v>0.4597222222222222</v>
      </c>
    </row>
    <row r="12032" spans="1:1">
      <c r="A12032" s="27">
        <v>16.100000000000001</v>
      </c>
    </row>
    <row r="12033" spans="1:1">
      <c r="A12033" s="28">
        <v>42.6</v>
      </c>
    </row>
    <row r="12034" spans="1:1">
      <c r="A12034" s="25">
        <v>574</v>
      </c>
    </row>
    <row r="12035" spans="1:1" ht="45">
      <c r="A12035" s="26" t="s">
        <v>884</v>
      </c>
    </row>
    <row r="12036" spans="1:1">
      <c r="A12036" s="27" t="s">
        <v>653</v>
      </c>
    </row>
    <row r="12037" spans="1:1">
      <c r="A12037" s="27">
        <v>87</v>
      </c>
    </row>
    <row r="12038" spans="1:1">
      <c r="A12038" s="27">
        <v>16</v>
      </c>
    </row>
    <row r="12039" spans="1:1">
      <c r="A12039" s="27">
        <v>14</v>
      </c>
    </row>
    <row r="12040" spans="1:1">
      <c r="A12040" s="27">
        <v>30</v>
      </c>
    </row>
    <row r="12041" spans="1:1">
      <c r="A12041" s="27">
        <v>17</v>
      </c>
    </row>
    <row r="12042" spans="1:1">
      <c r="A12042" s="27">
        <v>44</v>
      </c>
    </row>
    <row r="12043" spans="1:1">
      <c r="A12043" s="27">
        <v>0.34</v>
      </c>
    </row>
    <row r="12044" spans="1:1">
      <c r="A12044" s="27">
        <v>0</v>
      </c>
    </row>
    <row r="12045" spans="1:1">
      <c r="A12045" s="27">
        <v>0</v>
      </c>
    </row>
    <row r="12046" spans="1:1">
      <c r="A12046" s="27">
        <v>2</v>
      </c>
    </row>
    <row r="12047" spans="1:1">
      <c r="A12047" s="27">
        <v>2</v>
      </c>
    </row>
    <row r="12048" spans="1:1">
      <c r="A12048" s="27">
        <v>2</v>
      </c>
    </row>
    <row r="12049" spans="1:1">
      <c r="A12049" s="27">
        <v>0</v>
      </c>
    </row>
    <row r="12050" spans="1:1">
      <c r="A12050" s="27">
        <v>149</v>
      </c>
    </row>
    <row r="12051" spans="1:1">
      <c r="A12051" s="27">
        <v>10.7</v>
      </c>
    </row>
    <row r="12052" spans="1:1">
      <c r="A12052" s="29">
        <v>0.55972222222222223</v>
      </c>
    </row>
    <row r="12053" spans="1:1">
      <c r="A12053" s="27">
        <v>20.2</v>
      </c>
    </row>
    <row r="12054" spans="1:1">
      <c r="A12054" s="28">
        <v>37.1</v>
      </c>
    </row>
    <row r="12055" spans="1:1">
      <c r="A12055" s="25">
        <v>575</v>
      </c>
    </row>
    <row r="12056" spans="1:1" ht="30">
      <c r="A12056" s="26" t="s">
        <v>577</v>
      </c>
    </row>
    <row r="12057" spans="1:1">
      <c r="A12057" s="27" t="s">
        <v>653</v>
      </c>
    </row>
    <row r="12058" spans="1:1">
      <c r="A12058" s="27">
        <v>107</v>
      </c>
    </row>
    <row r="12059" spans="1:1">
      <c r="A12059" s="27">
        <v>14</v>
      </c>
    </row>
    <row r="12060" spans="1:1">
      <c r="A12060" s="27">
        <v>16</v>
      </c>
    </row>
    <row r="12061" spans="1:1">
      <c r="A12061" s="27">
        <v>30</v>
      </c>
    </row>
    <row r="12062" spans="1:1">
      <c r="A12062" s="27">
        <v>-11</v>
      </c>
    </row>
    <row r="12063" spans="1:1">
      <c r="A12063" s="27">
        <v>18</v>
      </c>
    </row>
    <row r="12064" spans="1:1">
      <c r="A12064" s="27">
        <v>0.28000000000000003</v>
      </c>
    </row>
    <row r="12065" spans="1:1">
      <c r="A12065" s="27">
        <v>1</v>
      </c>
    </row>
    <row r="12066" spans="1:1">
      <c r="A12066" s="27">
        <v>6</v>
      </c>
    </row>
    <row r="12067" spans="1:1">
      <c r="A12067" s="27">
        <v>0</v>
      </c>
    </row>
    <row r="12068" spans="1:1">
      <c r="A12068" s="27">
        <v>0</v>
      </c>
    </row>
    <row r="12069" spans="1:1">
      <c r="A12069" s="27">
        <v>0</v>
      </c>
    </row>
    <row r="12070" spans="1:1">
      <c r="A12070" s="27">
        <v>0</v>
      </c>
    </row>
    <row r="12071" spans="1:1">
      <c r="A12071" s="27">
        <v>114</v>
      </c>
    </row>
    <row r="12072" spans="1:1">
      <c r="A12072" s="27">
        <v>12.3</v>
      </c>
    </row>
    <row r="12073" spans="1:1">
      <c r="A12073" s="29">
        <v>0.45555555555555555</v>
      </c>
    </row>
    <row r="12074" spans="1:1">
      <c r="A12074" s="27">
        <v>15</v>
      </c>
    </row>
    <row r="12075" spans="1:1">
      <c r="A12075" s="28">
        <v>44.8</v>
      </c>
    </row>
    <row r="12076" spans="1:1">
      <c r="A12076" s="25">
        <v>576</v>
      </c>
    </row>
    <row r="12077" spans="1:1" ht="30">
      <c r="A12077" s="26" t="s">
        <v>700</v>
      </c>
    </row>
    <row r="12078" spans="1:1">
      <c r="A12078" s="27" t="s">
        <v>653</v>
      </c>
    </row>
    <row r="12079" spans="1:1">
      <c r="A12079" s="27">
        <v>199</v>
      </c>
    </row>
    <row r="12080" spans="1:1">
      <c r="A12080" s="27">
        <v>13</v>
      </c>
    </row>
    <row r="12081" spans="1:1">
      <c r="A12081" s="27">
        <v>17</v>
      </c>
    </row>
    <row r="12082" spans="1:1">
      <c r="A12082" s="27">
        <v>30</v>
      </c>
    </row>
    <row r="12083" spans="1:1">
      <c r="A12083" s="27">
        <v>-29</v>
      </c>
    </row>
    <row r="12084" spans="1:1">
      <c r="A12084" s="27">
        <v>198</v>
      </c>
    </row>
    <row r="12085" spans="1:1">
      <c r="A12085" s="27">
        <v>0.15</v>
      </c>
    </row>
    <row r="12086" spans="1:1">
      <c r="A12086" s="27">
        <v>0</v>
      </c>
    </row>
    <row r="12087" spans="1:1">
      <c r="A12087" s="27">
        <v>0</v>
      </c>
    </row>
    <row r="12088" spans="1:1">
      <c r="A12088" s="27">
        <v>0</v>
      </c>
    </row>
    <row r="12089" spans="1:1">
      <c r="A12089" s="27">
        <v>0</v>
      </c>
    </row>
    <row r="12090" spans="1:1">
      <c r="A12090" s="27">
        <v>2</v>
      </c>
    </row>
    <row r="12091" spans="1:1">
      <c r="A12091" s="27">
        <v>0</v>
      </c>
    </row>
    <row r="12092" spans="1:1">
      <c r="A12092" s="27">
        <v>150</v>
      </c>
    </row>
    <row r="12093" spans="1:1">
      <c r="A12093" s="27">
        <v>8.6999999999999993</v>
      </c>
    </row>
    <row r="12094" spans="1:1">
      <c r="A12094" s="29">
        <v>0.38194444444444442</v>
      </c>
    </row>
    <row r="12095" spans="1:1">
      <c r="A12095" s="27">
        <v>13.7</v>
      </c>
    </row>
    <row r="12096" spans="1:1">
      <c r="A12096" s="28">
        <v>52.5</v>
      </c>
    </row>
    <row r="12097" spans="1:1">
      <c r="A12097" s="25">
        <v>577</v>
      </c>
    </row>
    <row r="12098" spans="1:1" ht="30">
      <c r="A12098" s="26" t="s">
        <v>274</v>
      </c>
    </row>
    <row r="12099" spans="1:1">
      <c r="A12099" s="27" t="s">
        <v>653</v>
      </c>
    </row>
    <row r="12100" spans="1:1">
      <c r="A12100" s="27">
        <v>92</v>
      </c>
    </row>
    <row r="12101" spans="1:1">
      <c r="A12101" s="27">
        <v>9</v>
      </c>
    </row>
    <row r="12102" spans="1:1">
      <c r="A12102" s="27">
        <v>21</v>
      </c>
    </row>
    <row r="12103" spans="1:1">
      <c r="A12103" s="27">
        <v>30</v>
      </c>
    </row>
    <row r="12104" spans="1:1">
      <c r="A12104" s="27">
        <v>-19</v>
      </c>
    </row>
    <row r="12105" spans="1:1">
      <c r="A12105" s="27">
        <v>18</v>
      </c>
    </row>
    <row r="12106" spans="1:1">
      <c r="A12106" s="27">
        <v>0.33</v>
      </c>
    </row>
    <row r="12107" spans="1:1">
      <c r="A12107" s="27">
        <v>0</v>
      </c>
    </row>
    <row r="12108" spans="1:1">
      <c r="A12108" s="27">
        <v>2</v>
      </c>
    </row>
    <row r="12109" spans="1:1">
      <c r="A12109" s="27">
        <v>0</v>
      </c>
    </row>
    <row r="12110" spans="1:1">
      <c r="A12110" s="27">
        <v>2</v>
      </c>
    </row>
    <row r="12111" spans="1:1">
      <c r="A12111" s="27">
        <v>2</v>
      </c>
    </row>
    <row r="12112" spans="1:1">
      <c r="A12112" s="27">
        <v>0</v>
      </c>
    </row>
    <row r="12113" spans="1:1">
      <c r="A12113" s="27">
        <v>102</v>
      </c>
    </row>
    <row r="12114" spans="1:1">
      <c r="A12114" s="27">
        <v>8.8000000000000007</v>
      </c>
    </row>
    <row r="12115" spans="1:1">
      <c r="A12115" s="29">
        <v>0.62152777777777779</v>
      </c>
    </row>
    <row r="12116" spans="1:1">
      <c r="A12116" s="27">
        <v>20.399999999999999</v>
      </c>
    </row>
    <row r="12117" spans="1:1">
      <c r="A12117" s="28">
        <v>47.7</v>
      </c>
    </row>
    <row r="12118" spans="1:1">
      <c r="A12118" s="25">
        <v>578</v>
      </c>
    </row>
    <row r="12119" spans="1:1" ht="30">
      <c r="A12119" s="26" t="s">
        <v>1118</v>
      </c>
    </row>
    <row r="12120" spans="1:1">
      <c r="A12120" s="27" t="s">
        <v>42</v>
      </c>
    </row>
    <row r="12121" spans="1:1">
      <c r="A12121" s="27">
        <v>175</v>
      </c>
    </row>
    <row r="12122" spans="1:1">
      <c r="A12122" s="27">
        <v>8</v>
      </c>
    </row>
    <row r="12123" spans="1:1">
      <c r="A12123" s="27">
        <v>22</v>
      </c>
    </row>
    <row r="12124" spans="1:1">
      <c r="A12124" s="27">
        <v>30</v>
      </c>
    </row>
    <row r="12125" spans="1:1">
      <c r="A12125" s="27">
        <v>-2</v>
      </c>
    </row>
    <row r="12126" spans="1:1">
      <c r="A12126" s="27">
        <v>80</v>
      </c>
    </row>
    <row r="12127" spans="1:1">
      <c r="A12127" s="27">
        <v>0.17</v>
      </c>
    </row>
    <row r="12128" spans="1:1">
      <c r="A12128" s="27">
        <v>0</v>
      </c>
    </row>
    <row r="12129" spans="1:1">
      <c r="A12129" s="27">
        <v>0</v>
      </c>
    </row>
    <row r="12130" spans="1:1">
      <c r="A12130" s="27">
        <v>1</v>
      </c>
    </row>
    <row r="12131" spans="1:1">
      <c r="A12131" s="27">
        <v>1</v>
      </c>
    </row>
    <row r="12132" spans="1:1">
      <c r="A12132" s="27">
        <v>3</v>
      </c>
    </row>
    <row r="12133" spans="1:1">
      <c r="A12133" s="27">
        <v>0</v>
      </c>
    </row>
    <row r="12134" spans="1:1">
      <c r="A12134" s="27">
        <v>225</v>
      </c>
    </row>
    <row r="12135" spans="1:1">
      <c r="A12135" s="27">
        <v>3.5</v>
      </c>
    </row>
    <row r="12136" spans="1:1">
      <c r="A12136" s="29">
        <v>0.62222222222222223</v>
      </c>
    </row>
    <row r="12137" spans="1:1">
      <c r="A12137" s="27">
        <v>19.5</v>
      </c>
    </row>
    <row r="12138" spans="1:1">
      <c r="A12138" s="28">
        <v>0</v>
      </c>
    </row>
    <row r="12139" spans="1:1">
      <c r="A12139" s="25">
        <v>579</v>
      </c>
    </row>
    <row r="12140" spans="1:1" ht="30">
      <c r="A12140" s="26" t="s">
        <v>898</v>
      </c>
    </row>
    <row r="12141" spans="1:1">
      <c r="A12141" s="27" t="s">
        <v>44</v>
      </c>
    </row>
    <row r="12142" spans="1:1">
      <c r="A12142" s="27">
        <v>85</v>
      </c>
    </row>
    <row r="12143" spans="1:1">
      <c r="A12143" s="27">
        <v>8</v>
      </c>
    </row>
    <row r="12144" spans="1:1">
      <c r="A12144" s="27">
        <v>22</v>
      </c>
    </row>
    <row r="12145" spans="1:1">
      <c r="A12145" s="27">
        <v>30</v>
      </c>
    </row>
    <row r="12146" spans="1:1">
      <c r="A12146" s="27">
        <v>-8</v>
      </c>
    </row>
    <row r="12147" spans="1:1">
      <c r="A12147" s="27">
        <v>40</v>
      </c>
    </row>
    <row r="12148" spans="1:1">
      <c r="A12148" s="27">
        <v>0.35</v>
      </c>
    </row>
    <row r="12149" spans="1:1">
      <c r="A12149" s="27">
        <v>0</v>
      </c>
    </row>
    <row r="12150" spans="1:1">
      <c r="A12150" s="27">
        <v>7</v>
      </c>
    </row>
    <row r="12151" spans="1:1">
      <c r="A12151" s="27">
        <v>0</v>
      </c>
    </row>
    <row r="12152" spans="1:1">
      <c r="A12152" s="27">
        <v>0</v>
      </c>
    </row>
    <row r="12153" spans="1:1">
      <c r="A12153" s="27">
        <v>0</v>
      </c>
    </row>
    <row r="12154" spans="1:1">
      <c r="A12154" s="27">
        <v>0</v>
      </c>
    </row>
    <row r="12155" spans="1:1">
      <c r="A12155" s="27">
        <v>122</v>
      </c>
    </row>
    <row r="12156" spans="1:1">
      <c r="A12156" s="27">
        <v>6.6</v>
      </c>
    </row>
    <row r="12157" spans="1:1">
      <c r="A12157" s="29">
        <v>0.52916666666666667</v>
      </c>
    </row>
    <row r="12158" spans="1:1">
      <c r="A12158" s="27">
        <v>17</v>
      </c>
    </row>
    <row r="12159" spans="1:1">
      <c r="A12159" s="28">
        <v>34.9</v>
      </c>
    </row>
    <row r="12160" spans="1:1">
      <c r="A12160" s="25">
        <v>580</v>
      </c>
    </row>
    <row r="12161" spans="1:1">
      <c r="A12161" s="26" t="s">
        <v>1080</v>
      </c>
    </row>
    <row r="12162" spans="1:1">
      <c r="A12162" s="27" t="s">
        <v>42</v>
      </c>
    </row>
    <row r="12163" spans="1:1">
      <c r="A12163" s="27">
        <v>103</v>
      </c>
    </row>
    <row r="12164" spans="1:1">
      <c r="A12164" s="27">
        <v>8</v>
      </c>
    </row>
    <row r="12165" spans="1:1">
      <c r="A12165" s="27">
        <v>22</v>
      </c>
    </row>
    <row r="12166" spans="1:1">
      <c r="A12166" s="27">
        <v>30</v>
      </c>
    </row>
    <row r="12167" spans="1:1">
      <c r="A12167" s="27">
        <v>-2</v>
      </c>
    </row>
    <row r="12168" spans="1:1">
      <c r="A12168" s="27">
        <v>46</v>
      </c>
    </row>
    <row r="12169" spans="1:1">
      <c r="A12169" s="27">
        <v>0.28999999999999998</v>
      </c>
    </row>
    <row r="12170" spans="1:1">
      <c r="A12170" s="27">
        <v>2</v>
      </c>
    </row>
    <row r="12171" spans="1:1">
      <c r="A12171" s="27">
        <v>4</v>
      </c>
    </row>
    <row r="12172" spans="1:1">
      <c r="A12172" s="27">
        <v>0</v>
      </c>
    </row>
    <row r="12173" spans="1:1">
      <c r="A12173" s="27">
        <v>1</v>
      </c>
    </row>
    <row r="12174" spans="1:1">
      <c r="A12174" s="27">
        <v>1</v>
      </c>
    </row>
    <row r="12175" spans="1:1">
      <c r="A12175" s="27">
        <v>0</v>
      </c>
    </row>
    <row r="12176" spans="1:1">
      <c r="A12176" s="27">
        <v>121</v>
      </c>
    </row>
    <row r="12177" spans="1:1">
      <c r="A12177" s="27">
        <v>6.6</v>
      </c>
    </row>
    <row r="12178" spans="1:1">
      <c r="A12178" s="29">
        <v>0.72777777777777775</v>
      </c>
    </row>
    <row r="12179" spans="1:1">
      <c r="A12179" s="27">
        <v>24.5</v>
      </c>
    </row>
    <row r="12180" spans="1:1">
      <c r="A12180" s="28">
        <v>0</v>
      </c>
    </row>
    <row r="12181" spans="1:1">
      <c r="A12181" s="25">
        <v>581</v>
      </c>
    </row>
    <row r="12182" spans="1:1" ht="30">
      <c r="A12182" s="26" t="s">
        <v>745</v>
      </c>
    </row>
    <row r="12183" spans="1:1">
      <c r="A12183" s="27" t="s">
        <v>42</v>
      </c>
    </row>
    <row r="12184" spans="1:1">
      <c r="A12184" s="27">
        <v>208</v>
      </c>
    </row>
    <row r="12185" spans="1:1">
      <c r="A12185" s="27">
        <v>4</v>
      </c>
    </row>
    <row r="12186" spans="1:1">
      <c r="A12186" s="27">
        <v>26</v>
      </c>
    </row>
    <row r="12187" spans="1:1">
      <c r="A12187" s="27">
        <v>30</v>
      </c>
    </row>
    <row r="12188" spans="1:1">
      <c r="A12188" s="27">
        <v>-13</v>
      </c>
    </row>
    <row r="12189" spans="1:1">
      <c r="A12189" s="27">
        <v>100</v>
      </c>
    </row>
    <row r="12190" spans="1:1">
      <c r="A12190" s="27">
        <v>0.14000000000000001</v>
      </c>
    </row>
    <row r="12191" spans="1:1">
      <c r="A12191" s="27">
        <v>0</v>
      </c>
    </row>
    <row r="12192" spans="1:1">
      <c r="A12192" s="27">
        <v>1</v>
      </c>
    </row>
    <row r="12193" spans="1:1">
      <c r="A12193" s="27">
        <v>0</v>
      </c>
    </row>
    <row r="12194" spans="1:1">
      <c r="A12194" s="27">
        <v>2</v>
      </c>
    </row>
    <row r="12195" spans="1:1">
      <c r="A12195" s="27">
        <v>0</v>
      </c>
    </row>
    <row r="12196" spans="1:1">
      <c r="A12196" s="27">
        <v>0</v>
      </c>
    </row>
    <row r="12197" spans="1:1">
      <c r="A12197" s="27">
        <v>183</v>
      </c>
    </row>
    <row r="12198" spans="1:1">
      <c r="A12198" s="27">
        <v>2.2000000000000002</v>
      </c>
    </row>
    <row r="12199" spans="1:1">
      <c r="A12199" s="29">
        <v>0.7270833333333333</v>
      </c>
    </row>
    <row r="12200" spans="1:1">
      <c r="A12200" s="27">
        <v>23.6</v>
      </c>
    </row>
    <row r="12201" spans="1:1">
      <c r="A12201" s="28">
        <v>50</v>
      </c>
    </row>
    <row r="12202" spans="1:1">
      <c r="A12202" s="25">
        <v>582</v>
      </c>
    </row>
    <row r="12203" spans="1:1" ht="30">
      <c r="A12203" s="26" t="s">
        <v>152</v>
      </c>
    </row>
    <row r="12204" spans="1:1">
      <c r="A12204" s="27" t="s">
        <v>42</v>
      </c>
    </row>
    <row r="12205" spans="1:1">
      <c r="A12205" s="27">
        <v>123</v>
      </c>
    </row>
    <row r="12206" spans="1:1">
      <c r="A12206" s="27">
        <v>3</v>
      </c>
    </row>
    <row r="12207" spans="1:1">
      <c r="A12207" s="27">
        <v>27</v>
      </c>
    </row>
    <row r="12208" spans="1:1">
      <c r="A12208" s="27">
        <v>30</v>
      </c>
    </row>
    <row r="12209" spans="1:1">
      <c r="A12209" s="27">
        <v>-17</v>
      </c>
    </row>
    <row r="12210" spans="1:1">
      <c r="A12210" s="27">
        <v>86</v>
      </c>
    </row>
    <row r="12211" spans="1:1">
      <c r="A12211" s="27">
        <v>0.24</v>
      </c>
    </row>
    <row r="12212" spans="1:1">
      <c r="A12212" s="27">
        <v>0</v>
      </c>
    </row>
    <row r="12213" spans="1:1">
      <c r="A12213" s="27">
        <v>0</v>
      </c>
    </row>
    <row r="12214" spans="1:1">
      <c r="A12214" s="27">
        <v>0</v>
      </c>
    </row>
    <row r="12215" spans="1:1">
      <c r="A12215" s="27">
        <v>0</v>
      </c>
    </row>
    <row r="12216" spans="1:1">
      <c r="A12216" s="27">
        <v>1</v>
      </c>
    </row>
    <row r="12217" spans="1:1">
      <c r="A12217" s="27">
        <v>0</v>
      </c>
    </row>
    <row r="12218" spans="1:1">
      <c r="A12218" s="27">
        <v>122</v>
      </c>
    </row>
    <row r="12219" spans="1:1">
      <c r="A12219" s="27">
        <v>2.5</v>
      </c>
    </row>
    <row r="12220" spans="1:1">
      <c r="A12220" s="29">
        <v>0.62777777777777777</v>
      </c>
    </row>
    <row r="12221" spans="1:1">
      <c r="A12221" s="27">
        <v>19</v>
      </c>
    </row>
    <row r="12222" spans="1:1">
      <c r="A12222" s="28">
        <v>0</v>
      </c>
    </row>
    <row r="12223" spans="1:1">
      <c r="A12223" s="25">
        <v>583</v>
      </c>
    </row>
    <row r="12224" spans="1:1" ht="30">
      <c r="A12224" s="26" t="s">
        <v>277</v>
      </c>
    </row>
    <row r="12225" spans="1:1">
      <c r="A12225" s="27" t="s">
        <v>44</v>
      </c>
    </row>
    <row r="12226" spans="1:1">
      <c r="A12226" s="27">
        <v>97</v>
      </c>
    </row>
    <row r="12227" spans="1:1">
      <c r="A12227" s="27">
        <v>17</v>
      </c>
    </row>
    <row r="12228" spans="1:1">
      <c r="A12228" s="27">
        <v>12</v>
      </c>
    </row>
    <row r="12229" spans="1:1">
      <c r="A12229" s="27">
        <v>29</v>
      </c>
    </row>
    <row r="12230" spans="1:1">
      <c r="A12230" s="27">
        <v>8</v>
      </c>
    </row>
    <row r="12231" spans="1:1">
      <c r="A12231" s="27">
        <v>181</v>
      </c>
    </row>
    <row r="12232" spans="1:1">
      <c r="A12232" s="27">
        <v>0.3</v>
      </c>
    </row>
    <row r="12233" spans="1:1">
      <c r="A12233" s="27">
        <v>1</v>
      </c>
    </row>
    <row r="12234" spans="1:1">
      <c r="A12234" s="27">
        <v>2</v>
      </c>
    </row>
    <row r="12235" spans="1:1">
      <c r="A12235" s="27">
        <v>1</v>
      </c>
    </row>
    <row r="12236" spans="1:1">
      <c r="A12236" s="27">
        <v>2</v>
      </c>
    </row>
    <row r="12237" spans="1:1">
      <c r="A12237" s="27">
        <v>1</v>
      </c>
    </row>
    <row r="12238" spans="1:1">
      <c r="A12238" s="27">
        <v>0</v>
      </c>
    </row>
    <row r="12239" spans="1:1">
      <c r="A12239" s="27">
        <v>117</v>
      </c>
    </row>
    <row r="12240" spans="1:1">
      <c r="A12240" s="27">
        <v>14.5</v>
      </c>
    </row>
    <row r="12241" spans="1:1">
      <c r="A12241" s="29">
        <v>0.42499999999999999</v>
      </c>
    </row>
    <row r="12242" spans="1:1">
      <c r="A12242" s="27">
        <v>14</v>
      </c>
    </row>
    <row r="12243" spans="1:1">
      <c r="A12243" s="28">
        <v>39.1</v>
      </c>
    </row>
    <row r="12244" spans="1:1">
      <c r="A12244" s="25">
        <v>584</v>
      </c>
    </row>
    <row r="12245" spans="1:1" ht="30">
      <c r="A12245" s="26" t="s">
        <v>833</v>
      </c>
    </row>
    <row r="12246" spans="1:1">
      <c r="A12246" s="27" t="s">
        <v>653</v>
      </c>
    </row>
    <row r="12247" spans="1:1">
      <c r="A12247" s="27">
        <v>91</v>
      </c>
    </row>
    <row r="12248" spans="1:1">
      <c r="A12248" s="27">
        <v>9</v>
      </c>
    </row>
    <row r="12249" spans="1:1">
      <c r="A12249" s="27">
        <v>20</v>
      </c>
    </row>
    <row r="12250" spans="1:1">
      <c r="A12250" s="27">
        <v>29</v>
      </c>
    </row>
    <row r="12251" spans="1:1">
      <c r="A12251" s="27">
        <v>-23</v>
      </c>
    </row>
    <row r="12252" spans="1:1">
      <c r="A12252" s="27">
        <v>70</v>
      </c>
    </row>
    <row r="12253" spans="1:1">
      <c r="A12253" s="27">
        <v>0.32</v>
      </c>
    </row>
    <row r="12254" spans="1:1">
      <c r="A12254" s="27">
        <v>5</v>
      </c>
    </row>
    <row r="12255" spans="1:1">
      <c r="A12255" s="27">
        <v>11</v>
      </c>
    </row>
    <row r="12256" spans="1:1">
      <c r="A12256" s="27">
        <v>0</v>
      </c>
    </row>
    <row r="12257" spans="1:1">
      <c r="A12257" s="27">
        <v>0</v>
      </c>
    </row>
    <row r="12258" spans="1:1">
      <c r="A12258" s="27">
        <v>4</v>
      </c>
    </row>
    <row r="12259" spans="1:1">
      <c r="A12259" s="27">
        <v>1</v>
      </c>
    </row>
    <row r="12260" spans="1:1">
      <c r="A12260" s="27">
        <v>85</v>
      </c>
    </row>
    <row r="12261" spans="1:1">
      <c r="A12261" s="27">
        <v>10.6</v>
      </c>
    </row>
    <row r="12262" spans="1:1">
      <c r="A12262" s="29">
        <v>0.54999999999999993</v>
      </c>
    </row>
    <row r="12263" spans="1:1">
      <c r="A12263" s="27">
        <v>17.399999999999999</v>
      </c>
    </row>
    <row r="12264" spans="1:1">
      <c r="A12264" s="28">
        <v>43.1</v>
      </c>
    </row>
    <row r="12265" spans="1:1">
      <c r="A12265" s="25">
        <v>585</v>
      </c>
    </row>
    <row r="12266" spans="1:1" ht="30">
      <c r="A12266" s="26" t="s">
        <v>202</v>
      </c>
    </row>
    <row r="12267" spans="1:1">
      <c r="A12267" s="27" t="s">
        <v>42</v>
      </c>
    </row>
    <row r="12268" spans="1:1">
      <c r="A12268" s="27">
        <v>74</v>
      </c>
    </row>
    <row r="12269" spans="1:1">
      <c r="A12269" s="27">
        <v>7</v>
      </c>
    </row>
    <row r="12270" spans="1:1">
      <c r="A12270" s="27">
        <v>22</v>
      </c>
    </row>
    <row r="12271" spans="1:1">
      <c r="A12271" s="27">
        <v>29</v>
      </c>
    </row>
    <row r="12272" spans="1:1">
      <c r="A12272" s="27">
        <v>14</v>
      </c>
    </row>
    <row r="12273" spans="1:1">
      <c r="A12273" s="27">
        <v>12</v>
      </c>
    </row>
    <row r="12274" spans="1:1">
      <c r="A12274" s="27">
        <v>0.39</v>
      </c>
    </row>
    <row r="12275" spans="1:1">
      <c r="A12275" s="27">
        <v>1</v>
      </c>
    </row>
    <row r="12276" spans="1:1">
      <c r="A12276" s="27">
        <v>6</v>
      </c>
    </row>
    <row r="12277" spans="1:1">
      <c r="A12277" s="27">
        <v>0</v>
      </c>
    </row>
    <row r="12278" spans="1:1">
      <c r="A12278" s="27">
        <v>0</v>
      </c>
    </row>
    <row r="12279" spans="1:1">
      <c r="A12279" s="27">
        <v>3</v>
      </c>
    </row>
    <row r="12280" spans="1:1">
      <c r="A12280" s="27">
        <v>2</v>
      </c>
    </row>
    <row r="12281" spans="1:1">
      <c r="A12281" s="27">
        <v>127</v>
      </c>
    </row>
    <row r="12282" spans="1:1">
      <c r="A12282" s="27">
        <v>5.5</v>
      </c>
    </row>
    <row r="12283" spans="1:1">
      <c r="A12283" s="29">
        <v>0.76944444444444438</v>
      </c>
    </row>
    <row r="12284" spans="1:1">
      <c r="A12284" s="27">
        <v>23.2</v>
      </c>
    </row>
    <row r="12285" spans="1:1">
      <c r="A12285" s="28">
        <v>0</v>
      </c>
    </row>
    <row r="12286" spans="1:1">
      <c r="A12286" s="25">
        <v>586</v>
      </c>
    </row>
    <row r="12287" spans="1:1" ht="30">
      <c r="A12287" s="26" t="s">
        <v>1140</v>
      </c>
    </row>
    <row r="12288" spans="1:1">
      <c r="A12288" s="27" t="s">
        <v>42</v>
      </c>
    </row>
    <row r="12289" spans="1:1">
      <c r="A12289" s="27">
        <v>187</v>
      </c>
    </row>
    <row r="12290" spans="1:1">
      <c r="A12290" s="27">
        <v>6</v>
      </c>
    </row>
    <row r="12291" spans="1:1">
      <c r="A12291" s="27">
        <v>23</v>
      </c>
    </row>
    <row r="12292" spans="1:1">
      <c r="A12292" s="27">
        <v>29</v>
      </c>
    </row>
    <row r="12293" spans="1:1">
      <c r="A12293" s="27">
        <v>-14</v>
      </c>
    </row>
    <row r="12294" spans="1:1">
      <c r="A12294" s="27">
        <v>91</v>
      </c>
    </row>
    <row r="12295" spans="1:1">
      <c r="A12295" s="27">
        <v>0.15</v>
      </c>
    </row>
    <row r="12296" spans="1:1">
      <c r="A12296" s="27">
        <v>0</v>
      </c>
    </row>
    <row r="12297" spans="1:1">
      <c r="A12297" s="27">
        <v>0</v>
      </c>
    </row>
    <row r="12298" spans="1:1">
      <c r="A12298" s="27">
        <v>0</v>
      </c>
    </row>
    <row r="12299" spans="1:1">
      <c r="A12299" s="27">
        <v>3</v>
      </c>
    </row>
    <row r="12300" spans="1:1">
      <c r="A12300" s="27">
        <v>0</v>
      </c>
    </row>
    <row r="12301" spans="1:1">
      <c r="A12301" s="27">
        <v>0</v>
      </c>
    </row>
    <row r="12302" spans="1:1">
      <c r="A12302" s="27">
        <v>162</v>
      </c>
    </row>
    <row r="12303" spans="1:1">
      <c r="A12303" s="27">
        <v>3.7</v>
      </c>
    </row>
    <row r="12304" spans="1:1">
      <c r="A12304" s="29">
        <v>0.70486111111111116</v>
      </c>
    </row>
    <row r="12305" spans="1:1">
      <c r="A12305" s="27">
        <v>21.9</v>
      </c>
    </row>
    <row r="12306" spans="1:1">
      <c r="A12306" s="28">
        <v>0</v>
      </c>
    </row>
    <row r="12307" spans="1:1">
      <c r="A12307" s="25">
        <v>587</v>
      </c>
    </row>
    <row r="12308" spans="1:1" ht="30">
      <c r="A12308" s="26" t="s">
        <v>908</v>
      </c>
    </row>
    <row r="12309" spans="1:1">
      <c r="A12309" s="27" t="s">
        <v>43</v>
      </c>
    </row>
    <row r="12310" spans="1:1">
      <c r="A12310" s="27">
        <v>89</v>
      </c>
    </row>
    <row r="12311" spans="1:1">
      <c r="A12311" s="27">
        <v>18</v>
      </c>
    </row>
    <row r="12312" spans="1:1">
      <c r="A12312" s="27">
        <v>10</v>
      </c>
    </row>
    <row r="12313" spans="1:1">
      <c r="A12313" s="27">
        <v>28</v>
      </c>
    </row>
    <row r="12314" spans="1:1">
      <c r="A12314" s="27">
        <v>-15</v>
      </c>
    </row>
    <row r="12315" spans="1:1">
      <c r="A12315" s="27">
        <v>10</v>
      </c>
    </row>
    <row r="12316" spans="1:1">
      <c r="A12316" s="27">
        <v>0.31</v>
      </c>
    </row>
    <row r="12317" spans="1:1">
      <c r="A12317" s="27">
        <v>2</v>
      </c>
    </row>
    <row r="12318" spans="1:1">
      <c r="A12318" s="27">
        <v>5</v>
      </c>
    </row>
    <row r="12319" spans="1:1">
      <c r="A12319" s="27">
        <v>0</v>
      </c>
    </row>
    <row r="12320" spans="1:1">
      <c r="A12320" s="27">
        <v>0</v>
      </c>
    </row>
    <row r="12321" spans="1:1">
      <c r="A12321" s="27">
        <v>4</v>
      </c>
    </row>
    <row r="12322" spans="1:1">
      <c r="A12322" s="27">
        <v>1</v>
      </c>
    </row>
    <row r="12323" spans="1:1">
      <c r="A12323" s="27">
        <v>170</v>
      </c>
    </row>
    <row r="12324" spans="1:1">
      <c r="A12324" s="27">
        <v>10.6</v>
      </c>
    </row>
    <row r="12325" spans="1:1">
      <c r="A12325" s="29">
        <v>0.47847222222222219</v>
      </c>
    </row>
    <row r="12326" spans="1:1">
      <c r="A12326" s="27">
        <v>15.1</v>
      </c>
    </row>
    <row r="12327" spans="1:1">
      <c r="A12327" s="28">
        <v>31.3</v>
      </c>
    </row>
    <row r="12328" spans="1:1">
      <c r="A12328" s="25">
        <v>588</v>
      </c>
    </row>
    <row r="12329" spans="1:1" ht="30">
      <c r="A12329" s="26" t="s">
        <v>1143</v>
      </c>
    </row>
    <row r="12330" spans="1:1">
      <c r="A12330" s="27" t="s">
        <v>42</v>
      </c>
    </row>
    <row r="12331" spans="1:1">
      <c r="A12331" s="27">
        <v>150</v>
      </c>
    </row>
    <row r="12332" spans="1:1">
      <c r="A12332" s="27">
        <v>13</v>
      </c>
    </row>
    <row r="12333" spans="1:1">
      <c r="A12333" s="27">
        <v>15</v>
      </c>
    </row>
    <row r="12334" spans="1:1">
      <c r="A12334" s="27">
        <v>28</v>
      </c>
    </row>
    <row r="12335" spans="1:1">
      <c r="A12335" s="27">
        <v>-6</v>
      </c>
    </row>
    <row r="12336" spans="1:1">
      <c r="A12336" s="27">
        <v>83</v>
      </c>
    </row>
    <row r="12337" spans="1:1">
      <c r="A12337" s="27">
        <v>0.19</v>
      </c>
    </row>
    <row r="12338" spans="1:1">
      <c r="A12338" s="27">
        <v>0</v>
      </c>
    </row>
    <row r="12339" spans="1:1">
      <c r="A12339" s="27">
        <v>1</v>
      </c>
    </row>
    <row r="12340" spans="1:1">
      <c r="A12340" s="27">
        <v>0</v>
      </c>
    </row>
    <row r="12341" spans="1:1">
      <c r="A12341" s="27">
        <v>1</v>
      </c>
    </row>
    <row r="12342" spans="1:1">
      <c r="A12342" s="27">
        <v>3</v>
      </c>
    </row>
    <row r="12343" spans="1:1">
      <c r="A12343" s="27">
        <v>0</v>
      </c>
    </row>
    <row r="12344" spans="1:1">
      <c r="A12344" s="27">
        <v>225</v>
      </c>
    </row>
    <row r="12345" spans="1:1">
      <c r="A12345" s="27">
        <v>5.8</v>
      </c>
    </row>
    <row r="12346" spans="1:1">
      <c r="A12346" s="29">
        <v>0.74444444444444446</v>
      </c>
    </row>
    <row r="12347" spans="1:1">
      <c r="A12347" s="27">
        <v>24.5</v>
      </c>
    </row>
    <row r="12348" spans="1:1">
      <c r="A12348" s="28">
        <v>0</v>
      </c>
    </row>
    <row r="12349" spans="1:1">
      <c r="A12349" s="25">
        <v>589</v>
      </c>
    </row>
    <row r="12350" spans="1:1" ht="30">
      <c r="A12350" s="26" t="s">
        <v>788</v>
      </c>
    </row>
    <row r="12351" spans="1:1">
      <c r="A12351" s="27" t="s">
        <v>653</v>
      </c>
    </row>
    <row r="12352" spans="1:1">
      <c r="A12352" s="27">
        <v>106</v>
      </c>
    </row>
    <row r="12353" spans="1:1">
      <c r="A12353" s="27">
        <v>10</v>
      </c>
    </row>
    <row r="12354" spans="1:1">
      <c r="A12354" s="27">
        <v>18</v>
      </c>
    </row>
    <row r="12355" spans="1:1">
      <c r="A12355" s="27">
        <v>28</v>
      </c>
    </row>
    <row r="12356" spans="1:1">
      <c r="A12356" s="27">
        <v>-5</v>
      </c>
    </row>
    <row r="12357" spans="1:1">
      <c r="A12357" s="27">
        <v>22</v>
      </c>
    </row>
    <row r="12358" spans="1:1">
      <c r="A12358" s="27">
        <v>0.26</v>
      </c>
    </row>
    <row r="12359" spans="1:1">
      <c r="A12359" s="27">
        <v>3</v>
      </c>
    </row>
    <row r="12360" spans="1:1">
      <c r="A12360" s="27">
        <v>4</v>
      </c>
    </row>
    <row r="12361" spans="1:1">
      <c r="A12361" s="27">
        <v>1</v>
      </c>
    </row>
    <row r="12362" spans="1:1">
      <c r="A12362" s="27">
        <v>1</v>
      </c>
    </row>
    <row r="12363" spans="1:1">
      <c r="A12363" s="27">
        <v>1</v>
      </c>
    </row>
    <row r="12364" spans="1:1">
      <c r="A12364" s="27">
        <v>0</v>
      </c>
    </row>
    <row r="12365" spans="1:1">
      <c r="A12365" s="27">
        <v>125</v>
      </c>
    </row>
    <row r="12366" spans="1:1">
      <c r="A12366" s="27">
        <v>8</v>
      </c>
    </row>
    <row r="12367" spans="1:1">
      <c r="A12367" s="29">
        <v>0.49444444444444446</v>
      </c>
    </row>
    <row r="12368" spans="1:1">
      <c r="A12368" s="27">
        <v>16.3</v>
      </c>
    </row>
    <row r="12369" spans="1:1">
      <c r="A12369" s="28">
        <v>46.8</v>
      </c>
    </row>
    <row r="12370" spans="1:1">
      <c r="A12370" s="25">
        <v>590</v>
      </c>
    </row>
    <row r="12371" spans="1:1" ht="30">
      <c r="A12371" s="26" t="s">
        <v>171</v>
      </c>
    </row>
    <row r="12372" spans="1:1">
      <c r="A12372" s="27" t="s">
        <v>653</v>
      </c>
    </row>
    <row r="12373" spans="1:1">
      <c r="A12373" s="27">
        <v>76</v>
      </c>
    </row>
    <row r="12374" spans="1:1">
      <c r="A12374" s="27">
        <v>6</v>
      </c>
    </row>
    <row r="12375" spans="1:1">
      <c r="A12375" s="27">
        <v>22</v>
      </c>
    </row>
    <row r="12376" spans="1:1">
      <c r="A12376" s="27">
        <v>28</v>
      </c>
    </row>
    <row r="12377" spans="1:1">
      <c r="A12377" s="27">
        <v>14</v>
      </c>
    </row>
    <row r="12378" spans="1:1">
      <c r="A12378" s="27">
        <v>8</v>
      </c>
    </row>
    <row r="12379" spans="1:1">
      <c r="A12379" s="27">
        <v>0.37</v>
      </c>
    </row>
    <row r="12380" spans="1:1">
      <c r="A12380" s="27">
        <v>0</v>
      </c>
    </row>
    <row r="12381" spans="1:1">
      <c r="A12381" s="27">
        <v>3</v>
      </c>
    </row>
    <row r="12382" spans="1:1">
      <c r="A12382" s="27">
        <v>0</v>
      </c>
    </row>
    <row r="12383" spans="1:1">
      <c r="A12383" s="27">
        <v>0</v>
      </c>
    </row>
    <row r="12384" spans="1:1">
      <c r="A12384" s="27">
        <v>1</v>
      </c>
    </row>
    <row r="12385" spans="1:1">
      <c r="A12385" s="27">
        <v>0</v>
      </c>
    </row>
    <row r="12386" spans="1:1">
      <c r="A12386" s="27">
        <v>51</v>
      </c>
    </row>
    <row r="12387" spans="1:1">
      <c r="A12387" s="27">
        <v>11.8</v>
      </c>
    </row>
    <row r="12388" spans="1:1">
      <c r="A12388" s="29">
        <v>0.41805555555555557</v>
      </c>
    </row>
    <row r="12389" spans="1:1">
      <c r="A12389" s="27">
        <v>13.2</v>
      </c>
    </row>
    <row r="12390" spans="1:1">
      <c r="A12390" s="28">
        <v>40.700000000000003</v>
      </c>
    </row>
    <row r="12391" spans="1:1">
      <c r="A12391" s="25">
        <v>591</v>
      </c>
    </row>
    <row r="12392" spans="1:1" ht="30">
      <c r="A12392" s="26" t="s">
        <v>93</v>
      </c>
    </row>
    <row r="12393" spans="1:1">
      <c r="A12393" s="27" t="s">
        <v>42</v>
      </c>
    </row>
    <row r="12394" spans="1:1">
      <c r="A12394" s="27">
        <v>146</v>
      </c>
    </row>
    <row r="12395" spans="1:1">
      <c r="A12395" s="27">
        <v>3</v>
      </c>
    </row>
    <row r="12396" spans="1:1">
      <c r="A12396" s="27">
        <v>25</v>
      </c>
    </row>
    <row r="12397" spans="1:1">
      <c r="A12397" s="27">
        <v>28</v>
      </c>
    </row>
    <row r="12398" spans="1:1">
      <c r="A12398" s="27">
        <v>28</v>
      </c>
    </row>
    <row r="12399" spans="1:1">
      <c r="A12399" s="27">
        <v>20</v>
      </c>
    </row>
    <row r="12400" spans="1:1">
      <c r="A12400" s="27">
        <v>0.19</v>
      </c>
    </row>
    <row r="12401" spans="1:1">
      <c r="A12401" s="27">
        <v>0</v>
      </c>
    </row>
    <row r="12402" spans="1:1">
      <c r="A12402" s="27">
        <v>4</v>
      </c>
    </row>
    <row r="12403" spans="1:1">
      <c r="A12403" s="27">
        <v>0</v>
      </c>
    </row>
    <row r="12404" spans="1:1">
      <c r="A12404" s="27">
        <v>0</v>
      </c>
    </row>
    <row r="12405" spans="1:1">
      <c r="A12405" s="27">
        <v>1</v>
      </c>
    </row>
    <row r="12406" spans="1:1">
      <c r="A12406" s="27">
        <v>0</v>
      </c>
    </row>
    <row r="12407" spans="1:1">
      <c r="A12407" s="27">
        <v>142</v>
      </c>
    </row>
    <row r="12408" spans="1:1">
      <c r="A12408" s="27">
        <v>2.1</v>
      </c>
    </row>
    <row r="12409" spans="1:1">
      <c r="A12409" s="29">
        <v>0.70763888888888893</v>
      </c>
    </row>
    <row r="12410" spans="1:1">
      <c r="A12410" s="27">
        <v>22.6</v>
      </c>
    </row>
    <row r="12411" spans="1:1">
      <c r="A12411" s="28">
        <v>0</v>
      </c>
    </row>
    <row r="12412" spans="1:1">
      <c r="A12412" s="25">
        <v>592</v>
      </c>
    </row>
    <row r="12413" spans="1:1" ht="30">
      <c r="A12413" s="26" t="s">
        <v>511</v>
      </c>
    </row>
    <row r="12414" spans="1:1">
      <c r="A12414" s="27" t="s">
        <v>44</v>
      </c>
    </row>
    <row r="12415" spans="1:1">
      <c r="A12415" s="27">
        <v>162</v>
      </c>
    </row>
    <row r="12416" spans="1:1">
      <c r="A12416" s="27">
        <v>17</v>
      </c>
    </row>
    <row r="12417" spans="1:1">
      <c r="A12417" s="27">
        <v>10</v>
      </c>
    </row>
    <row r="12418" spans="1:1">
      <c r="A12418" s="27">
        <v>27</v>
      </c>
    </row>
    <row r="12419" spans="1:1">
      <c r="A12419" s="27">
        <v>-7</v>
      </c>
    </row>
    <row r="12420" spans="1:1">
      <c r="A12420" s="27">
        <v>87</v>
      </c>
    </row>
    <row r="12421" spans="1:1">
      <c r="A12421" s="27">
        <v>0.17</v>
      </c>
    </row>
    <row r="12422" spans="1:1">
      <c r="A12422" s="27">
        <v>0</v>
      </c>
    </row>
    <row r="12423" spans="1:1">
      <c r="A12423" s="27">
        <v>0</v>
      </c>
    </row>
    <row r="12424" spans="1:1">
      <c r="A12424" s="27">
        <v>0</v>
      </c>
    </row>
    <row r="12425" spans="1:1">
      <c r="A12425" s="27">
        <v>0</v>
      </c>
    </row>
    <row r="12426" spans="1:1">
      <c r="A12426" s="27">
        <v>3</v>
      </c>
    </row>
    <row r="12427" spans="1:1">
      <c r="A12427" s="27">
        <v>0</v>
      </c>
    </row>
    <row r="12428" spans="1:1">
      <c r="A12428" s="27">
        <v>231</v>
      </c>
    </row>
    <row r="12429" spans="1:1">
      <c r="A12429" s="27">
        <v>7.3</v>
      </c>
    </row>
    <row r="12430" spans="1:1">
      <c r="A12430" s="29">
        <v>0.38750000000000001</v>
      </c>
    </row>
    <row r="12431" spans="1:1">
      <c r="A12431" s="27">
        <v>13.2</v>
      </c>
    </row>
    <row r="12432" spans="1:1">
      <c r="A12432" s="28">
        <v>66.7</v>
      </c>
    </row>
    <row r="12433" spans="1:1">
      <c r="A12433" s="25">
        <v>593</v>
      </c>
    </row>
    <row r="12434" spans="1:1" ht="30">
      <c r="A12434" s="26" t="s">
        <v>239</v>
      </c>
    </row>
    <row r="12435" spans="1:1">
      <c r="A12435" s="27" t="s">
        <v>44</v>
      </c>
    </row>
    <row r="12436" spans="1:1">
      <c r="A12436" s="27">
        <v>107</v>
      </c>
    </row>
    <row r="12437" spans="1:1">
      <c r="A12437" s="27">
        <v>16</v>
      </c>
    </row>
    <row r="12438" spans="1:1">
      <c r="A12438" s="27">
        <v>11</v>
      </c>
    </row>
    <row r="12439" spans="1:1">
      <c r="A12439" s="27">
        <v>27</v>
      </c>
    </row>
    <row r="12440" spans="1:1">
      <c r="A12440" s="27">
        <v>-10</v>
      </c>
    </row>
    <row r="12441" spans="1:1">
      <c r="A12441" s="27">
        <v>30</v>
      </c>
    </row>
    <row r="12442" spans="1:1">
      <c r="A12442" s="27">
        <v>0.25</v>
      </c>
    </row>
    <row r="12443" spans="1:1">
      <c r="A12443" s="27">
        <v>0</v>
      </c>
    </row>
    <row r="12444" spans="1:1">
      <c r="A12444" s="27">
        <v>0</v>
      </c>
    </row>
    <row r="12445" spans="1:1">
      <c r="A12445" s="27">
        <v>0</v>
      </c>
    </row>
    <row r="12446" spans="1:1">
      <c r="A12446" s="27">
        <v>0</v>
      </c>
    </row>
    <row r="12447" spans="1:1">
      <c r="A12447" s="27">
        <v>3</v>
      </c>
    </row>
    <row r="12448" spans="1:1">
      <c r="A12448" s="27">
        <v>0</v>
      </c>
    </row>
    <row r="12449" spans="1:1">
      <c r="A12449" s="27">
        <v>163</v>
      </c>
    </row>
    <row r="12450" spans="1:1">
      <c r="A12450" s="27">
        <v>9.8000000000000007</v>
      </c>
    </row>
    <row r="12451" spans="1:1">
      <c r="A12451" s="29">
        <v>0.52500000000000002</v>
      </c>
    </row>
    <row r="12452" spans="1:1">
      <c r="A12452" s="27">
        <v>18.3</v>
      </c>
    </row>
    <row r="12453" spans="1:1">
      <c r="A12453" s="28">
        <v>50</v>
      </c>
    </row>
    <row r="12454" spans="1:1">
      <c r="A12454" s="25">
        <v>594</v>
      </c>
    </row>
    <row r="12455" spans="1:1" ht="30">
      <c r="A12455" s="26" t="s">
        <v>155</v>
      </c>
    </row>
    <row r="12456" spans="1:1">
      <c r="A12456" s="27" t="s">
        <v>44</v>
      </c>
    </row>
    <row r="12457" spans="1:1">
      <c r="A12457" s="27">
        <v>136</v>
      </c>
    </row>
    <row r="12458" spans="1:1">
      <c r="A12458" s="27">
        <v>13</v>
      </c>
    </row>
    <row r="12459" spans="1:1">
      <c r="A12459" s="27">
        <v>14</v>
      </c>
    </row>
    <row r="12460" spans="1:1">
      <c r="A12460" s="27">
        <v>27</v>
      </c>
    </row>
    <row r="12461" spans="1:1">
      <c r="A12461" s="27">
        <v>-11</v>
      </c>
    </row>
    <row r="12462" spans="1:1">
      <c r="A12462" s="27">
        <v>78</v>
      </c>
    </row>
    <row r="12463" spans="1:1">
      <c r="A12463" s="27">
        <v>0.2</v>
      </c>
    </row>
    <row r="12464" spans="1:1">
      <c r="A12464" s="27">
        <v>2</v>
      </c>
    </row>
    <row r="12465" spans="1:1">
      <c r="A12465" s="27">
        <v>2</v>
      </c>
    </row>
    <row r="12466" spans="1:1">
      <c r="A12466" s="27">
        <v>0</v>
      </c>
    </row>
    <row r="12467" spans="1:1">
      <c r="A12467" s="27">
        <v>0</v>
      </c>
    </row>
    <row r="12468" spans="1:1">
      <c r="A12468" s="27">
        <v>4</v>
      </c>
    </row>
    <row r="12469" spans="1:1">
      <c r="A12469" s="27">
        <v>0</v>
      </c>
    </row>
    <row r="12470" spans="1:1">
      <c r="A12470" s="27">
        <v>165</v>
      </c>
    </row>
    <row r="12471" spans="1:1">
      <c r="A12471" s="27">
        <v>7.9</v>
      </c>
    </row>
    <row r="12472" spans="1:1">
      <c r="A12472" s="29">
        <v>0.4548611111111111</v>
      </c>
    </row>
    <row r="12473" spans="1:1">
      <c r="A12473" s="27">
        <v>15.5</v>
      </c>
    </row>
    <row r="12474" spans="1:1">
      <c r="A12474" s="28">
        <v>56.3</v>
      </c>
    </row>
    <row r="12475" spans="1:1">
      <c r="A12475" s="25">
        <v>595</v>
      </c>
    </row>
    <row r="12476" spans="1:1" ht="30">
      <c r="A12476" s="26" t="s">
        <v>349</v>
      </c>
    </row>
    <row r="12477" spans="1:1">
      <c r="A12477" s="27" t="s">
        <v>43</v>
      </c>
    </row>
    <row r="12478" spans="1:1">
      <c r="A12478" s="27">
        <v>167</v>
      </c>
    </row>
    <row r="12479" spans="1:1">
      <c r="A12479" s="27">
        <v>12</v>
      </c>
    </row>
    <row r="12480" spans="1:1">
      <c r="A12480" s="27">
        <v>15</v>
      </c>
    </row>
    <row r="12481" spans="1:1">
      <c r="A12481" s="27">
        <v>27</v>
      </c>
    </row>
    <row r="12482" spans="1:1">
      <c r="A12482" s="27">
        <v>-2</v>
      </c>
    </row>
    <row r="12483" spans="1:1">
      <c r="A12483" s="27">
        <v>76</v>
      </c>
    </row>
    <row r="12484" spans="1:1">
      <c r="A12484" s="27">
        <v>0.16</v>
      </c>
    </row>
    <row r="12485" spans="1:1">
      <c r="A12485" s="27">
        <v>0</v>
      </c>
    </row>
    <row r="12486" spans="1:1">
      <c r="A12486" s="27">
        <v>0</v>
      </c>
    </row>
    <row r="12487" spans="1:1">
      <c r="A12487" s="27">
        <v>0</v>
      </c>
    </row>
    <row r="12488" spans="1:1">
      <c r="A12488" s="27">
        <v>1</v>
      </c>
    </row>
    <row r="12489" spans="1:1">
      <c r="A12489" s="27">
        <v>2</v>
      </c>
    </row>
    <row r="12490" spans="1:1">
      <c r="A12490" s="27">
        <v>0</v>
      </c>
    </row>
    <row r="12491" spans="1:1">
      <c r="A12491" s="27">
        <v>172</v>
      </c>
    </row>
    <row r="12492" spans="1:1">
      <c r="A12492" s="27">
        <v>7</v>
      </c>
    </row>
    <row r="12493" spans="1:1">
      <c r="A12493" s="29">
        <v>0.46111111111111108</v>
      </c>
    </row>
    <row r="12494" spans="1:1">
      <c r="A12494" s="27">
        <v>15.9</v>
      </c>
    </row>
    <row r="12495" spans="1:1">
      <c r="A12495" s="28">
        <v>40.9</v>
      </c>
    </row>
    <row r="12496" spans="1:1">
      <c r="A12496" s="25">
        <v>596</v>
      </c>
    </row>
    <row r="12497" spans="1:1" ht="30">
      <c r="A12497" s="26" t="s">
        <v>1088</v>
      </c>
    </row>
    <row r="12498" spans="1:1">
      <c r="A12498" s="27" t="s">
        <v>42</v>
      </c>
    </row>
    <row r="12499" spans="1:1">
      <c r="A12499" s="27">
        <v>122</v>
      </c>
    </row>
    <row r="12500" spans="1:1">
      <c r="A12500" s="27">
        <v>8</v>
      </c>
    </row>
    <row r="12501" spans="1:1">
      <c r="A12501" s="27">
        <v>19</v>
      </c>
    </row>
    <row r="12502" spans="1:1">
      <c r="A12502" s="27">
        <v>27</v>
      </c>
    </row>
    <row r="12503" spans="1:1">
      <c r="A12503" s="27">
        <v>-8</v>
      </c>
    </row>
    <row r="12504" spans="1:1">
      <c r="A12504" s="27">
        <v>42</v>
      </c>
    </row>
    <row r="12505" spans="1:1">
      <c r="A12505" s="27">
        <v>0.22</v>
      </c>
    </row>
    <row r="12506" spans="1:1">
      <c r="A12506" s="27">
        <v>1</v>
      </c>
    </row>
    <row r="12507" spans="1:1">
      <c r="A12507" s="27">
        <v>5</v>
      </c>
    </row>
    <row r="12508" spans="1:1">
      <c r="A12508" s="27">
        <v>0</v>
      </c>
    </row>
    <row r="12509" spans="1:1">
      <c r="A12509" s="27">
        <v>1</v>
      </c>
    </row>
    <row r="12510" spans="1:1">
      <c r="A12510" s="27">
        <v>1</v>
      </c>
    </row>
    <row r="12511" spans="1:1">
      <c r="A12511" s="27">
        <v>1</v>
      </c>
    </row>
    <row r="12512" spans="1:1">
      <c r="A12512" s="27">
        <v>187</v>
      </c>
    </row>
    <row r="12513" spans="1:1">
      <c r="A12513" s="27">
        <v>4.3</v>
      </c>
    </row>
    <row r="12514" spans="1:1">
      <c r="A12514" s="29">
        <v>0.71111111111111114</v>
      </c>
    </row>
    <row r="12515" spans="1:1">
      <c r="A12515" s="27">
        <v>23.5</v>
      </c>
    </row>
    <row r="12516" spans="1:1">
      <c r="A12516" s="28">
        <v>0</v>
      </c>
    </row>
    <row r="12517" spans="1:1">
      <c r="A12517" s="25">
        <v>597</v>
      </c>
    </row>
    <row r="12518" spans="1:1" ht="30">
      <c r="A12518" s="26" t="s">
        <v>334</v>
      </c>
    </row>
    <row r="12519" spans="1:1">
      <c r="A12519" s="27" t="s">
        <v>42</v>
      </c>
    </row>
    <row r="12520" spans="1:1">
      <c r="A12520" s="27">
        <v>27</v>
      </c>
    </row>
    <row r="12521" spans="1:1">
      <c r="A12521" s="27">
        <v>8</v>
      </c>
    </row>
    <row r="12522" spans="1:1">
      <c r="A12522" s="27">
        <v>19</v>
      </c>
    </row>
    <row r="12523" spans="1:1">
      <c r="A12523" s="27">
        <v>27</v>
      </c>
    </row>
    <row r="12524" spans="1:1">
      <c r="A12524" s="27">
        <v>9</v>
      </c>
    </row>
    <row r="12525" spans="1:1">
      <c r="A12525" s="27">
        <v>0</v>
      </c>
    </row>
    <row r="12526" spans="1:1">
      <c r="A12526" s="27">
        <v>1</v>
      </c>
    </row>
    <row r="12527" spans="1:1">
      <c r="A12527" s="27">
        <v>2</v>
      </c>
    </row>
    <row r="12528" spans="1:1">
      <c r="A12528" s="27">
        <v>12</v>
      </c>
    </row>
    <row r="12529" spans="1:1">
      <c r="A12529" s="27">
        <v>0</v>
      </c>
    </row>
    <row r="12530" spans="1:1">
      <c r="A12530" s="27">
        <v>0</v>
      </c>
    </row>
    <row r="12531" spans="1:1">
      <c r="A12531" s="27">
        <v>3</v>
      </c>
    </row>
    <row r="12532" spans="1:1">
      <c r="A12532" s="27">
        <v>0</v>
      </c>
    </row>
    <row r="12533" spans="1:1">
      <c r="A12533" s="27">
        <v>53</v>
      </c>
    </row>
    <row r="12534" spans="1:1">
      <c r="A12534" s="27">
        <v>15.1</v>
      </c>
    </row>
    <row r="12535" spans="1:1">
      <c r="A12535" s="29">
        <v>0.84513888888888899</v>
      </c>
    </row>
    <row r="12536" spans="1:1">
      <c r="A12536" s="27">
        <v>24.2</v>
      </c>
    </row>
    <row r="12537" spans="1:1">
      <c r="A12537" s="28">
        <v>0</v>
      </c>
    </row>
    <row r="12538" spans="1:1">
      <c r="A12538" s="25">
        <v>598</v>
      </c>
    </row>
    <row r="12539" spans="1:1" ht="30">
      <c r="A12539" s="26" t="s">
        <v>791</v>
      </c>
    </row>
    <row r="12540" spans="1:1">
      <c r="A12540" s="27" t="s">
        <v>653</v>
      </c>
    </row>
    <row r="12541" spans="1:1">
      <c r="A12541" s="27">
        <v>126</v>
      </c>
    </row>
    <row r="12542" spans="1:1">
      <c r="A12542" s="27">
        <v>6</v>
      </c>
    </row>
    <row r="12543" spans="1:1">
      <c r="A12543" s="27">
        <v>21</v>
      </c>
    </row>
    <row r="12544" spans="1:1">
      <c r="A12544" s="27">
        <v>27</v>
      </c>
    </row>
    <row r="12545" spans="1:1">
      <c r="A12545" s="27">
        <v>-18</v>
      </c>
    </row>
    <row r="12546" spans="1:1">
      <c r="A12546" s="27">
        <v>34</v>
      </c>
    </row>
    <row r="12547" spans="1:1">
      <c r="A12547" s="27">
        <v>0.21</v>
      </c>
    </row>
    <row r="12548" spans="1:1">
      <c r="A12548" s="27">
        <v>0</v>
      </c>
    </row>
    <row r="12549" spans="1:1">
      <c r="A12549" s="27">
        <v>9</v>
      </c>
    </row>
    <row r="12550" spans="1:1">
      <c r="A12550" s="27">
        <v>0</v>
      </c>
    </row>
    <row r="12551" spans="1:1">
      <c r="A12551" s="27">
        <v>0</v>
      </c>
    </row>
    <row r="12552" spans="1:1">
      <c r="A12552" s="27">
        <v>2</v>
      </c>
    </row>
    <row r="12553" spans="1:1">
      <c r="A12553" s="27">
        <v>0</v>
      </c>
    </row>
    <row r="12554" spans="1:1">
      <c r="A12554" s="27">
        <v>130</v>
      </c>
    </row>
    <row r="12555" spans="1:1">
      <c r="A12555" s="27">
        <v>4.5999999999999996</v>
      </c>
    </row>
    <row r="12556" spans="1:1">
      <c r="A12556" s="29">
        <v>0.43263888888888885</v>
      </c>
    </row>
    <row r="12557" spans="1:1">
      <c r="A12557" s="27">
        <v>14</v>
      </c>
    </row>
    <row r="12558" spans="1:1">
      <c r="A12558" s="28">
        <v>46.5</v>
      </c>
    </row>
    <row r="12559" spans="1:1">
      <c r="A12559" s="25">
        <v>599</v>
      </c>
    </row>
    <row r="12560" spans="1:1" ht="45">
      <c r="A12560" s="26" t="s">
        <v>1115</v>
      </c>
    </row>
    <row r="12561" spans="1:1">
      <c r="A12561" s="27" t="s">
        <v>42</v>
      </c>
    </row>
    <row r="12562" spans="1:1">
      <c r="A12562" s="27">
        <v>160</v>
      </c>
    </row>
    <row r="12563" spans="1:1">
      <c r="A12563" s="27">
        <v>5</v>
      </c>
    </row>
    <row r="12564" spans="1:1">
      <c r="A12564" s="27">
        <v>22</v>
      </c>
    </row>
    <row r="12565" spans="1:1">
      <c r="A12565" s="27">
        <v>27</v>
      </c>
    </row>
    <row r="12566" spans="1:1">
      <c r="A12566" s="27">
        <v>-7</v>
      </c>
    </row>
    <row r="12567" spans="1:1">
      <c r="A12567" s="27">
        <v>53</v>
      </c>
    </row>
    <row r="12568" spans="1:1">
      <c r="A12568" s="27">
        <v>0.17</v>
      </c>
    </row>
    <row r="12569" spans="1:1">
      <c r="A12569" s="27">
        <v>0</v>
      </c>
    </row>
    <row r="12570" spans="1:1">
      <c r="A12570" s="27">
        <v>0</v>
      </c>
    </row>
    <row r="12571" spans="1:1">
      <c r="A12571" s="27">
        <v>0</v>
      </c>
    </row>
    <row r="12572" spans="1:1">
      <c r="A12572" s="27">
        <v>1</v>
      </c>
    </row>
    <row r="12573" spans="1:1">
      <c r="A12573" s="27">
        <v>1</v>
      </c>
    </row>
    <row r="12574" spans="1:1">
      <c r="A12574" s="27">
        <v>0</v>
      </c>
    </row>
    <row r="12575" spans="1:1">
      <c r="A12575" s="27">
        <v>124</v>
      </c>
    </row>
    <row r="12576" spans="1:1">
      <c r="A12576" s="27">
        <v>4</v>
      </c>
    </row>
    <row r="12577" spans="1:1">
      <c r="A12577" s="29">
        <v>0.55486111111111114</v>
      </c>
    </row>
    <row r="12578" spans="1:1">
      <c r="A12578" s="27">
        <v>18.7</v>
      </c>
    </row>
    <row r="12579" spans="1:1">
      <c r="A12579" s="28">
        <v>0</v>
      </c>
    </row>
    <row r="12580" spans="1:1">
      <c r="A12580" s="25">
        <v>600</v>
      </c>
    </row>
    <row r="12581" spans="1:1" ht="45">
      <c r="A12581" s="26" t="s">
        <v>526</v>
      </c>
    </row>
    <row r="12582" spans="1:1">
      <c r="A12582" s="27" t="s">
        <v>42</v>
      </c>
    </row>
    <row r="12583" spans="1:1">
      <c r="A12583" s="27">
        <v>119</v>
      </c>
    </row>
    <row r="12584" spans="1:1">
      <c r="A12584" s="27">
        <v>4</v>
      </c>
    </row>
    <row r="12585" spans="1:1">
      <c r="A12585" s="27">
        <v>23</v>
      </c>
    </row>
    <row r="12586" spans="1:1">
      <c r="A12586" s="27">
        <v>27</v>
      </c>
    </row>
    <row r="12587" spans="1:1">
      <c r="A12587" s="27">
        <v>9</v>
      </c>
    </row>
    <row r="12588" spans="1:1">
      <c r="A12588" s="27">
        <v>42</v>
      </c>
    </row>
    <row r="12589" spans="1:1">
      <c r="A12589" s="27">
        <v>0.23</v>
      </c>
    </row>
    <row r="12590" spans="1:1">
      <c r="A12590" s="27">
        <v>0</v>
      </c>
    </row>
    <row r="12591" spans="1:1">
      <c r="A12591" s="27">
        <v>3</v>
      </c>
    </row>
    <row r="12592" spans="1:1">
      <c r="A12592" s="27">
        <v>0</v>
      </c>
    </row>
    <row r="12593" spans="1:1">
      <c r="A12593" s="27">
        <v>0</v>
      </c>
    </row>
    <row r="12594" spans="1:1">
      <c r="A12594" s="27">
        <v>0</v>
      </c>
    </row>
    <row r="12595" spans="1:1">
      <c r="A12595" s="27">
        <v>0</v>
      </c>
    </row>
    <row r="12596" spans="1:1">
      <c r="A12596" s="27">
        <v>180</v>
      </c>
    </row>
    <row r="12597" spans="1:1">
      <c r="A12597" s="27">
        <v>2.2000000000000002</v>
      </c>
    </row>
    <row r="12598" spans="1:1">
      <c r="A12598" s="29">
        <v>0.70416666666666661</v>
      </c>
    </row>
    <row r="12599" spans="1:1">
      <c r="A12599" s="27">
        <v>21.7</v>
      </c>
    </row>
    <row r="12600" spans="1:1">
      <c r="A12600" s="28">
        <v>0</v>
      </c>
    </row>
    <row r="12601" spans="1:1">
      <c r="A12601" s="25">
        <v>601</v>
      </c>
    </row>
    <row r="12602" spans="1:1" ht="30">
      <c r="A12602" s="26" t="s">
        <v>591</v>
      </c>
    </row>
    <row r="12603" spans="1:1">
      <c r="A12603" s="27" t="s">
        <v>44</v>
      </c>
    </row>
    <row r="12604" spans="1:1">
      <c r="A12604" s="27">
        <v>87</v>
      </c>
    </row>
    <row r="12605" spans="1:1">
      <c r="A12605" s="27">
        <v>14</v>
      </c>
    </row>
    <row r="12606" spans="1:1">
      <c r="A12606" s="27">
        <v>12</v>
      </c>
    </row>
    <row r="12607" spans="1:1">
      <c r="A12607" s="27">
        <v>26</v>
      </c>
    </row>
    <row r="12608" spans="1:1">
      <c r="A12608" s="27">
        <v>0</v>
      </c>
    </row>
    <row r="12609" spans="1:1">
      <c r="A12609" s="27">
        <v>29</v>
      </c>
    </row>
    <row r="12610" spans="1:1">
      <c r="A12610" s="27">
        <v>0.3</v>
      </c>
    </row>
    <row r="12611" spans="1:1">
      <c r="A12611" s="27">
        <v>0</v>
      </c>
    </row>
    <row r="12612" spans="1:1">
      <c r="A12612" s="27">
        <v>0</v>
      </c>
    </row>
    <row r="12613" spans="1:1">
      <c r="A12613" s="27">
        <v>0</v>
      </c>
    </row>
    <row r="12614" spans="1:1">
      <c r="A12614" s="27">
        <v>0</v>
      </c>
    </row>
    <row r="12615" spans="1:1">
      <c r="A12615" s="27">
        <v>0</v>
      </c>
    </row>
    <row r="12616" spans="1:1">
      <c r="A12616" s="27">
        <v>0</v>
      </c>
    </row>
    <row r="12617" spans="1:1">
      <c r="A12617" s="27">
        <v>119</v>
      </c>
    </row>
    <row r="12618" spans="1:1">
      <c r="A12618" s="27">
        <v>11.8</v>
      </c>
    </row>
    <row r="12619" spans="1:1">
      <c r="A12619" s="29">
        <v>0.40277777777777773</v>
      </c>
    </row>
    <row r="12620" spans="1:1">
      <c r="A12620" s="27">
        <v>14.2</v>
      </c>
    </row>
    <row r="12621" spans="1:1">
      <c r="A12621" s="28">
        <v>20</v>
      </c>
    </row>
    <row r="12622" spans="1:1">
      <c r="A12622" s="25">
        <v>602</v>
      </c>
    </row>
    <row r="12623" spans="1:1" ht="30">
      <c r="A12623" s="26" t="s">
        <v>761</v>
      </c>
    </row>
    <row r="12624" spans="1:1">
      <c r="A12624" s="27" t="s">
        <v>653</v>
      </c>
    </row>
    <row r="12625" spans="1:1">
      <c r="A12625" s="27">
        <v>146</v>
      </c>
    </row>
    <row r="12626" spans="1:1">
      <c r="A12626" s="27">
        <v>14</v>
      </c>
    </row>
    <row r="12627" spans="1:1">
      <c r="A12627" s="27">
        <v>12</v>
      </c>
    </row>
    <row r="12628" spans="1:1">
      <c r="A12628" s="27">
        <v>26</v>
      </c>
    </row>
    <row r="12629" spans="1:1">
      <c r="A12629" s="27">
        <v>-10</v>
      </c>
    </row>
    <row r="12630" spans="1:1">
      <c r="A12630" s="27">
        <v>47</v>
      </c>
    </row>
    <row r="12631" spans="1:1">
      <c r="A12631" s="27">
        <v>0.18</v>
      </c>
    </row>
    <row r="12632" spans="1:1">
      <c r="A12632" s="27">
        <v>0</v>
      </c>
    </row>
    <row r="12633" spans="1:1">
      <c r="A12633" s="27">
        <v>0</v>
      </c>
    </row>
    <row r="12634" spans="1:1">
      <c r="A12634" s="27">
        <v>2</v>
      </c>
    </row>
    <row r="12635" spans="1:1">
      <c r="A12635" s="27">
        <v>2</v>
      </c>
    </row>
    <row r="12636" spans="1:1">
      <c r="A12636" s="27">
        <v>1</v>
      </c>
    </row>
    <row r="12637" spans="1:1">
      <c r="A12637" s="27">
        <v>0</v>
      </c>
    </row>
    <row r="12638" spans="1:1">
      <c r="A12638" s="27">
        <v>110</v>
      </c>
    </row>
    <row r="12639" spans="1:1">
      <c r="A12639" s="27">
        <v>12.7</v>
      </c>
    </row>
    <row r="12640" spans="1:1">
      <c r="A12640" s="29">
        <v>0.40833333333333338</v>
      </c>
    </row>
    <row r="12641" spans="1:1">
      <c r="A12641" s="27">
        <v>14.7</v>
      </c>
    </row>
    <row r="12642" spans="1:1">
      <c r="A12642" s="28">
        <v>49.3</v>
      </c>
    </row>
    <row r="12643" spans="1:1">
      <c r="A12643" s="25">
        <v>603</v>
      </c>
    </row>
    <row r="12644" spans="1:1" ht="30">
      <c r="A12644" s="26" t="s">
        <v>1011</v>
      </c>
    </row>
    <row r="12645" spans="1:1">
      <c r="A12645" s="27" t="s">
        <v>44</v>
      </c>
    </row>
    <row r="12646" spans="1:1">
      <c r="A12646" s="27">
        <v>34</v>
      </c>
    </row>
    <row r="12647" spans="1:1">
      <c r="A12647" s="27">
        <v>13</v>
      </c>
    </row>
    <row r="12648" spans="1:1">
      <c r="A12648" s="27">
        <v>13</v>
      </c>
    </row>
    <row r="12649" spans="1:1">
      <c r="A12649" s="27">
        <v>26</v>
      </c>
    </row>
    <row r="12650" spans="1:1">
      <c r="A12650" s="27">
        <v>3</v>
      </c>
    </row>
    <row r="12651" spans="1:1">
      <c r="A12651" s="27">
        <v>6</v>
      </c>
    </row>
    <row r="12652" spans="1:1">
      <c r="A12652" s="27">
        <v>0.76</v>
      </c>
    </row>
    <row r="12653" spans="1:1">
      <c r="A12653" s="27">
        <v>8</v>
      </c>
    </row>
    <row r="12654" spans="1:1">
      <c r="A12654" s="27">
        <v>12</v>
      </c>
    </row>
    <row r="12655" spans="1:1">
      <c r="A12655" s="27">
        <v>0</v>
      </c>
    </row>
    <row r="12656" spans="1:1">
      <c r="A12656" s="27">
        <v>0</v>
      </c>
    </row>
    <row r="12657" spans="1:1">
      <c r="A12657" s="27">
        <v>1</v>
      </c>
    </row>
    <row r="12658" spans="1:1">
      <c r="A12658" s="27">
        <v>0</v>
      </c>
    </row>
    <row r="12659" spans="1:1">
      <c r="A12659" s="27">
        <v>90</v>
      </c>
    </row>
    <row r="12660" spans="1:1">
      <c r="A12660" s="27">
        <v>14.4</v>
      </c>
    </row>
    <row r="12661" spans="1:1">
      <c r="A12661" s="29">
        <v>0.74652777777777779</v>
      </c>
    </row>
    <row r="12662" spans="1:1">
      <c r="A12662" s="27">
        <v>21.4</v>
      </c>
    </row>
    <row r="12663" spans="1:1">
      <c r="A12663" s="28">
        <v>0</v>
      </c>
    </row>
    <row r="12664" spans="1:1">
      <c r="A12664" s="25">
        <v>604</v>
      </c>
    </row>
    <row r="12665" spans="1:1" ht="30">
      <c r="A12665" s="26" t="s">
        <v>1139</v>
      </c>
    </row>
    <row r="12666" spans="1:1">
      <c r="A12666" s="27" t="s">
        <v>42</v>
      </c>
    </row>
    <row r="12667" spans="1:1">
      <c r="A12667" s="27">
        <v>150</v>
      </c>
    </row>
    <row r="12668" spans="1:1">
      <c r="A12668" s="27">
        <v>6</v>
      </c>
    </row>
    <row r="12669" spans="1:1">
      <c r="A12669" s="27">
        <v>20</v>
      </c>
    </row>
    <row r="12670" spans="1:1">
      <c r="A12670" s="27">
        <v>26</v>
      </c>
    </row>
    <row r="12671" spans="1:1">
      <c r="A12671" s="27">
        <v>-5</v>
      </c>
    </row>
    <row r="12672" spans="1:1">
      <c r="A12672" s="27">
        <v>50</v>
      </c>
    </row>
    <row r="12673" spans="1:1">
      <c r="A12673" s="27">
        <v>0.17</v>
      </c>
    </row>
    <row r="12674" spans="1:1">
      <c r="A12674" s="27">
        <v>0</v>
      </c>
    </row>
    <row r="12675" spans="1:1">
      <c r="A12675" s="27">
        <v>0</v>
      </c>
    </row>
    <row r="12676" spans="1:1">
      <c r="A12676" s="27">
        <v>0</v>
      </c>
    </row>
    <row r="12677" spans="1:1">
      <c r="A12677" s="27">
        <v>2</v>
      </c>
    </row>
    <row r="12678" spans="1:1">
      <c r="A12678" s="27">
        <v>0</v>
      </c>
    </row>
    <row r="12679" spans="1:1">
      <c r="A12679" s="27">
        <v>0</v>
      </c>
    </row>
    <row r="12680" spans="1:1">
      <c r="A12680" s="27">
        <v>144</v>
      </c>
    </row>
    <row r="12681" spans="1:1">
      <c r="A12681" s="27">
        <v>4.2</v>
      </c>
    </row>
    <row r="12682" spans="1:1">
      <c r="A12682" s="29">
        <v>0.65625</v>
      </c>
    </row>
    <row r="12683" spans="1:1">
      <c r="A12683" s="27">
        <v>21.1</v>
      </c>
    </row>
    <row r="12684" spans="1:1">
      <c r="A12684" s="28">
        <v>0</v>
      </c>
    </row>
    <row r="12685" spans="1:1">
      <c r="A12685" s="25">
        <v>605</v>
      </c>
    </row>
    <row r="12686" spans="1:1" ht="30">
      <c r="A12686" s="26" t="s">
        <v>1112</v>
      </c>
    </row>
    <row r="12687" spans="1:1">
      <c r="A12687" s="27" t="s">
        <v>42</v>
      </c>
    </row>
    <row r="12688" spans="1:1">
      <c r="A12688" s="27">
        <v>160</v>
      </c>
    </row>
    <row r="12689" spans="1:1">
      <c r="A12689" s="27">
        <v>5</v>
      </c>
    </row>
    <row r="12690" spans="1:1">
      <c r="A12690" s="27">
        <v>21</v>
      </c>
    </row>
    <row r="12691" spans="1:1">
      <c r="A12691" s="27">
        <v>26</v>
      </c>
    </row>
    <row r="12692" spans="1:1">
      <c r="A12692" s="27">
        <v>-2</v>
      </c>
    </row>
    <row r="12693" spans="1:1">
      <c r="A12693" s="27">
        <v>76</v>
      </c>
    </row>
    <row r="12694" spans="1:1">
      <c r="A12694" s="27">
        <v>0.16</v>
      </c>
    </row>
    <row r="12695" spans="1:1">
      <c r="A12695" s="27">
        <v>0</v>
      </c>
    </row>
    <row r="12696" spans="1:1">
      <c r="A12696" s="27">
        <v>0</v>
      </c>
    </row>
    <row r="12697" spans="1:1">
      <c r="A12697" s="27">
        <v>0</v>
      </c>
    </row>
    <row r="12698" spans="1:1">
      <c r="A12698" s="27">
        <v>0</v>
      </c>
    </row>
    <row r="12699" spans="1:1">
      <c r="A12699" s="27">
        <v>0</v>
      </c>
    </row>
    <row r="12700" spans="1:1">
      <c r="A12700" s="27">
        <v>0</v>
      </c>
    </row>
    <row r="12701" spans="1:1">
      <c r="A12701" s="27">
        <v>213</v>
      </c>
    </row>
    <row r="12702" spans="1:1">
      <c r="A12702" s="27">
        <v>2.2999999999999998</v>
      </c>
    </row>
    <row r="12703" spans="1:1">
      <c r="A12703" s="29">
        <v>0.68125000000000002</v>
      </c>
    </row>
    <row r="12704" spans="1:1">
      <c r="A12704" s="27">
        <v>21.3</v>
      </c>
    </row>
    <row r="12705" spans="1:1">
      <c r="A12705" s="28">
        <v>0</v>
      </c>
    </row>
    <row r="12706" spans="1:1">
      <c r="A12706" s="25">
        <v>606</v>
      </c>
    </row>
    <row r="12707" spans="1:1" ht="30">
      <c r="A12707" s="26" t="s">
        <v>503</v>
      </c>
    </row>
    <row r="12708" spans="1:1">
      <c r="A12708" s="27" t="s">
        <v>42</v>
      </c>
    </row>
    <row r="12709" spans="1:1">
      <c r="A12709" s="27">
        <v>33</v>
      </c>
    </row>
    <row r="12710" spans="1:1">
      <c r="A12710" s="27">
        <v>2</v>
      </c>
    </row>
    <row r="12711" spans="1:1">
      <c r="A12711" s="27">
        <v>24</v>
      </c>
    </row>
    <row r="12712" spans="1:1">
      <c r="A12712" s="27">
        <v>26</v>
      </c>
    </row>
    <row r="12713" spans="1:1">
      <c r="A12713" s="27">
        <v>0</v>
      </c>
    </row>
    <row r="12714" spans="1:1">
      <c r="A12714" s="27">
        <v>6</v>
      </c>
    </row>
    <row r="12715" spans="1:1">
      <c r="A12715" s="27">
        <v>0.79</v>
      </c>
    </row>
    <row r="12716" spans="1:1">
      <c r="A12716" s="27">
        <v>1</v>
      </c>
    </row>
    <row r="12717" spans="1:1">
      <c r="A12717" s="27">
        <v>15</v>
      </c>
    </row>
    <row r="12718" spans="1:1">
      <c r="A12718" s="27">
        <v>0</v>
      </c>
    </row>
    <row r="12719" spans="1:1">
      <c r="A12719" s="27">
        <v>0</v>
      </c>
    </row>
    <row r="12720" spans="1:1">
      <c r="A12720" s="27">
        <v>0</v>
      </c>
    </row>
    <row r="12721" spans="1:1">
      <c r="A12721" s="27">
        <v>0</v>
      </c>
    </row>
    <row r="12722" spans="1:1">
      <c r="A12722" s="27">
        <v>51</v>
      </c>
    </row>
    <row r="12723" spans="1:1">
      <c r="A12723" s="27">
        <v>3.9</v>
      </c>
    </row>
    <row r="12724" spans="1:1">
      <c r="A12724" s="29">
        <v>0.83750000000000002</v>
      </c>
    </row>
    <row r="12725" spans="1:1">
      <c r="A12725" s="27">
        <v>23.1</v>
      </c>
    </row>
    <row r="12726" spans="1:1">
      <c r="A12726" s="28">
        <v>0</v>
      </c>
    </row>
    <row r="12727" spans="1:1">
      <c r="A12727" s="25">
        <v>607</v>
      </c>
    </row>
    <row r="12728" spans="1:1" ht="30">
      <c r="A12728" s="26" t="s">
        <v>713</v>
      </c>
    </row>
    <row r="12729" spans="1:1">
      <c r="A12729" s="27" t="s">
        <v>653</v>
      </c>
    </row>
    <row r="12730" spans="1:1">
      <c r="A12730" s="27">
        <v>165</v>
      </c>
    </row>
    <row r="12731" spans="1:1">
      <c r="A12731" s="27">
        <v>13</v>
      </c>
    </row>
    <row r="12732" spans="1:1">
      <c r="A12732" s="27">
        <v>12</v>
      </c>
    </row>
    <row r="12733" spans="1:1">
      <c r="A12733" s="27">
        <v>25</v>
      </c>
    </row>
    <row r="12734" spans="1:1">
      <c r="A12734" s="27">
        <v>-6</v>
      </c>
    </row>
    <row r="12735" spans="1:1">
      <c r="A12735" s="27">
        <v>214</v>
      </c>
    </row>
    <row r="12736" spans="1:1">
      <c r="A12736" s="27">
        <v>0.15</v>
      </c>
    </row>
    <row r="12737" spans="1:1">
      <c r="A12737" s="27">
        <v>0</v>
      </c>
    </row>
    <row r="12738" spans="1:1">
      <c r="A12738" s="27">
        <v>0</v>
      </c>
    </row>
    <row r="12739" spans="1:1">
      <c r="A12739" s="27">
        <v>0</v>
      </c>
    </row>
    <row r="12740" spans="1:1">
      <c r="A12740" s="27">
        <v>0</v>
      </c>
    </row>
    <row r="12741" spans="1:1">
      <c r="A12741" s="27">
        <v>4</v>
      </c>
    </row>
    <row r="12742" spans="1:1">
      <c r="A12742" s="27">
        <v>0</v>
      </c>
    </row>
    <row r="12743" spans="1:1">
      <c r="A12743" s="27">
        <v>153</v>
      </c>
    </row>
    <row r="12744" spans="1:1">
      <c r="A12744" s="27">
        <v>8.5</v>
      </c>
    </row>
    <row r="12745" spans="1:1">
      <c r="A12745" s="29">
        <v>0.38819444444444445</v>
      </c>
    </row>
    <row r="12746" spans="1:1">
      <c r="A12746" s="27">
        <v>13.4</v>
      </c>
    </row>
    <row r="12747" spans="1:1">
      <c r="A12747" s="28">
        <v>51</v>
      </c>
    </row>
    <row r="12748" spans="1:1">
      <c r="A12748" s="25">
        <v>608</v>
      </c>
    </row>
    <row r="12749" spans="1:1" ht="30">
      <c r="A12749" s="26" t="s">
        <v>803</v>
      </c>
    </row>
    <row r="12750" spans="1:1">
      <c r="A12750" s="27" t="s">
        <v>653</v>
      </c>
    </row>
    <row r="12751" spans="1:1">
      <c r="A12751" s="27">
        <v>141</v>
      </c>
    </row>
    <row r="12752" spans="1:1">
      <c r="A12752" s="27">
        <v>12</v>
      </c>
    </row>
    <row r="12753" spans="1:1">
      <c r="A12753" s="27">
        <v>13</v>
      </c>
    </row>
    <row r="12754" spans="1:1">
      <c r="A12754" s="27">
        <v>25</v>
      </c>
    </row>
    <row r="12755" spans="1:1">
      <c r="A12755" s="27">
        <v>-30</v>
      </c>
    </row>
    <row r="12756" spans="1:1">
      <c r="A12756" s="27">
        <v>36</v>
      </c>
    </row>
    <row r="12757" spans="1:1">
      <c r="A12757" s="27">
        <v>0.18</v>
      </c>
    </row>
    <row r="12758" spans="1:1">
      <c r="A12758" s="27">
        <v>1</v>
      </c>
    </row>
    <row r="12759" spans="1:1">
      <c r="A12759" s="27">
        <v>1</v>
      </c>
    </row>
    <row r="12760" spans="1:1">
      <c r="A12760" s="27">
        <v>0</v>
      </c>
    </row>
    <row r="12761" spans="1:1">
      <c r="A12761" s="27">
        <v>0</v>
      </c>
    </row>
    <row r="12762" spans="1:1">
      <c r="A12762" s="27">
        <v>1</v>
      </c>
    </row>
    <row r="12763" spans="1:1">
      <c r="A12763" s="27">
        <v>0</v>
      </c>
    </row>
    <row r="12764" spans="1:1">
      <c r="A12764" s="27">
        <v>165</v>
      </c>
    </row>
    <row r="12765" spans="1:1">
      <c r="A12765" s="27">
        <v>7.3</v>
      </c>
    </row>
    <row r="12766" spans="1:1">
      <c r="A12766" s="29">
        <v>0.34791666666666665</v>
      </c>
    </row>
    <row r="12767" spans="1:1">
      <c r="A12767" s="27">
        <v>13</v>
      </c>
    </row>
    <row r="12768" spans="1:1">
      <c r="A12768" s="28">
        <v>45.4</v>
      </c>
    </row>
    <row r="12769" spans="1:1">
      <c r="A12769" s="25">
        <v>609</v>
      </c>
    </row>
    <row r="12770" spans="1:1" ht="45">
      <c r="A12770" s="26" t="s">
        <v>502</v>
      </c>
    </row>
    <row r="12771" spans="1:1">
      <c r="A12771" s="27" t="s">
        <v>653</v>
      </c>
    </row>
    <row r="12772" spans="1:1">
      <c r="A12772" s="27">
        <v>80</v>
      </c>
    </row>
    <row r="12773" spans="1:1">
      <c r="A12773" s="27">
        <v>11</v>
      </c>
    </row>
    <row r="12774" spans="1:1">
      <c r="A12774" s="27">
        <v>14</v>
      </c>
    </row>
    <row r="12775" spans="1:1">
      <c r="A12775" s="27">
        <v>25</v>
      </c>
    </row>
    <row r="12776" spans="1:1">
      <c r="A12776" s="27">
        <v>-5</v>
      </c>
    </row>
    <row r="12777" spans="1:1">
      <c r="A12777" s="27">
        <v>24</v>
      </c>
    </row>
    <row r="12778" spans="1:1">
      <c r="A12778" s="27">
        <v>0.31</v>
      </c>
    </row>
    <row r="12779" spans="1:1">
      <c r="A12779" s="27">
        <v>3</v>
      </c>
    </row>
    <row r="12780" spans="1:1">
      <c r="A12780" s="27">
        <v>8</v>
      </c>
    </row>
    <row r="12781" spans="1:1">
      <c r="A12781" s="27">
        <v>0</v>
      </c>
    </row>
    <row r="12782" spans="1:1">
      <c r="A12782" s="27">
        <v>0</v>
      </c>
    </row>
    <row r="12783" spans="1:1">
      <c r="A12783" s="27">
        <v>1</v>
      </c>
    </row>
    <row r="12784" spans="1:1">
      <c r="A12784" s="27">
        <v>0</v>
      </c>
    </row>
    <row r="12785" spans="1:1">
      <c r="A12785" s="27">
        <v>89</v>
      </c>
    </row>
    <row r="12786" spans="1:1">
      <c r="A12786" s="27">
        <v>12.3</v>
      </c>
    </row>
    <row r="12787" spans="1:1">
      <c r="A12787" s="29">
        <v>0.47638888888888892</v>
      </c>
    </row>
    <row r="12788" spans="1:1">
      <c r="A12788" s="27">
        <v>17</v>
      </c>
    </row>
    <row r="12789" spans="1:1">
      <c r="A12789" s="28">
        <v>38.4</v>
      </c>
    </row>
    <row r="12790" spans="1:1">
      <c r="A12790" s="25">
        <v>610</v>
      </c>
    </row>
    <row r="12791" spans="1:1" ht="30">
      <c r="A12791" s="26" t="s">
        <v>545</v>
      </c>
    </row>
    <row r="12792" spans="1:1">
      <c r="A12792" s="27" t="s">
        <v>42</v>
      </c>
    </row>
    <row r="12793" spans="1:1">
      <c r="A12793" s="27">
        <v>84</v>
      </c>
    </row>
    <row r="12794" spans="1:1">
      <c r="A12794" s="27">
        <v>5</v>
      </c>
    </row>
    <row r="12795" spans="1:1">
      <c r="A12795" s="27">
        <v>20</v>
      </c>
    </row>
    <row r="12796" spans="1:1">
      <c r="A12796" s="27">
        <v>25</v>
      </c>
    </row>
    <row r="12797" spans="1:1">
      <c r="A12797" s="27">
        <v>8</v>
      </c>
    </row>
    <row r="12798" spans="1:1">
      <c r="A12798" s="27">
        <v>18</v>
      </c>
    </row>
    <row r="12799" spans="1:1">
      <c r="A12799" s="27">
        <v>0.3</v>
      </c>
    </row>
    <row r="12800" spans="1:1">
      <c r="A12800" s="27">
        <v>3</v>
      </c>
    </row>
    <row r="12801" spans="1:1">
      <c r="A12801" s="27">
        <v>8</v>
      </c>
    </row>
    <row r="12802" spans="1:1">
      <c r="A12802" s="27">
        <v>0</v>
      </c>
    </row>
    <row r="12803" spans="1:1">
      <c r="A12803" s="27">
        <v>0</v>
      </c>
    </row>
    <row r="12804" spans="1:1">
      <c r="A12804" s="27">
        <v>2</v>
      </c>
    </row>
    <row r="12805" spans="1:1">
      <c r="A12805" s="27">
        <v>0</v>
      </c>
    </row>
    <row r="12806" spans="1:1">
      <c r="A12806" s="27">
        <v>113</v>
      </c>
    </row>
    <row r="12807" spans="1:1">
      <c r="A12807" s="27">
        <v>4.4000000000000004</v>
      </c>
    </row>
    <row r="12808" spans="1:1">
      <c r="A12808" s="29">
        <v>0.59097222222222223</v>
      </c>
    </row>
    <row r="12809" spans="1:1">
      <c r="A12809" s="27">
        <v>17.8</v>
      </c>
    </row>
    <row r="12810" spans="1:1">
      <c r="A12810" s="28">
        <v>0</v>
      </c>
    </row>
    <row r="12811" spans="1:1">
      <c r="A12811" s="25">
        <v>611</v>
      </c>
    </row>
    <row r="12812" spans="1:1" ht="30">
      <c r="A12812" s="26" t="s">
        <v>52</v>
      </c>
    </row>
    <row r="12813" spans="1:1">
      <c r="A12813" s="27" t="s">
        <v>653</v>
      </c>
    </row>
    <row r="12814" spans="1:1">
      <c r="A12814" s="27">
        <v>136</v>
      </c>
    </row>
    <row r="12815" spans="1:1">
      <c r="A12815" s="27">
        <v>8</v>
      </c>
    </row>
    <row r="12816" spans="1:1">
      <c r="A12816" s="27">
        <v>16</v>
      </c>
    </row>
    <row r="12817" spans="1:1">
      <c r="A12817" s="27">
        <v>24</v>
      </c>
    </row>
    <row r="12818" spans="1:1">
      <c r="A12818" s="27">
        <v>-6</v>
      </c>
    </row>
    <row r="12819" spans="1:1">
      <c r="A12819" s="27">
        <v>45</v>
      </c>
    </row>
    <row r="12820" spans="1:1">
      <c r="A12820" s="27">
        <v>0.18</v>
      </c>
    </row>
    <row r="12821" spans="1:1">
      <c r="A12821" s="27">
        <v>0</v>
      </c>
    </row>
    <row r="12822" spans="1:1">
      <c r="A12822" s="27">
        <v>0</v>
      </c>
    </row>
    <row r="12823" spans="1:1">
      <c r="A12823" s="27">
        <v>0</v>
      </c>
    </row>
    <row r="12824" spans="1:1">
      <c r="A12824" s="27">
        <v>1</v>
      </c>
    </row>
    <row r="12825" spans="1:1">
      <c r="A12825" s="27">
        <v>0</v>
      </c>
    </row>
    <row r="12826" spans="1:1">
      <c r="A12826" s="27">
        <v>0</v>
      </c>
    </row>
    <row r="12827" spans="1:1">
      <c r="A12827" s="27">
        <v>98</v>
      </c>
    </row>
    <row r="12828" spans="1:1">
      <c r="A12828" s="27">
        <v>8.1999999999999993</v>
      </c>
    </row>
    <row r="12829" spans="1:1">
      <c r="A12829" s="29">
        <v>0.38819444444444445</v>
      </c>
    </row>
    <row r="12830" spans="1:1">
      <c r="A12830" s="27">
        <v>14.5</v>
      </c>
    </row>
    <row r="12831" spans="1:1">
      <c r="A12831" s="28">
        <v>53</v>
      </c>
    </row>
    <row r="12832" spans="1:1">
      <c r="A12832" s="25">
        <v>612</v>
      </c>
    </row>
    <row r="12833" spans="1:1" ht="30">
      <c r="A12833" s="26" t="s">
        <v>923</v>
      </c>
    </row>
    <row r="12834" spans="1:1">
      <c r="A12834" s="27" t="s">
        <v>43</v>
      </c>
    </row>
    <row r="12835" spans="1:1">
      <c r="A12835" s="27">
        <v>53</v>
      </c>
    </row>
    <row r="12836" spans="1:1">
      <c r="A12836" s="27">
        <v>7</v>
      </c>
    </row>
    <row r="12837" spans="1:1">
      <c r="A12837" s="27">
        <v>17</v>
      </c>
    </row>
    <row r="12838" spans="1:1">
      <c r="A12838" s="27">
        <v>24</v>
      </c>
    </row>
    <row r="12839" spans="1:1">
      <c r="A12839" s="27">
        <v>-4</v>
      </c>
    </row>
    <row r="12840" spans="1:1">
      <c r="A12840" s="27">
        <v>20</v>
      </c>
    </row>
    <row r="12841" spans="1:1">
      <c r="A12841" s="27">
        <v>0.45</v>
      </c>
    </row>
    <row r="12842" spans="1:1">
      <c r="A12842" s="27">
        <v>1</v>
      </c>
    </row>
    <row r="12843" spans="1:1">
      <c r="A12843" s="27">
        <v>3</v>
      </c>
    </row>
    <row r="12844" spans="1:1">
      <c r="A12844" s="27">
        <v>0</v>
      </c>
    </row>
    <row r="12845" spans="1:1">
      <c r="A12845" s="27">
        <v>0</v>
      </c>
    </row>
    <row r="12846" spans="1:1">
      <c r="A12846" s="27">
        <v>0</v>
      </c>
    </row>
    <row r="12847" spans="1:1">
      <c r="A12847" s="27">
        <v>0</v>
      </c>
    </row>
    <row r="12848" spans="1:1">
      <c r="A12848" s="27">
        <v>50</v>
      </c>
    </row>
    <row r="12849" spans="1:1">
      <c r="A12849" s="27">
        <v>14</v>
      </c>
    </row>
    <row r="12850" spans="1:1">
      <c r="A12850" s="29">
        <v>0.63263888888888886</v>
      </c>
    </row>
    <row r="12851" spans="1:1">
      <c r="A12851" s="27">
        <v>17.899999999999999</v>
      </c>
    </row>
    <row r="12852" spans="1:1">
      <c r="A12852" s="28">
        <v>25</v>
      </c>
    </row>
    <row r="12853" spans="1:1">
      <c r="A12853" s="25">
        <v>613</v>
      </c>
    </row>
    <row r="12854" spans="1:1" ht="30">
      <c r="A12854" s="26" t="s">
        <v>564</v>
      </c>
    </row>
    <row r="12855" spans="1:1">
      <c r="A12855" s="27" t="s">
        <v>42</v>
      </c>
    </row>
    <row r="12856" spans="1:1">
      <c r="A12856" s="27">
        <v>181</v>
      </c>
    </row>
    <row r="12857" spans="1:1">
      <c r="A12857" s="27">
        <v>5</v>
      </c>
    </row>
    <row r="12858" spans="1:1">
      <c r="A12858" s="27">
        <v>19</v>
      </c>
    </row>
    <row r="12859" spans="1:1">
      <c r="A12859" s="27">
        <v>24</v>
      </c>
    </row>
    <row r="12860" spans="1:1">
      <c r="A12860" s="27">
        <v>-13</v>
      </c>
    </row>
    <row r="12861" spans="1:1">
      <c r="A12861" s="27">
        <v>127</v>
      </c>
    </row>
    <row r="12862" spans="1:1">
      <c r="A12862" s="27">
        <v>0.13</v>
      </c>
    </row>
    <row r="12863" spans="1:1">
      <c r="A12863" s="27">
        <v>0</v>
      </c>
    </row>
    <row r="12864" spans="1:1">
      <c r="A12864" s="27">
        <v>0</v>
      </c>
    </row>
    <row r="12865" spans="1:1">
      <c r="A12865" s="27">
        <v>0</v>
      </c>
    </row>
    <row r="12866" spans="1:1">
      <c r="A12866" s="27">
        <v>1</v>
      </c>
    </row>
    <row r="12867" spans="1:1">
      <c r="A12867" s="27">
        <v>1</v>
      </c>
    </row>
    <row r="12868" spans="1:1">
      <c r="A12868" s="27">
        <v>0</v>
      </c>
    </row>
    <row r="12869" spans="1:1">
      <c r="A12869" s="27">
        <v>127</v>
      </c>
    </row>
    <row r="12870" spans="1:1">
      <c r="A12870" s="27">
        <v>3.9</v>
      </c>
    </row>
    <row r="12871" spans="1:1">
      <c r="A12871" s="29">
        <v>0.65277777777777779</v>
      </c>
    </row>
    <row r="12872" spans="1:1">
      <c r="A12872" s="27">
        <v>21.5</v>
      </c>
    </row>
    <row r="12873" spans="1:1">
      <c r="A12873" s="28">
        <v>0</v>
      </c>
    </row>
    <row r="12874" spans="1:1">
      <c r="A12874" s="25">
        <v>614</v>
      </c>
    </row>
    <row r="12875" spans="1:1" ht="45">
      <c r="A12875" s="26" t="s">
        <v>1081</v>
      </c>
    </row>
    <row r="12876" spans="1:1">
      <c r="A12876" s="27" t="s">
        <v>42</v>
      </c>
    </row>
    <row r="12877" spans="1:1">
      <c r="A12877" s="27">
        <v>90</v>
      </c>
    </row>
    <row r="12878" spans="1:1">
      <c r="A12878" s="27">
        <v>4</v>
      </c>
    </row>
    <row r="12879" spans="1:1">
      <c r="A12879" s="27">
        <v>20</v>
      </c>
    </row>
    <row r="12880" spans="1:1">
      <c r="A12880" s="27">
        <v>24</v>
      </c>
    </row>
    <row r="12881" spans="1:1">
      <c r="A12881" s="27">
        <v>11</v>
      </c>
    </row>
    <row r="12882" spans="1:1">
      <c r="A12882" s="27">
        <v>49</v>
      </c>
    </row>
    <row r="12883" spans="1:1">
      <c r="A12883" s="27">
        <v>0.27</v>
      </c>
    </row>
    <row r="12884" spans="1:1">
      <c r="A12884" s="27">
        <v>2</v>
      </c>
    </row>
    <row r="12885" spans="1:1">
      <c r="A12885" s="27">
        <v>5</v>
      </c>
    </row>
    <row r="12886" spans="1:1">
      <c r="A12886" s="27">
        <v>0</v>
      </c>
    </row>
    <row r="12887" spans="1:1">
      <c r="A12887" s="27">
        <v>0</v>
      </c>
    </row>
    <row r="12888" spans="1:1">
      <c r="A12888" s="27">
        <v>0</v>
      </c>
    </row>
    <row r="12889" spans="1:1">
      <c r="A12889" s="27">
        <v>0</v>
      </c>
    </row>
    <row r="12890" spans="1:1">
      <c r="A12890" s="27">
        <v>105</v>
      </c>
    </row>
    <row r="12891" spans="1:1">
      <c r="A12891" s="27">
        <v>3.8</v>
      </c>
    </row>
    <row r="12892" spans="1:1">
      <c r="A12892" s="29">
        <v>0.64374999999999993</v>
      </c>
    </row>
    <row r="12893" spans="1:1">
      <c r="A12893" s="27">
        <v>20.9</v>
      </c>
    </row>
    <row r="12894" spans="1:1">
      <c r="A12894" s="28">
        <v>0</v>
      </c>
    </row>
    <row r="12895" spans="1:1">
      <c r="A12895" s="25">
        <v>615</v>
      </c>
    </row>
    <row r="12896" spans="1:1" ht="30">
      <c r="A12896" s="26" t="s">
        <v>1073</v>
      </c>
    </row>
    <row r="12897" spans="1:1">
      <c r="A12897" s="27" t="s">
        <v>42</v>
      </c>
    </row>
    <row r="12898" spans="1:1">
      <c r="A12898" s="27">
        <v>108</v>
      </c>
    </row>
    <row r="12899" spans="1:1">
      <c r="A12899" s="27">
        <v>4</v>
      </c>
    </row>
    <row r="12900" spans="1:1">
      <c r="A12900" s="27">
        <v>20</v>
      </c>
    </row>
    <row r="12901" spans="1:1">
      <c r="A12901" s="27">
        <v>24</v>
      </c>
    </row>
    <row r="12902" spans="1:1">
      <c r="A12902" s="27">
        <v>22</v>
      </c>
    </row>
    <row r="12903" spans="1:1">
      <c r="A12903" s="27">
        <v>14</v>
      </c>
    </row>
    <row r="12904" spans="1:1">
      <c r="A12904" s="27">
        <v>0.22</v>
      </c>
    </row>
    <row r="12905" spans="1:1">
      <c r="A12905" s="27">
        <v>0</v>
      </c>
    </row>
    <row r="12906" spans="1:1">
      <c r="A12906" s="27">
        <v>0</v>
      </c>
    </row>
    <row r="12907" spans="1:1">
      <c r="A12907" s="27">
        <v>0</v>
      </c>
    </row>
    <row r="12908" spans="1:1">
      <c r="A12908" s="27">
        <v>0</v>
      </c>
    </row>
    <row r="12909" spans="1:1">
      <c r="A12909" s="27">
        <v>0</v>
      </c>
    </row>
    <row r="12910" spans="1:1">
      <c r="A12910" s="27">
        <v>0</v>
      </c>
    </row>
    <row r="12911" spans="1:1">
      <c r="A12911" s="27">
        <v>93</v>
      </c>
    </row>
    <row r="12912" spans="1:1">
      <c r="A12912" s="27">
        <v>4.3</v>
      </c>
    </row>
    <row r="12913" spans="1:1">
      <c r="A12913" s="29">
        <v>0.57638888888888895</v>
      </c>
    </row>
    <row r="12914" spans="1:1">
      <c r="A12914" s="27">
        <v>18</v>
      </c>
    </row>
    <row r="12915" spans="1:1">
      <c r="A12915" s="28">
        <v>0</v>
      </c>
    </row>
    <row r="12916" spans="1:1">
      <c r="A12916" s="25">
        <v>616</v>
      </c>
    </row>
    <row r="12917" spans="1:1" ht="45">
      <c r="A12917" s="26" t="s">
        <v>860</v>
      </c>
    </row>
    <row r="12918" spans="1:1">
      <c r="A12918" s="27" t="s">
        <v>44</v>
      </c>
    </row>
    <row r="12919" spans="1:1">
      <c r="A12919" s="27">
        <v>99</v>
      </c>
    </row>
    <row r="12920" spans="1:1">
      <c r="A12920" s="27">
        <v>10</v>
      </c>
    </row>
    <row r="12921" spans="1:1">
      <c r="A12921" s="27">
        <v>13</v>
      </c>
    </row>
    <row r="12922" spans="1:1">
      <c r="A12922" s="27">
        <v>23</v>
      </c>
    </row>
    <row r="12923" spans="1:1">
      <c r="A12923" s="27">
        <v>-1</v>
      </c>
    </row>
    <row r="12924" spans="1:1">
      <c r="A12924" s="27">
        <v>131</v>
      </c>
    </row>
    <row r="12925" spans="1:1">
      <c r="A12925" s="27">
        <v>0.23</v>
      </c>
    </row>
    <row r="12926" spans="1:1">
      <c r="A12926" s="27">
        <v>0</v>
      </c>
    </row>
    <row r="12927" spans="1:1">
      <c r="A12927" s="27">
        <v>0</v>
      </c>
    </row>
    <row r="12928" spans="1:1">
      <c r="A12928" s="27">
        <v>0</v>
      </c>
    </row>
    <row r="12929" spans="1:1">
      <c r="A12929" s="27">
        <v>0</v>
      </c>
    </row>
    <row r="12930" spans="1:1">
      <c r="A12930" s="27">
        <v>3</v>
      </c>
    </row>
    <row r="12931" spans="1:1">
      <c r="A12931" s="27">
        <v>0</v>
      </c>
    </row>
    <row r="12932" spans="1:1">
      <c r="A12932" s="27">
        <v>121</v>
      </c>
    </row>
    <row r="12933" spans="1:1">
      <c r="A12933" s="27">
        <v>8.3000000000000007</v>
      </c>
    </row>
    <row r="12934" spans="1:1">
      <c r="A12934" s="29">
        <v>0.45208333333333334</v>
      </c>
    </row>
    <row r="12935" spans="1:1">
      <c r="A12935" s="27">
        <v>16.2</v>
      </c>
    </row>
    <row r="12936" spans="1:1">
      <c r="A12936" s="28">
        <v>40</v>
      </c>
    </row>
    <row r="12937" spans="1:1">
      <c r="A12937" s="25">
        <v>617</v>
      </c>
    </row>
    <row r="12938" spans="1:1" ht="45">
      <c r="A12938" s="26" t="s">
        <v>153</v>
      </c>
    </row>
    <row r="12939" spans="1:1">
      <c r="A12939" s="27" t="s">
        <v>42</v>
      </c>
    </row>
    <row r="12940" spans="1:1">
      <c r="A12940" s="27">
        <v>79</v>
      </c>
    </row>
    <row r="12941" spans="1:1">
      <c r="A12941" s="27">
        <v>9</v>
      </c>
    </row>
    <row r="12942" spans="1:1">
      <c r="A12942" s="27">
        <v>14</v>
      </c>
    </row>
    <row r="12943" spans="1:1">
      <c r="A12943" s="27">
        <v>23</v>
      </c>
    </row>
    <row r="12944" spans="1:1">
      <c r="A12944" s="27">
        <v>-39</v>
      </c>
    </row>
    <row r="12945" spans="1:1">
      <c r="A12945" s="27">
        <v>20</v>
      </c>
    </row>
    <row r="12946" spans="1:1">
      <c r="A12946" s="27">
        <v>0.28999999999999998</v>
      </c>
    </row>
    <row r="12947" spans="1:1">
      <c r="A12947" s="27">
        <v>5</v>
      </c>
    </row>
    <row r="12948" spans="1:1">
      <c r="A12948" s="27">
        <v>13</v>
      </c>
    </row>
    <row r="12949" spans="1:1">
      <c r="A12949" s="27">
        <v>0</v>
      </c>
    </row>
    <row r="12950" spans="1:1">
      <c r="A12950" s="27">
        <v>0</v>
      </c>
    </row>
    <row r="12951" spans="1:1">
      <c r="A12951" s="27">
        <v>2</v>
      </c>
    </row>
    <row r="12952" spans="1:1">
      <c r="A12952" s="27">
        <v>1</v>
      </c>
    </row>
    <row r="12953" spans="1:1">
      <c r="A12953" s="27">
        <v>113</v>
      </c>
    </row>
    <row r="12954" spans="1:1">
      <c r="A12954" s="27">
        <v>8</v>
      </c>
    </row>
    <row r="12955" spans="1:1">
      <c r="A12955" s="29">
        <v>0.77777777777777779</v>
      </c>
    </row>
    <row r="12956" spans="1:1">
      <c r="A12956" s="27">
        <v>23.2</v>
      </c>
    </row>
    <row r="12957" spans="1:1">
      <c r="A12957" s="28">
        <v>100</v>
      </c>
    </row>
    <row r="12958" spans="1:1">
      <c r="A12958" s="25">
        <v>618</v>
      </c>
    </row>
    <row r="12959" spans="1:1" ht="45">
      <c r="A12959" s="26" t="s">
        <v>790</v>
      </c>
    </row>
    <row r="12960" spans="1:1">
      <c r="A12960" s="27" t="s">
        <v>44</v>
      </c>
    </row>
    <row r="12961" spans="1:1">
      <c r="A12961" s="27">
        <v>152</v>
      </c>
    </row>
    <row r="12962" spans="1:1">
      <c r="A12962" s="27">
        <v>9</v>
      </c>
    </row>
    <row r="12963" spans="1:1">
      <c r="A12963" s="27">
        <v>14</v>
      </c>
    </row>
    <row r="12964" spans="1:1">
      <c r="A12964" s="27">
        <v>23</v>
      </c>
    </row>
    <row r="12965" spans="1:1">
      <c r="A12965" s="27">
        <v>-24</v>
      </c>
    </row>
    <row r="12966" spans="1:1">
      <c r="A12966" s="27">
        <v>110</v>
      </c>
    </row>
    <row r="12967" spans="1:1">
      <c r="A12967" s="27">
        <v>0.15</v>
      </c>
    </row>
    <row r="12968" spans="1:1">
      <c r="A12968" s="27">
        <v>0</v>
      </c>
    </row>
    <row r="12969" spans="1:1">
      <c r="A12969" s="27">
        <v>0</v>
      </c>
    </row>
    <row r="12970" spans="1:1">
      <c r="A12970" s="27">
        <v>0</v>
      </c>
    </row>
    <row r="12971" spans="1:1">
      <c r="A12971" s="27">
        <v>1</v>
      </c>
    </row>
    <row r="12972" spans="1:1">
      <c r="A12972" s="27">
        <v>1</v>
      </c>
    </row>
    <row r="12973" spans="1:1">
      <c r="A12973" s="27">
        <v>0</v>
      </c>
    </row>
    <row r="12974" spans="1:1">
      <c r="A12974" s="27">
        <v>160</v>
      </c>
    </row>
    <row r="12975" spans="1:1">
      <c r="A12975" s="27">
        <v>5.6</v>
      </c>
    </row>
    <row r="12976" spans="1:1">
      <c r="A12976" s="29">
        <v>0.42499999999999999</v>
      </c>
    </row>
    <row r="12977" spans="1:1">
      <c r="A12977" s="27">
        <v>14.7</v>
      </c>
    </row>
    <row r="12978" spans="1:1">
      <c r="A12978" s="28">
        <v>46.7</v>
      </c>
    </row>
    <row r="12979" spans="1:1">
      <c r="A12979" s="25">
        <v>619</v>
      </c>
    </row>
    <row r="12980" spans="1:1" ht="30">
      <c r="A12980" s="26" t="s">
        <v>1133</v>
      </c>
    </row>
    <row r="12981" spans="1:1">
      <c r="A12981" s="27" t="s">
        <v>42</v>
      </c>
    </row>
    <row r="12982" spans="1:1">
      <c r="A12982" s="27">
        <v>165</v>
      </c>
    </row>
    <row r="12983" spans="1:1">
      <c r="A12983" s="27">
        <v>9</v>
      </c>
    </row>
    <row r="12984" spans="1:1">
      <c r="A12984" s="27">
        <v>14</v>
      </c>
    </row>
    <row r="12985" spans="1:1">
      <c r="A12985" s="27">
        <v>23</v>
      </c>
    </row>
    <row r="12986" spans="1:1">
      <c r="A12986" s="27">
        <v>-20</v>
      </c>
    </row>
    <row r="12987" spans="1:1">
      <c r="A12987" s="27">
        <v>78</v>
      </c>
    </row>
    <row r="12988" spans="1:1">
      <c r="A12988" s="27">
        <v>0.14000000000000001</v>
      </c>
    </row>
    <row r="12989" spans="1:1">
      <c r="A12989" s="27">
        <v>2</v>
      </c>
    </row>
    <row r="12990" spans="1:1">
      <c r="A12990" s="27">
        <v>2</v>
      </c>
    </row>
    <row r="12991" spans="1:1">
      <c r="A12991" s="27">
        <v>0</v>
      </c>
    </row>
    <row r="12992" spans="1:1">
      <c r="A12992" s="27">
        <v>2</v>
      </c>
    </row>
    <row r="12993" spans="1:1">
      <c r="A12993" s="27">
        <v>0</v>
      </c>
    </row>
    <row r="12994" spans="1:1">
      <c r="A12994" s="27">
        <v>0</v>
      </c>
    </row>
    <row r="12995" spans="1:1">
      <c r="A12995" s="27">
        <v>190</v>
      </c>
    </row>
    <row r="12996" spans="1:1">
      <c r="A12996" s="27">
        <v>4.7</v>
      </c>
    </row>
    <row r="12997" spans="1:1">
      <c r="A12997" s="29">
        <v>0.7055555555555556</v>
      </c>
    </row>
    <row r="12998" spans="1:1">
      <c r="A12998" s="27">
        <v>23</v>
      </c>
    </row>
    <row r="12999" spans="1:1">
      <c r="A12999" s="28">
        <v>0</v>
      </c>
    </row>
    <row r="13000" spans="1:1">
      <c r="A13000" s="25">
        <v>620</v>
      </c>
    </row>
    <row r="13001" spans="1:1" ht="30">
      <c r="A13001" s="26" t="s">
        <v>290</v>
      </c>
    </row>
    <row r="13002" spans="1:1">
      <c r="A13002" s="27" t="s">
        <v>653</v>
      </c>
    </row>
    <row r="13003" spans="1:1">
      <c r="A13003" s="27">
        <v>124</v>
      </c>
    </row>
    <row r="13004" spans="1:1">
      <c r="A13004" s="27">
        <v>8</v>
      </c>
    </row>
    <row r="13005" spans="1:1">
      <c r="A13005" s="27">
        <v>15</v>
      </c>
    </row>
    <row r="13006" spans="1:1">
      <c r="A13006" s="27">
        <v>23</v>
      </c>
    </row>
    <row r="13007" spans="1:1">
      <c r="A13007" s="27">
        <v>-14</v>
      </c>
    </row>
    <row r="13008" spans="1:1">
      <c r="A13008" s="27">
        <v>87</v>
      </c>
    </row>
    <row r="13009" spans="1:1">
      <c r="A13009" s="27">
        <v>0.19</v>
      </c>
    </row>
    <row r="13010" spans="1:1">
      <c r="A13010" s="27">
        <v>0</v>
      </c>
    </row>
    <row r="13011" spans="1:1">
      <c r="A13011" s="27">
        <v>0</v>
      </c>
    </row>
    <row r="13012" spans="1:1">
      <c r="A13012" s="27">
        <v>1</v>
      </c>
    </row>
    <row r="13013" spans="1:1">
      <c r="A13013" s="27">
        <v>1</v>
      </c>
    </row>
    <row r="13014" spans="1:1">
      <c r="A13014" s="27">
        <v>0</v>
      </c>
    </row>
    <row r="13015" spans="1:1">
      <c r="A13015" s="27">
        <v>0</v>
      </c>
    </row>
    <row r="13016" spans="1:1">
      <c r="A13016" s="27">
        <v>128</v>
      </c>
    </row>
    <row r="13017" spans="1:1">
      <c r="A13017" s="27">
        <v>6.3</v>
      </c>
    </row>
    <row r="13018" spans="1:1">
      <c r="A13018" s="29">
        <v>0.42222222222222222</v>
      </c>
    </row>
    <row r="13019" spans="1:1">
      <c r="A13019" s="27">
        <v>14.7</v>
      </c>
    </row>
    <row r="13020" spans="1:1">
      <c r="A13020" s="28">
        <v>35.1</v>
      </c>
    </row>
    <row r="13021" spans="1:1">
      <c r="A13021" s="25">
        <v>621</v>
      </c>
    </row>
    <row r="13022" spans="1:1" ht="30">
      <c r="A13022" s="26" t="s">
        <v>1129</v>
      </c>
    </row>
    <row r="13023" spans="1:1">
      <c r="A13023" s="27" t="s">
        <v>42</v>
      </c>
    </row>
    <row r="13024" spans="1:1">
      <c r="A13024" s="27">
        <v>103</v>
      </c>
    </row>
    <row r="13025" spans="1:1">
      <c r="A13025" s="27">
        <v>3</v>
      </c>
    </row>
    <row r="13026" spans="1:1">
      <c r="A13026" s="27">
        <v>20</v>
      </c>
    </row>
    <row r="13027" spans="1:1">
      <c r="A13027" s="27">
        <v>23</v>
      </c>
    </row>
    <row r="13028" spans="1:1">
      <c r="A13028" s="27">
        <v>23</v>
      </c>
    </row>
    <row r="13029" spans="1:1">
      <c r="A13029" s="27">
        <v>112</v>
      </c>
    </row>
    <row r="13030" spans="1:1">
      <c r="A13030" s="27">
        <v>0.22</v>
      </c>
    </row>
    <row r="13031" spans="1:1">
      <c r="A13031" s="27">
        <v>0</v>
      </c>
    </row>
    <row r="13032" spans="1:1">
      <c r="A13032" s="27">
        <v>0</v>
      </c>
    </row>
    <row r="13033" spans="1:1">
      <c r="A13033" s="27">
        <v>0</v>
      </c>
    </row>
    <row r="13034" spans="1:1">
      <c r="A13034" s="27">
        <v>2</v>
      </c>
    </row>
    <row r="13035" spans="1:1">
      <c r="A13035" s="27">
        <v>0</v>
      </c>
    </row>
    <row r="13036" spans="1:1">
      <c r="A13036" s="27">
        <v>0</v>
      </c>
    </row>
    <row r="13037" spans="1:1">
      <c r="A13037" s="27">
        <v>105</v>
      </c>
    </row>
    <row r="13038" spans="1:1">
      <c r="A13038" s="27">
        <v>2.9</v>
      </c>
    </row>
    <row r="13039" spans="1:1">
      <c r="A13039" s="29">
        <v>0.67638888888888893</v>
      </c>
    </row>
    <row r="13040" spans="1:1">
      <c r="A13040" s="27">
        <v>20.3</v>
      </c>
    </row>
    <row r="13041" spans="1:1">
      <c r="A13041" s="28">
        <v>0</v>
      </c>
    </row>
    <row r="13042" spans="1:1">
      <c r="A13042" s="25">
        <v>622</v>
      </c>
    </row>
    <row r="13043" spans="1:1" ht="45">
      <c r="A13043" s="26" t="s">
        <v>1121</v>
      </c>
    </row>
    <row r="13044" spans="1:1">
      <c r="A13044" s="27" t="s">
        <v>42</v>
      </c>
    </row>
    <row r="13045" spans="1:1">
      <c r="A13045" s="27">
        <v>143</v>
      </c>
    </row>
    <row r="13046" spans="1:1">
      <c r="A13046" s="27">
        <v>3</v>
      </c>
    </row>
    <row r="13047" spans="1:1">
      <c r="A13047" s="27">
        <v>20</v>
      </c>
    </row>
    <row r="13048" spans="1:1">
      <c r="A13048" s="27">
        <v>23</v>
      </c>
    </row>
    <row r="13049" spans="1:1">
      <c r="A13049" s="27">
        <v>-23</v>
      </c>
    </row>
    <row r="13050" spans="1:1">
      <c r="A13050" s="27">
        <v>38</v>
      </c>
    </row>
    <row r="13051" spans="1:1">
      <c r="A13051" s="27">
        <v>0.16</v>
      </c>
    </row>
    <row r="13052" spans="1:1">
      <c r="A13052" s="27">
        <v>2</v>
      </c>
    </row>
    <row r="13053" spans="1:1">
      <c r="A13053" s="27">
        <v>3</v>
      </c>
    </row>
    <row r="13054" spans="1:1">
      <c r="A13054" s="27">
        <v>0</v>
      </c>
    </row>
    <row r="13055" spans="1:1">
      <c r="A13055" s="27">
        <v>1</v>
      </c>
    </row>
    <row r="13056" spans="1:1">
      <c r="A13056" s="27">
        <v>0</v>
      </c>
    </row>
    <row r="13057" spans="1:1">
      <c r="A13057" s="27">
        <v>0</v>
      </c>
    </row>
    <row r="13058" spans="1:1">
      <c r="A13058" s="27">
        <v>145</v>
      </c>
    </row>
    <row r="13059" spans="1:1">
      <c r="A13059" s="27">
        <v>2.1</v>
      </c>
    </row>
    <row r="13060" spans="1:1">
      <c r="A13060" s="29">
        <v>0.57847222222222217</v>
      </c>
    </row>
    <row r="13061" spans="1:1">
      <c r="A13061" s="27">
        <v>19.600000000000001</v>
      </c>
    </row>
    <row r="13062" spans="1:1">
      <c r="A13062" s="28">
        <v>0</v>
      </c>
    </row>
    <row r="13063" spans="1:1">
      <c r="A13063" s="25">
        <v>623</v>
      </c>
    </row>
    <row r="13064" spans="1:1" ht="45">
      <c r="A13064" s="26" t="s">
        <v>142</v>
      </c>
    </row>
    <row r="13065" spans="1:1">
      <c r="A13065" s="27" t="s">
        <v>42</v>
      </c>
    </row>
    <row r="13066" spans="1:1">
      <c r="A13066" s="27">
        <v>137</v>
      </c>
    </row>
    <row r="13067" spans="1:1">
      <c r="A13067" s="27">
        <v>2</v>
      </c>
    </row>
    <row r="13068" spans="1:1">
      <c r="A13068" s="27">
        <v>21</v>
      </c>
    </row>
    <row r="13069" spans="1:1">
      <c r="A13069" s="27">
        <v>23</v>
      </c>
    </row>
    <row r="13070" spans="1:1">
      <c r="A13070" s="27">
        <v>-5</v>
      </c>
    </row>
    <row r="13071" spans="1:1">
      <c r="A13071" s="27">
        <v>68</v>
      </c>
    </row>
    <row r="13072" spans="1:1">
      <c r="A13072" s="27">
        <v>0.17</v>
      </c>
    </row>
    <row r="13073" spans="1:1">
      <c r="A13073" s="27">
        <v>0</v>
      </c>
    </row>
    <row r="13074" spans="1:1">
      <c r="A13074" s="27">
        <v>0</v>
      </c>
    </row>
    <row r="13075" spans="1:1">
      <c r="A13075" s="27">
        <v>0</v>
      </c>
    </row>
    <row r="13076" spans="1:1">
      <c r="A13076" s="27">
        <v>1</v>
      </c>
    </row>
    <row r="13077" spans="1:1">
      <c r="A13077" s="27">
        <v>1</v>
      </c>
    </row>
    <row r="13078" spans="1:1">
      <c r="A13078" s="27">
        <v>0</v>
      </c>
    </row>
    <row r="13079" spans="1:1">
      <c r="A13079" s="27">
        <v>119</v>
      </c>
    </row>
    <row r="13080" spans="1:1">
      <c r="A13080" s="27">
        <v>1.7</v>
      </c>
    </row>
    <row r="13081" spans="1:1">
      <c r="A13081" s="29">
        <v>0.63402777777777775</v>
      </c>
    </row>
    <row r="13082" spans="1:1">
      <c r="A13082" s="27">
        <v>20.100000000000001</v>
      </c>
    </row>
    <row r="13083" spans="1:1">
      <c r="A13083" s="28">
        <v>0</v>
      </c>
    </row>
    <row r="13084" spans="1:1">
      <c r="A13084" s="25">
        <v>624</v>
      </c>
    </row>
    <row r="13085" spans="1:1" ht="45">
      <c r="A13085" s="26" t="s">
        <v>535</v>
      </c>
    </row>
    <row r="13086" spans="1:1">
      <c r="A13086" s="27" t="s">
        <v>44</v>
      </c>
    </row>
    <row r="13087" spans="1:1">
      <c r="A13087" s="27">
        <v>81</v>
      </c>
    </row>
    <row r="13088" spans="1:1">
      <c r="A13088" s="27">
        <v>13</v>
      </c>
    </row>
    <row r="13089" spans="1:1">
      <c r="A13089" s="27">
        <v>9</v>
      </c>
    </row>
    <row r="13090" spans="1:1">
      <c r="A13090" s="27">
        <v>22</v>
      </c>
    </row>
    <row r="13091" spans="1:1">
      <c r="A13091" s="27">
        <v>12</v>
      </c>
    </row>
    <row r="13092" spans="1:1">
      <c r="A13092" s="27">
        <v>24</v>
      </c>
    </row>
    <row r="13093" spans="1:1">
      <c r="A13093" s="27">
        <v>0.27</v>
      </c>
    </row>
    <row r="13094" spans="1:1">
      <c r="A13094" s="27">
        <v>0</v>
      </c>
    </row>
    <row r="13095" spans="1:1">
      <c r="A13095" s="27">
        <v>0</v>
      </c>
    </row>
    <row r="13096" spans="1:1">
      <c r="A13096" s="27">
        <v>0</v>
      </c>
    </row>
    <row r="13097" spans="1:1">
      <c r="A13097" s="27">
        <v>0</v>
      </c>
    </row>
    <row r="13098" spans="1:1">
      <c r="A13098" s="27">
        <v>2</v>
      </c>
    </row>
    <row r="13099" spans="1:1">
      <c r="A13099" s="27">
        <v>0</v>
      </c>
    </row>
    <row r="13100" spans="1:1">
      <c r="A13100" s="27">
        <v>104</v>
      </c>
    </row>
    <row r="13101" spans="1:1">
      <c r="A13101" s="27">
        <v>12.5</v>
      </c>
    </row>
    <row r="13102" spans="1:1">
      <c r="A13102" s="29">
        <v>0.45902777777777781</v>
      </c>
    </row>
    <row r="13103" spans="1:1">
      <c r="A13103" s="27">
        <v>15.5</v>
      </c>
    </row>
    <row r="13104" spans="1:1">
      <c r="A13104" s="28">
        <v>39.299999999999997</v>
      </c>
    </row>
    <row r="13105" spans="1:1">
      <c r="A13105" s="25">
        <v>625</v>
      </c>
    </row>
    <row r="13106" spans="1:1" ht="30">
      <c r="A13106" s="26" t="s">
        <v>20</v>
      </c>
    </row>
    <row r="13107" spans="1:1">
      <c r="A13107" s="27" t="s">
        <v>44</v>
      </c>
    </row>
    <row r="13108" spans="1:1">
      <c r="A13108" s="27">
        <v>70</v>
      </c>
    </row>
    <row r="13109" spans="1:1">
      <c r="A13109" s="27">
        <v>9</v>
      </c>
    </row>
    <row r="13110" spans="1:1">
      <c r="A13110" s="27">
        <v>13</v>
      </c>
    </row>
    <row r="13111" spans="1:1">
      <c r="A13111" s="27">
        <v>22</v>
      </c>
    </row>
    <row r="13112" spans="1:1">
      <c r="A13112" s="27">
        <v>4</v>
      </c>
    </row>
    <row r="13113" spans="1:1">
      <c r="A13113" s="27">
        <v>8</v>
      </c>
    </row>
    <row r="13114" spans="1:1">
      <c r="A13114" s="27">
        <v>0.31</v>
      </c>
    </row>
    <row r="13115" spans="1:1">
      <c r="A13115" s="27">
        <v>3</v>
      </c>
    </row>
    <row r="13116" spans="1:1">
      <c r="A13116" s="27">
        <v>4</v>
      </c>
    </row>
    <row r="13117" spans="1:1">
      <c r="A13117" s="27">
        <v>0</v>
      </c>
    </row>
    <row r="13118" spans="1:1">
      <c r="A13118" s="27">
        <v>0</v>
      </c>
    </row>
    <row r="13119" spans="1:1">
      <c r="A13119" s="27">
        <v>0</v>
      </c>
    </row>
    <row r="13120" spans="1:1">
      <c r="A13120" s="27">
        <v>0</v>
      </c>
    </row>
    <row r="13121" spans="1:1">
      <c r="A13121" s="27">
        <v>80</v>
      </c>
    </row>
    <row r="13122" spans="1:1">
      <c r="A13122" s="27">
        <v>11.3</v>
      </c>
    </row>
    <row r="13123" spans="1:1">
      <c r="A13123" s="29">
        <v>0.51874999999999993</v>
      </c>
    </row>
    <row r="13124" spans="1:1">
      <c r="A13124" s="27">
        <v>16.2</v>
      </c>
    </row>
    <row r="13125" spans="1:1">
      <c r="A13125" s="28">
        <v>60</v>
      </c>
    </row>
    <row r="13126" spans="1:1">
      <c r="A13126" s="25">
        <v>626</v>
      </c>
    </row>
    <row r="13127" spans="1:1" ht="30">
      <c r="A13127" s="26" t="s">
        <v>817</v>
      </c>
    </row>
    <row r="13128" spans="1:1">
      <c r="A13128" s="27" t="s">
        <v>653</v>
      </c>
    </row>
    <row r="13129" spans="1:1">
      <c r="A13129" s="27">
        <v>72</v>
      </c>
    </row>
    <row r="13130" spans="1:1">
      <c r="A13130" s="27">
        <v>8</v>
      </c>
    </row>
    <row r="13131" spans="1:1">
      <c r="A13131" s="27">
        <v>14</v>
      </c>
    </row>
    <row r="13132" spans="1:1">
      <c r="A13132" s="27">
        <v>22</v>
      </c>
    </row>
    <row r="13133" spans="1:1">
      <c r="A13133" s="27">
        <v>14</v>
      </c>
    </row>
    <row r="13134" spans="1:1">
      <c r="A13134" s="27">
        <v>10</v>
      </c>
    </row>
    <row r="13135" spans="1:1">
      <c r="A13135" s="27">
        <v>0.31</v>
      </c>
    </row>
    <row r="13136" spans="1:1">
      <c r="A13136" s="27">
        <v>0</v>
      </c>
    </row>
    <row r="13137" spans="1:1">
      <c r="A13137" s="27">
        <v>0</v>
      </c>
    </row>
    <row r="13138" spans="1:1">
      <c r="A13138" s="27">
        <v>0</v>
      </c>
    </row>
    <row r="13139" spans="1:1">
      <c r="A13139" s="27">
        <v>0</v>
      </c>
    </row>
    <row r="13140" spans="1:1">
      <c r="A13140" s="27">
        <v>0</v>
      </c>
    </row>
    <row r="13141" spans="1:1">
      <c r="A13141" s="27">
        <v>0</v>
      </c>
    </row>
    <row r="13142" spans="1:1">
      <c r="A13142" s="27">
        <v>93</v>
      </c>
    </row>
    <row r="13143" spans="1:1">
      <c r="A13143" s="27">
        <v>8.6</v>
      </c>
    </row>
    <row r="13144" spans="1:1">
      <c r="A13144" s="29">
        <v>0.54097222222222219</v>
      </c>
    </row>
    <row r="13145" spans="1:1">
      <c r="A13145" s="27">
        <v>18.899999999999999</v>
      </c>
    </row>
    <row r="13146" spans="1:1">
      <c r="A13146" s="28">
        <v>44.6</v>
      </c>
    </row>
    <row r="13147" spans="1:1">
      <c r="A13147" s="25">
        <v>627</v>
      </c>
    </row>
    <row r="13148" spans="1:1" ht="30">
      <c r="A13148" s="26" t="s">
        <v>1087</v>
      </c>
    </row>
    <row r="13149" spans="1:1">
      <c r="A13149" s="27" t="s">
        <v>42</v>
      </c>
    </row>
    <row r="13150" spans="1:1">
      <c r="A13150" s="27">
        <v>68</v>
      </c>
    </row>
    <row r="13151" spans="1:1">
      <c r="A13151" s="27">
        <v>7</v>
      </c>
    </row>
    <row r="13152" spans="1:1">
      <c r="A13152" s="27">
        <v>15</v>
      </c>
    </row>
    <row r="13153" spans="1:1">
      <c r="A13153" s="27">
        <v>22</v>
      </c>
    </row>
    <row r="13154" spans="1:1">
      <c r="A13154" s="27">
        <v>-3</v>
      </c>
    </row>
    <row r="13155" spans="1:1">
      <c r="A13155" s="27">
        <v>20</v>
      </c>
    </row>
    <row r="13156" spans="1:1">
      <c r="A13156" s="27">
        <v>0.32</v>
      </c>
    </row>
    <row r="13157" spans="1:1">
      <c r="A13157" s="27">
        <v>1</v>
      </c>
    </row>
    <row r="13158" spans="1:1">
      <c r="A13158" s="27">
        <v>2</v>
      </c>
    </row>
    <row r="13159" spans="1:1">
      <c r="A13159" s="27">
        <v>0</v>
      </c>
    </row>
    <row r="13160" spans="1:1">
      <c r="A13160" s="27">
        <v>0</v>
      </c>
    </row>
    <row r="13161" spans="1:1">
      <c r="A13161" s="27">
        <v>0</v>
      </c>
    </row>
    <row r="13162" spans="1:1">
      <c r="A13162" s="27">
        <v>0</v>
      </c>
    </row>
    <row r="13163" spans="1:1">
      <c r="A13163" s="27">
        <v>105</v>
      </c>
    </row>
    <row r="13164" spans="1:1">
      <c r="A13164" s="27">
        <v>6.7</v>
      </c>
    </row>
    <row r="13165" spans="1:1">
      <c r="A13165" s="29">
        <v>0.71250000000000002</v>
      </c>
    </row>
    <row r="13166" spans="1:1">
      <c r="A13166" s="27">
        <v>21.3</v>
      </c>
    </row>
    <row r="13167" spans="1:1">
      <c r="A13167" s="28">
        <v>0</v>
      </c>
    </row>
    <row r="13168" spans="1:1">
      <c r="A13168" s="25">
        <v>628</v>
      </c>
    </row>
    <row r="13169" spans="1:1" ht="30">
      <c r="A13169" s="26" t="s">
        <v>828</v>
      </c>
    </row>
    <row r="13170" spans="1:1">
      <c r="A13170" s="27" t="s">
        <v>44</v>
      </c>
    </row>
    <row r="13171" spans="1:1">
      <c r="A13171" s="27">
        <v>106</v>
      </c>
    </row>
    <row r="13172" spans="1:1">
      <c r="A13172" s="27">
        <v>7</v>
      </c>
    </row>
    <row r="13173" spans="1:1">
      <c r="A13173" s="27">
        <v>15</v>
      </c>
    </row>
    <row r="13174" spans="1:1">
      <c r="A13174" s="27">
        <v>22</v>
      </c>
    </row>
    <row r="13175" spans="1:1">
      <c r="A13175" s="27">
        <v>7</v>
      </c>
    </row>
    <row r="13176" spans="1:1">
      <c r="A13176" s="27">
        <v>28</v>
      </c>
    </row>
    <row r="13177" spans="1:1">
      <c r="A13177" s="27">
        <v>0.21</v>
      </c>
    </row>
    <row r="13178" spans="1:1">
      <c r="A13178" s="27">
        <v>0</v>
      </c>
    </row>
    <row r="13179" spans="1:1">
      <c r="A13179" s="27">
        <v>0</v>
      </c>
    </row>
    <row r="13180" spans="1:1">
      <c r="A13180" s="27">
        <v>0</v>
      </c>
    </row>
    <row r="13181" spans="1:1">
      <c r="A13181" s="27">
        <v>0</v>
      </c>
    </row>
    <row r="13182" spans="1:1">
      <c r="A13182" s="27">
        <v>1</v>
      </c>
    </row>
    <row r="13183" spans="1:1">
      <c r="A13183" s="27">
        <v>0</v>
      </c>
    </row>
    <row r="13184" spans="1:1">
      <c r="A13184" s="27">
        <v>94</v>
      </c>
    </row>
    <row r="13185" spans="1:1">
      <c r="A13185" s="27">
        <v>7.4</v>
      </c>
    </row>
    <row r="13186" spans="1:1">
      <c r="A13186" s="29">
        <v>0.46597222222222223</v>
      </c>
    </row>
    <row r="13187" spans="1:1">
      <c r="A13187" s="27">
        <v>16.600000000000001</v>
      </c>
    </row>
    <row r="13188" spans="1:1">
      <c r="A13188" s="28">
        <v>43.8</v>
      </c>
    </row>
    <row r="13189" spans="1:1">
      <c r="A13189" s="25">
        <v>629</v>
      </c>
    </row>
    <row r="13190" spans="1:1" ht="45">
      <c r="A13190" s="26" t="s">
        <v>1107</v>
      </c>
    </row>
    <row r="13191" spans="1:1">
      <c r="A13191" s="27" t="s">
        <v>42</v>
      </c>
    </row>
    <row r="13192" spans="1:1">
      <c r="A13192" s="27">
        <v>118</v>
      </c>
    </row>
    <row r="13193" spans="1:1">
      <c r="A13193" s="27">
        <v>6</v>
      </c>
    </row>
    <row r="13194" spans="1:1">
      <c r="A13194" s="27">
        <v>16</v>
      </c>
    </row>
    <row r="13195" spans="1:1">
      <c r="A13195" s="27">
        <v>22</v>
      </c>
    </row>
    <row r="13196" spans="1:1">
      <c r="A13196" s="27">
        <v>-1</v>
      </c>
    </row>
    <row r="13197" spans="1:1">
      <c r="A13197" s="27">
        <v>52</v>
      </c>
    </row>
    <row r="13198" spans="1:1">
      <c r="A13198" s="27">
        <v>0.19</v>
      </c>
    </row>
    <row r="13199" spans="1:1">
      <c r="A13199" s="27">
        <v>0</v>
      </c>
    </row>
    <row r="13200" spans="1:1">
      <c r="A13200" s="27">
        <v>0</v>
      </c>
    </row>
    <row r="13201" spans="1:1">
      <c r="A13201" s="27">
        <v>0</v>
      </c>
    </row>
    <row r="13202" spans="1:1">
      <c r="A13202" s="27">
        <v>0</v>
      </c>
    </row>
    <row r="13203" spans="1:1">
      <c r="A13203" s="27">
        <v>1</v>
      </c>
    </row>
    <row r="13204" spans="1:1">
      <c r="A13204" s="27">
        <v>0</v>
      </c>
    </row>
    <row r="13205" spans="1:1">
      <c r="A13205" s="27">
        <v>132</v>
      </c>
    </row>
    <row r="13206" spans="1:1">
      <c r="A13206" s="27">
        <v>4.5</v>
      </c>
    </row>
    <row r="13207" spans="1:1">
      <c r="A13207" s="29">
        <v>0.55347222222222225</v>
      </c>
    </row>
    <row r="13208" spans="1:1">
      <c r="A13208" s="27">
        <v>18.399999999999999</v>
      </c>
    </row>
    <row r="13209" spans="1:1">
      <c r="A13209" s="28">
        <v>0</v>
      </c>
    </row>
    <row r="13210" spans="1:1">
      <c r="A13210" s="25">
        <v>630</v>
      </c>
    </row>
    <row r="13211" spans="1:1" ht="30">
      <c r="A13211" s="26" t="s">
        <v>709</v>
      </c>
    </row>
    <row r="13212" spans="1:1">
      <c r="A13212" s="27" t="s">
        <v>653</v>
      </c>
    </row>
    <row r="13213" spans="1:1">
      <c r="A13213" s="27">
        <v>167</v>
      </c>
    </row>
    <row r="13214" spans="1:1">
      <c r="A13214" s="27">
        <v>6</v>
      </c>
    </row>
    <row r="13215" spans="1:1">
      <c r="A13215" s="27">
        <v>16</v>
      </c>
    </row>
    <row r="13216" spans="1:1">
      <c r="A13216" s="27">
        <v>22</v>
      </c>
    </row>
    <row r="13217" spans="1:1">
      <c r="A13217" s="27">
        <v>-25</v>
      </c>
    </row>
    <row r="13218" spans="1:1">
      <c r="A13218" s="27">
        <v>76</v>
      </c>
    </row>
    <row r="13219" spans="1:1">
      <c r="A13219" s="27">
        <v>0.13</v>
      </c>
    </row>
    <row r="13220" spans="1:1">
      <c r="A13220" s="27">
        <v>0</v>
      </c>
    </row>
    <row r="13221" spans="1:1">
      <c r="A13221" s="27">
        <v>0</v>
      </c>
    </row>
    <row r="13222" spans="1:1">
      <c r="A13222" s="27">
        <v>0</v>
      </c>
    </row>
    <row r="13223" spans="1:1">
      <c r="A13223" s="27">
        <v>0</v>
      </c>
    </row>
    <row r="13224" spans="1:1">
      <c r="A13224" s="27">
        <v>0</v>
      </c>
    </row>
    <row r="13225" spans="1:1">
      <c r="A13225" s="27">
        <v>0</v>
      </c>
    </row>
    <row r="13226" spans="1:1">
      <c r="A13226" s="27">
        <v>136</v>
      </c>
    </row>
    <row r="13227" spans="1:1">
      <c r="A13227" s="27">
        <v>4.4000000000000004</v>
      </c>
    </row>
    <row r="13228" spans="1:1">
      <c r="A13228" s="29">
        <v>0.4381944444444445</v>
      </c>
    </row>
    <row r="13229" spans="1:1">
      <c r="A13229" s="27">
        <v>15.8</v>
      </c>
    </row>
    <row r="13230" spans="1:1">
      <c r="A13230" s="28">
        <v>51.6</v>
      </c>
    </row>
    <row r="13231" spans="1:1">
      <c r="A13231" s="25">
        <v>631</v>
      </c>
    </row>
    <row r="13232" spans="1:1" ht="30">
      <c r="A13232" s="26" t="s">
        <v>786</v>
      </c>
    </row>
    <row r="13233" spans="1:1">
      <c r="A13233" s="27" t="s">
        <v>653</v>
      </c>
    </row>
    <row r="13234" spans="1:1">
      <c r="A13234" s="27">
        <v>83</v>
      </c>
    </row>
    <row r="13235" spans="1:1">
      <c r="A13235" s="27">
        <v>12</v>
      </c>
    </row>
    <row r="13236" spans="1:1">
      <c r="A13236" s="27">
        <v>9</v>
      </c>
    </row>
    <row r="13237" spans="1:1">
      <c r="A13237" s="27">
        <v>21</v>
      </c>
    </row>
    <row r="13238" spans="1:1">
      <c r="A13238" s="27">
        <v>0</v>
      </c>
    </row>
    <row r="13239" spans="1:1">
      <c r="A13239" s="27">
        <v>42</v>
      </c>
    </row>
    <row r="13240" spans="1:1">
      <c r="A13240" s="27">
        <v>0.25</v>
      </c>
    </row>
    <row r="13241" spans="1:1">
      <c r="A13241" s="27">
        <v>0</v>
      </c>
    </row>
    <row r="13242" spans="1:1">
      <c r="A13242" s="27">
        <v>0</v>
      </c>
    </row>
    <row r="13243" spans="1:1">
      <c r="A13243" s="27">
        <v>1</v>
      </c>
    </row>
    <row r="13244" spans="1:1">
      <c r="A13244" s="27">
        <v>1</v>
      </c>
    </row>
    <row r="13245" spans="1:1">
      <c r="A13245" s="27">
        <v>0</v>
      </c>
    </row>
    <row r="13246" spans="1:1">
      <c r="A13246" s="27">
        <v>0</v>
      </c>
    </row>
    <row r="13247" spans="1:1">
      <c r="A13247" s="27">
        <v>76</v>
      </c>
    </row>
    <row r="13248" spans="1:1">
      <c r="A13248" s="27">
        <v>15.8</v>
      </c>
    </row>
    <row r="13249" spans="1:1">
      <c r="A13249" s="29">
        <v>0.41875000000000001</v>
      </c>
    </row>
    <row r="13250" spans="1:1">
      <c r="A13250" s="27">
        <v>14.8</v>
      </c>
    </row>
    <row r="13251" spans="1:1">
      <c r="A13251" s="28">
        <v>46.9</v>
      </c>
    </row>
    <row r="13252" spans="1:1">
      <c r="A13252" s="25">
        <v>632</v>
      </c>
    </row>
    <row r="13253" spans="1:1" ht="45">
      <c r="A13253" s="26" t="s">
        <v>887</v>
      </c>
    </row>
    <row r="13254" spans="1:1">
      <c r="A13254" s="27" t="s">
        <v>43</v>
      </c>
    </row>
    <row r="13255" spans="1:1">
      <c r="A13255" s="27">
        <v>107</v>
      </c>
    </row>
    <row r="13256" spans="1:1">
      <c r="A13256" s="27">
        <v>10</v>
      </c>
    </row>
    <row r="13257" spans="1:1">
      <c r="A13257" s="27">
        <v>11</v>
      </c>
    </row>
    <row r="13258" spans="1:1">
      <c r="A13258" s="27">
        <v>21</v>
      </c>
    </row>
    <row r="13259" spans="1:1">
      <c r="A13259" s="27">
        <v>-34</v>
      </c>
    </row>
    <row r="13260" spans="1:1">
      <c r="A13260" s="27">
        <v>32</v>
      </c>
    </row>
    <row r="13261" spans="1:1">
      <c r="A13261" s="27">
        <v>0.2</v>
      </c>
    </row>
    <row r="13262" spans="1:1">
      <c r="A13262" s="27">
        <v>1</v>
      </c>
    </row>
    <row r="13263" spans="1:1">
      <c r="A13263" s="27">
        <v>2</v>
      </c>
    </row>
    <row r="13264" spans="1:1">
      <c r="A13264" s="27">
        <v>0</v>
      </c>
    </row>
    <row r="13265" spans="1:1">
      <c r="A13265" s="27">
        <v>0</v>
      </c>
    </row>
    <row r="13266" spans="1:1">
      <c r="A13266" s="27">
        <v>0</v>
      </c>
    </row>
    <row r="13267" spans="1:1">
      <c r="A13267" s="27">
        <v>0</v>
      </c>
    </row>
    <row r="13268" spans="1:1">
      <c r="A13268" s="27">
        <v>163</v>
      </c>
    </row>
    <row r="13269" spans="1:1">
      <c r="A13269" s="27">
        <v>6.1</v>
      </c>
    </row>
    <row r="13270" spans="1:1">
      <c r="A13270" s="29">
        <v>0.5</v>
      </c>
    </row>
    <row r="13271" spans="1:1">
      <c r="A13271" s="27">
        <v>15.7</v>
      </c>
    </row>
    <row r="13272" spans="1:1">
      <c r="A13272" s="28">
        <v>36.700000000000003</v>
      </c>
    </row>
    <row r="13273" spans="1:1">
      <c r="A13273" s="25">
        <v>633</v>
      </c>
    </row>
    <row r="13274" spans="1:1" ht="30">
      <c r="A13274" s="26" t="s">
        <v>572</v>
      </c>
    </row>
    <row r="13275" spans="1:1">
      <c r="A13275" s="27" t="s">
        <v>653</v>
      </c>
    </row>
    <row r="13276" spans="1:1">
      <c r="A13276" s="27">
        <v>46</v>
      </c>
    </row>
    <row r="13277" spans="1:1">
      <c r="A13277" s="27">
        <v>8</v>
      </c>
    </row>
    <row r="13278" spans="1:1">
      <c r="A13278" s="27">
        <v>13</v>
      </c>
    </row>
    <row r="13279" spans="1:1">
      <c r="A13279" s="27">
        <v>21</v>
      </c>
    </row>
    <row r="13280" spans="1:1">
      <c r="A13280" s="27">
        <v>-5</v>
      </c>
    </row>
    <row r="13281" spans="1:1">
      <c r="A13281" s="27">
        <v>14</v>
      </c>
    </row>
    <row r="13282" spans="1:1">
      <c r="A13282" s="27">
        <v>0.46</v>
      </c>
    </row>
    <row r="13283" spans="1:1">
      <c r="A13283" s="27">
        <v>1</v>
      </c>
    </row>
    <row r="13284" spans="1:1">
      <c r="A13284" s="27">
        <v>6</v>
      </c>
    </row>
    <row r="13285" spans="1:1">
      <c r="A13285" s="27">
        <v>1</v>
      </c>
    </row>
    <row r="13286" spans="1:1">
      <c r="A13286" s="27">
        <v>1</v>
      </c>
    </row>
    <row r="13287" spans="1:1">
      <c r="A13287" s="27">
        <v>0</v>
      </c>
    </row>
    <row r="13288" spans="1:1">
      <c r="A13288" s="27">
        <v>0</v>
      </c>
    </row>
    <row r="13289" spans="1:1">
      <c r="A13289" s="27">
        <v>63</v>
      </c>
    </row>
    <row r="13290" spans="1:1">
      <c r="A13290" s="27">
        <v>12.7</v>
      </c>
    </row>
    <row r="13291" spans="1:1">
      <c r="A13291" s="29">
        <v>0.63611111111111118</v>
      </c>
    </row>
    <row r="13292" spans="1:1">
      <c r="A13292" s="27">
        <v>19.899999999999999</v>
      </c>
    </row>
    <row r="13293" spans="1:1">
      <c r="A13293" s="28">
        <v>50.2</v>
      </c>
    </row>
    <row r="13294" spans="1:1">
      <c r="A13294" s="25">
        <v>634</v>
      </c>
    </row>
    <row r="13295" spans="1:1" ht="30">
      <c r="A13295" s="26" t="s">
        <v>1135</v>
      </c>
    </row>
    <row r="13296" spans="1:1">
      <c r="A13296" s="27" t="s">
        <v>42</v>
      </c>
    </row>
    <row r="13297" spans="1:1">
      <c r="A13297" s="27">
        <v>116</v>
      </c>
    </row>
    <row r="13298" spans="1:1">
      <c r="A13298" s="27">
        <v>5</v>
      </c>
    </row>
    <row r="13299" spans="1:1">
      <c r="A13299" s="27">
        <v>16</v>
      </c>
    </row>
    <row r="13300" spans="1:1">
      <c r="A13300" s="27">
        <v>21</v>
      </c>
    </row>
    <row r="13301" spans="1:1">
      <c r="A13301" s="27">
        <v>-9</v>
      </c>
    </row>
    <row r="13302" spans="1:1">
      <c r="A13302" s="27">
        <v>55</v>
      </c>
    </row>
    <row r="13303" spans="1:1">
      <c r="A13303" s="27">
        <v>0.18</v>
      </c>
    </row>
    <row r="13304" spans="1:1">
      <c r="A13304" s="27">
        <v>0</v>
      </c>
    </row>
    <row r="13305" spans="1:1">
      <c r="A13305" s="27">
        <v>0</v>
      </c>
    </row>
    <row r="13306" spans="1:1">
      <c r="A13306" s="27">
        <v>0</v>
      </c>
    </row>
    <row r="13307" spans="1:1">
      <c r="A13307" s="27">
        <v>1</v>
      </c>
    </row>
    <row r="13308" spans="1:1">
      <c r="A13308" s="27">
        <v>0</v>
      </c>
    </row>
    <row r="13309" spans="1:1">
      <c r="A13309" s="27">
        <v>0</v>
      </c>
    </row>
    <row r="13310" spans="1:1">
      <c r="A13310" s="27">
        <v>145</v>
      </c>
    </row>
    <row r="13311" spans="1:1">
      <c r="A13311" s="27">
        <v>3.4</v>
      </c>
    </row>
    <row r="13312" spans="1:1">
      <c r="A13312" s="29">
        <v>0.7270833333333333</v>
      </c>
    </row>
    <row r="13313" spans="1:1">
      <c r="A13313" s="27">
        <v>23.5</v>
      </c>
    </row>
    <row r="13314" spans="1:1">
      <c r="A13314" s="28">
        <v>0</v>
      </c>
    </row>
    <row r="13315" spans="1:1">
      <c r="A13315" s="25">
        <v>635</v>
      </c>
    </row>
    <row r="13316" spans="1:1" ht="30">
      <c r="A13316" s="26" t="s">
        <v>589</v>
      </c>
    </row>
    <row r="13317" spans="1:1">
      <c r="A13317" s="27" t="s">
        <v>42</v>
      </c>
    </row>
    <row r="13318" spans="1:1">
      <c r="A13318" s="27">
        <v>122</v>
      </c>
    </row>
    <row r="13319" spans="1:1">
      <c r="A13319" s="27">
        <v>4</v>
      </c>
    </row>
    <row r="13320" spans="1:1">
      <c r="A13320" s="27">
        <v>17</v>
      </c>
    </row>
    <row r="13321" spans="1:1">
      <c r="A13321" s="27">
        <v>21</v>
      </c>
    </row>
    <row r="13322" spans="1:1">
      <c r="A13322" s="27">
        <v>11</v>
      </c>
    </row>
    <row r="13323" spans="1:1">
      <c r="A13323" s="27">
        <v>27</v>
      </c>
    </row>
    <row r="13324" spans="1:1">
      <c r="A13324" s="27">
        <v>0.17</v>
      </c>
    </row>
    <row r="13325" spans="1:1">
      <c r="A13325" s="27">
        <v>0</v>
      </c>
    </row>
    <row r="13326" spans="1:1">
      <c r="A13326" s="27">
        <v>0</v>
      </c>
    </row>
    <row r="13327" spans="1:1">
      <c r="A13327" s="27">
        <v>0</v>
      </c>
    </row>
    <row r="13328" spans="1:1">
      <c r="A13328" s="27">
        <v>1</v>
      </c>
    </row>
    <row r="13329" spans="1:1">
      <c r="A13329" s="27">
        <v>1</v>
      </c>
    </row>
    <row r="13330" spans="1:1">
      <c r="A13330" s="27">
        <v>0</v>
      </c>
    </row>
    <row r="13331" spans="1:1">
      <c r="A13331" s="27">
        <v>132</v>
      </c>
    </row>
    <row r="13332" spans="1:1">
      <c r="A13332" s="27">
        <v>3</v>
      </c>
    </row>
    <row r="13333" spans="1:1">
      <c r="A13333" s="29">
        <v>0.63958333333333328</v>
      </c>
    </row>
    <row r="13334" spans="1:1">
      <c r="A13334" s="27">
        <v>19.100000000000001</v>
      </c>
    </row>
    <row r="13335" spans="1:1">
      <c r="A13335" s="28">
        <v>0</v>
      </c>
    </row>
    <row r="13336" spans="1:1">
      <c r="A13336" s="25">
        <v>636</v>
      </c>
    </row>
    <row r="13337" spans="1:1" ht="30">
      <c r="A13337" s="26" t="s">
        <v>1111</v>
      </c>
    </row>
    <row r="13338" spans="1:1">
      <c r="A13338" s="27" t="s">
        <v>42</v>
      </c>
    </row>
    <row r="13339" spans="1:1">
      <c r="A13339" s="27">
        <v>149</v>
      </c>
    </row>
    <row r="13340" spans="1:1">
      <c r="A13340" s="27">
        <v>3</v>
      </c>
    </row>
    <row r="13341" spans="1:1">
      <c r="A13341" s="27">
        <v>18</v>
      </c>
    </row>
    <row r="13342" spans="1:1">
      <c r="A13342" s="27">
        <v>21</v>
      </c>
    </row>
    <row r="13343" spans="1:1">
      <c r="A13343" s="27">
        <v>-19</v>
      </c>
    </row>
    <row r="13344" spans="1:1">
      <c r="A13344" s="27">
        <v>49</v>
      </c>
    </row>
    <row r="13345" spans="1:1">
      <c r="A13345" s="27">
        <v>0.14000000000000001</v>
      </c>
    </row>
    <row r="13346" spans="1:1">
      <c r="A13346" s="27">
        <v>0</v>
      </c>
    </row>
    <row r="13347" spans="1:1">
      <c r="A13347" s="27">
        <v>0</v>
      </c>
    </row>
    <row r="13348" spans="1:1">
      <c r="A13348" s="27">
        <v>0</v>
      </c>
    </row>
    <row r="13349" spans="1:1">
      <c r="A13349" s="27">
        <v>2</v>
      </c>
    </row>
    <row r="13350" spans="1:1">
      <c r="A13350" s="27">
        <v>0</v>
      </c>
    </row>
    <row r="13351" spans="1:1">
      <c r="A13351" s="27">
        <v>0</v>
      </c>
    </row>
    <row r="13352" spans="1:1">
      <c r="A13352" s="27">
        <v>107</v>
      </c>
    </row>
    <row r="13353" spans="1:1">
      <c r="A13353" s="27">
        <v>2.8</v>
      </c>
    </row>
    <row r="13354" spans="1:1">
      <c r="A13354" s="29">
        <v>0.68680555555555556</v>
      </c>
    </row>
    <row r="13355" spans="1:1">
      <c r="A13355" s="27">
        <v>22.9</v>
      </c>
    </row>
    <row r="13356" spans="1:1">
      <c r="A13356" s="28">
        <v>0</v>
      </c>
    </row>
    <row r="13357" spans="1:1">
      <c r="A13357" s="25">
        <v>637</v>
      </c>
    </row>
    <row r="13358" spans="1:1" ht="30">
      <c r="A13358" s="26" t="s">
        <v>664</v>
      </c>
    </row>
    <row r="13359" spans="1:1">
      <c r="A13359" s="27" t="s">
        <v>42</v>
      </c>
    </row>
    <row r="13360" spans="1:1">
      <c r="A13360" s="27">
        <v>150</v>
      </c>
    </row>
    <row r="13361" spans="1:1">
      <c r="A13361" s="27">
        <v>2</v>
      </c>
    </row>
    <row r="13362" spans="1:1">
      <c r="A13362" s="27">
        <v>19</v>
      </c>
    </row>
    <row r="13363" spans="1:1">
      <c r="A13363" s="27">
        <v>21</v>
      </c>
    </row>
    <row r="13364" spans="1:1">
      <c r="A13364" s="27">
        <v>-10</v>
      </c>
    </row>
    <row r="13365" spans="1:1">
      <c r="A13365" s="27">
        <v>101</v>
      </c>
    </row>
    <row r="13366" spans="1:1">
      <c r="A13366" s="27">
        <v>0.14000000000000001</v>
      </c>
    </row>
    <row r="13367" spans="1:1">
      <c r="A13367" s="27">
        <v>0</v>
      </c>
    </row>
    <row r="13368" spans="1:1">
      <c r="A13368" s="27">
        <v>0</v>
      </c>
    </row>
    <row r="13369" spans="1:1">
      <c r="A13369" s="27">
        <v>0</v>
      </c>
    </row>
    <row r="13370" spans="1:1">
      <c r="A13370" s="27">
        <v>0</v>
      </c>
    </row>
    <row r="13371" spans="1:1">
      <c r="A13371" s="27">
        <v>1</v>
      </c>
    </row>
    <row r="13372" spans="1:1">
      <c r="A13372" s="27">
        <v>0</v>
      </c>
    </row>
    <row r="13373" spans="1:1">
      <c r="A13373" s="27">
        <v>121</v>
      </c>
    </row>
    <row r="13374" spans="1:1">
      <c r="A13374" s="27">
        <v>1.7</v>
      </c>
    </row>
    <row r="13375" spans="1:1">
      <c r="A13375" s="29">
        <v>0.52708333333333335</v>
      </c>
    </row>
    <row r="13376" spans="1:1">
      <c r="A13376" s="27">
        <v>17.3</v>
      </c>
    </row>
    <row r="13377" spans="1:1">
      <c r="A13377" s="28">
        <v>100</v>
      </c>
    </row>
    <row r="13378" spans="1:1">
      <c r="A13378" s="25">
        <v>638</v>
      </c>
    </row>
    <row r="13379" spans="1:1" ht="30">
      <c r="A13379" s="26" t="s">
        <v>942</v>
      </c>
    </row>
    <row r="13380" spans="1:1">
      <c r="A13380" s="27" t="s">
        <v>653</v>
      </c>
    </row>
    <row r="13381" spans="1:1">
      <c r="A13381" s="27">
        <v>121</v>
      </c>
    </row>
    <row r="13382" spans="1:1">
      <c r="A13382" s="27">
        <v>10</v>
      </c>
    </row>
    <row r="13383" spans="1:1">
      <c r="A13383" s="27">
        <v>10</v>
      </c>
    </row>
    <row r="13384" spans="1:1">
      <c r="A13384" s="27">
        <v>20</v>
      </c>
    </row>
    <row r="13385" spans="1:1">
      <c r="A13385" s="27">
        <v>-7</v>
      </c>
    </row>
    <row r="13386" spans="1:1">
      <c r="A13386" s="27">
        <v>30</v>
      </c>
    </row>
    <row r="13387" spans="1:1">
      <c r="A13387" s="27">
        <v>0.17</v>
      </c>
    </row>
    <row r="13388" spans="1:1">
      <c r="A13388" s="27">
        <v>0</v>
      </c>
    </row>
    <row r="13389" spans="1:1">
      <c r="A13389" s="27">
        <v>1</v>
      </c>
    </row>
    <row r="13390" spans="1:1">
      <c r="A13390" s="27">
        <v>0</v>
      </c>
    </row>
    <row r="13391" spans="1:1">
      <c r="A13391" s="27">
        <v>0</v>
      </c>
    </row>
    <row r="13392" spans="1:1">
      <c r="A13392" s="27">
        <v>2</v>
      </c>
    </row>
    <row r="13393" spans="1:1">
      <c r="A13393" s="27">
        <v>0</v>
      </c>
    </row>
    <row r="13394" spans="1:1">
      <c r="A13394" s="27">
        <v>134</v>
      </c>
    </row>
    <row r="13395" spans="1:1">
      <c r="A13395" s="27">
        <v>7.5</v>
      </c>
    </row>
    <row r="13396" spans="1:1">
      <c r="A13396" s="29">
        <v>0.4694444444444445</v>
      </c>
    </row>
    <row r="13397" spans="1:1">
      <c r="A13397" s="27">
        <v>15.8</v>
      </c>
    </row>
    <row r="13398" spans="1:1">
      <c r="A13398" s="28">
        <v>16.7</v>
      </c>
    </row>
    <row r="13399" spans="1:1">
      <c r="A13399" s="25">
        <v>639</v>
      </c>
    </row>
    <row r="13400" spans="1:1" ht="45">
      <c r="A13400" s="26" t="s">
        <v>1124</v>
      </c>
    </row>
    <row r="13401" spans="1:1">
      <c r="A13401" s="27" t="s">
        <v>42</v>
      </c>
    </row>
    <row r="13402" spans="1:1">
      <c r="A13402" s="27">
        <v>134</v>
      </c>
    </row>
    <row r="13403" spans="1:1">
      <c r="A13403" s="27">
        <v>5</v>
      </c>
    </row>
    <row r="13404" spans="1:1">
      <c r="A13404" s="27">
        <v>15</v>
      </c>
    </row>
    <row r="13405" spans="1:1">
      <c r="A13405" s="27">
        <v>20</v>
      </c>
    </row>
    <row r="13406" spans="1:1">
      <c r="A13406" s="27">
        <v>-8</v>
      </c>
    </row>
    <row r="13407" spans="1:1">
      <c r="A13407" s="27">
        <v>42</v>
      </c>
    </row>
    <row r="13408" spans="1:1">
      <c r="A13408" s="27">
        <v>0.15</v>
      </c>
    </row>
    <row r="13409" spans="1:1">
      <c r="A13409" s="27">
        <v>0</v>
      </c>
    </row>
    <row r="13410" spans="1:1">
      <c r="A13410" s="27">
        <v>4</v>
      </c>
    </row>
    <row r="13411" spans="1:1">
      <c r="A13411" s="27">
        <v>0</v>
      </c>
    </row>
    <row r="13412" spans="1:1">
      <c r="A13412" s="27">
        <v>0</v>
      </c>
    </row>
    <row r="13413" spans="1:1">
      <c r="A13413" s="27">
        <v>1</v>
      </c>
    </row>
    <row r="13414" spans="1:1">
      <c r="A13414" s="27">
        <v>0</v>
      </c>
    </row>
    <row r="13415" spans="1:1">
      <c r="A13415" s="27">
        <v>190</v>
      </c>
    </row>
    <row r="13416" spans="1:1">
      <c r="A13416" s="27">
        <v>2.6</v>
      </c>
    </row>
    <row r="13417" spans="1:1">
      <c r="A13417" s="29">
        <v>0.68194444444444446</v>
      </c>
    </row>
    <row r="13418" spans="1:1">
      <c r="A13418" s="27">
        <v>22.2</v>
      </c>
    </row>
    <row r="13419" spans="1:1">
      <c r="A13419" s="28">
        <v>0</v>
      </c>
    </row>
    <row r="13420" spans="1:1">
      <c r="A13420" s="25">
        <v>640</v>
      </c>
    </row>
    <row r="13421" spans="1:1" ht="30">
      <c r="A13421" s="26" t="s">
        <v>75</v>
      </c>
    </row>
    <row r="13422" spans="1:1">
      <c r="A13422" s="27" t="s">
        <v>42</v>
      </c>
    </row>
    <row r="13423" spans="1:1">
      <c r="A13423" s="27">
        <v>66</v>
      </c>
    </row>
    <row r="13424" spans="1:1">
      <c r="A13424" s="27">
        <v>3</v>
      </c>
    </row>
    <row r="13425" spans="1:1">
      <c r="A13425" s="27">
        <v>17</v>
      </c>
    </row>
    <row r="13426" spans="1:1">
      <c r="A13426" s="27">
        <v>20</v>
      </c>
    </row>
    <row r="13427" spans="1:1">
      <c r="A13427" s="27">
        <v>-3</v>
      </c>
    </row>
    <row r="13428" spans="1:1">
      <c r="A13428" s="27">
        <v>36</v>
      </c>
    </row>
    <row r="13429" spans="1:1">
      <c r="A13429" s="27">
        <v>0.3</v>
      </c>
    </row>
    <row r="13430" spans="1:1">
      <c r="A13430" s="27">
        <v>1</v>
      </c>
    </row>
    <row r="13431" spans="1:1">
      <c r="A13431" s="27">
        <v>2</v>
      </c>
    </row>
    <row r="13432" spans="1:1">
      <c r="A13432" s="27">
        <v>0</v>
      </c>
    </row>
    <row r="13433" spans="1:1">
      <c r="A13433" s="27">
        <v>0</v>
      </c>
    </row>
    <row r="13434" spans="1:1">
      <c r="A13434" s="27">
        <v>0</v>
      </c>
    </row>
    <row r="13435" spans="1:1">
      <c r="A13435" s="27">
        <v>0</v>
      </c>
    </row>
    <row r="13436" spans="1:1">
      <c r="A13436" s="27">
        <v>98</v>
      </c>
    </row>
    <row r="13437" spans="1:1">
      <c r="A13437" s="27">
        <v>3.1</v>
      </c>
    </row>
    <row r="13438" spans="1:1">
      <c r="A13438" s="29">
        <v>0.74791666666666667</v>
      </c>
    </row>
    <row r="13439" spans="1:1">
      <c r="A13439" s="27">
        <v>24</v>
      </c>
    </row>
    <row r="13440" spans="1:1">
      <c r="A13440" s="28">
        <v>0</v>
      </c>
    </row>
    <row r="13441" spans="1:1">
      <c r="A13441" s="25">
        <v>641</v>
      </c>
    </row>
    <row r="13442" spans="1:1" ht="30">
      <c r="A13442" s="26" t="s">
        <v>1090</v>
      </c>
    </row>
    <row r="13443" spans="1:1">
      <c r="A13443" s="27" t="s">
        <v>42</v>
      </c>
    </row>
    <row r="13444" spans="1:1">
      <c r="A13444" s="27">
        <v>69</v>
      </c>
    </row>
    <row r="13445" spans="1:1">
      <c r="A13445" s="27">
        <v>2</v>
      </c>
    </row>
    <row r="13446" spans="1:1">
      <c r="A13446" s="27">
        <v>18</v>
      </c>
    </row>
    <row r="13447" spans="1:1">
      <c r="A13447" s="27">
        <v>20</v>
      </c>
    </row>
    <row r="13448" spans="1:1">
      <c r="A13448" s="27">
        <v>-8</v>
      </c>
    </row>
    <row r="13449" spans="1:1">
      <c r="A13449" s="27">
        <v>28</v>
      </c>
    </row>
    <row r="13450" spans="1:1">
      <c r="A13450" s="27">
        <v>0.28999999999999998</v>
      </c>
    </row>
    <row r="13451" spans="1:1">
      <c r="A13451" s="27">
        <v>1</v>
      </c>
    </row>
    <row r="13452" spans="1:1">
      <c r="A13452" s="27">
        <v>6</v>
      </c>
    </row>
    <row r="13453" spans="1:1">
      <c r="A13453" s="27">
        <v>0</v>
      </c>
    </row>
    <row r="13454" spans="1:1">
      <c r="A13454" s="27">
        <v>0</v>
      </c>
    </row>
    <row r="13455" spans="1:1">
      <c r="A13455" s="27">
        <v>0</v>
      </c>
    </row>
    <row r="13456" spans="1:1">
      <c r="A13456" s="27">
        <v>0</v>
      </c>
    </row>
    <row r="13457" spans="1:1">
      <c r="A13457" s="27">
        <v>105</v>
      </c>
    </row>
    <row r="13458" spans="1:1">
      <c r="A13458" s="27">
        <v>1.9</v>
      </c>
    </row>
    <row r="13459" spans="1:1">
      <c r="A13459" s="29">
        <v>0.73749999999999993</v>
      </c>
    </row>
    <row r="13460" spans="1:1">
      <c r="A13460" s="27">
        <v>22.6</v>
      </c>
    </row>
    <row r="13461" spans="1:1">
      <c r="A13461" s="28">
        <v>0</v>
      </c>
    </row>
    <row r="13462" spans="1:1">
      <c r="A13462" s="25">
        <v>642</v>
      </c>
    </row>
    <row r="13463" spans="1:1" ht="45">
      <c r="A13463" s="26" t="s">
        <v>852</v>
      </c>
    </row>
    <row r="13464" spans="1:1">
      <c r="A13464" s="27" t="s">
        <v>653</v>
      </c>
    </row>
    <row r="13465" spans="1:1">
      <c r="A13465" s="27">
        <v>58</v>
      </c>
    </row>
    <row r="13466" spans="1:1">
      <c r="A13466" s="27">
        <v>9</v>
      </c>
    </row>
    <row r="13467" spans="1:1">
      <c r="A13467" s="27">
        <v>10</v>
      </c>
    </row>
    <row r="13468" spans="1:1">
      <c r="A13468" s="27">
        <v>19</v>
      </c>
    </row>
    <row r="13469" spans="1:1">
      <c r="A13469" s="27">
        <v>-17</v>
      </c>
    </row>
    <row r="13470" spans="1:1">
      <c r="A13470" s="27">
        <v>6</v>
      </c>
    </row>
    <row r="13471" spans="1:1">
      <c r="A13471" s="27">
        <v>0.33</v>
      </c>
    </row>
    <row r="13472" spans="1:1">
      <c r="A13472" s="27">
        <v>3</v>
      </c>
    </row>
    <row r="13473" spans="1:1">
      <c r="A13473" s="27">
        <v>7</v>
      </c>
    </row>
    <row r="13474" spans="1:1">
      <c r="A13474" s="27">
        <v>0</v>
      </c>
    </row>
    <row r="13475" spans="1:1">
      <c r="A13475" s="27">
        <v>0</v>
      </c>
    </row>
    <row r="13476" spans="1:1">
      <c r="A13476" s="27">
        <v>0</v>
      </c>
    </row>
    <row r="13477" spans="1:1">
      <c r="A13477" s="27">
        <v>0</v>
      </c>
    </row>
    <row r="13478" spans="1:1">
      <c r="A13478" s="27">
        <v>63</v>
      </c>
    </row>
    <row r="13479" spans="1:1">
      <c r="A13479" s="27">
        <v>14.3</v>
      </c>
    </row>
    <row r="13480" spans="1:1">
      <c r="A13480" s="29">
        <v>0.50277777777777777</v>
      </c>
    </row>
    <row r="13481" spans="1:1">
      <c r="A13481" s="27">
        <v>17.100000000000001</v>
      </c>
    </row>
    <row r="13482" spans="1:1">
      <c r="A13482" s="28">
        <v>41.1</v>
      </c>
    </row>
    <row r="13483" spans="1:1">
      <c r="A13483" s="25">
        <v>643</v>
      </c>
    </row>
    <row r="13484" spans="1:1" ht="30">
      <c r="A13484" s="26" t="s">
        <v>927</v>
      </c>
    </row>
    <row r="13485" spans="1:1">
      <c r="A13485" s="27" t="s">
        <v>653</v>
      </c>
    </row>
    <row r="13486" spans="1:1">
      <c r="A13486" s="27">
        <v>79</v>
      </c>
    </row>
    <row r="13487" spans="1:1">
      <c r="A13487" s="27">
        <v>8</v>
      </c>
    </row>
    <row r="13488" spans="1:1">
      <c r="A13488" s="27">
        <v>11</v>
      </c>
    </row>
    <row r="13489" spans="1:1">
      <c r="A13489" s="27">
        <v>19</v>
      </c>
    </row>
    <row r="13490" spans="1:1">
      <c r="A13490" s="27">
        <v>-6</v>
      </c>
    </row>
    <row r="13491" spans="1:1">
      <c r="A13491" s="27">
        <v>24</v>
      </c>
    </row>
    <row r="13492" spans="1:1">
      <c r="A13492" s="27">
        <v>0.24</v>
      </c>
    </row>
    <row r="13493" spans="1:1">
      <c r="A13493" s="27">
        <v>1</v>
      </c>
    </row>
    <row r="13494" spans="1:1">
      <c r="A13494" s="27">
        <v>6</v>
      </c>
    </row>
    <row r="13495" spans="1:1">
      <c r="A13495" s="27">
        <v>0</v>
      </c>
    </row>
    <row r="13496" spans="1:1">
      <c r="A13496" s="27">
        <v>0</v>
      </c>
    </row>
    <row r="13497" spans="1:1">
      <c r="A13497" s="27">
        <v>1</v>
      </c>
    </row>
    <row r="13498" spans="1:1">
      <c r="A13498" s="27">
        <v>0</v>
      </c>
    </row>
    <row r="13499" spans="1:1">
      <c r="A13499" s="27">
        <v>71</v>
      </c>
    </row>
    <row r="13500" spans="1:1">
      <c r="A13500" s="27">
        <v>11.3</v>
      </c>
    </row>
    <row r="13501" spans="1:1">
      <c r="A13501" s="29">
        <v>0.51180555555555551</v>
      </c>
    </row>
    <row r="13502" spans="1:1">
      <c r="A13502" s="27">
        <v>16.5</v>
      </c>
    </row>
    <row r="13503" spans="1:1">
      <c r="A13503" s="28">
        <v>25</v>
      </c>
    </row>
    <row r="13504" spans="1:1">
      <c r="A13504" s="25">
        <v>644</v>
      </c>
    </row>
    <row r="13505" spans="1:1" ht="30">
      <c r="A13505" s="26" t="s">
        <v>573</v>
      </c>
    </row>
    <row r="13506" spans="1:1">
      <c r="A13506" s="27" t="s">
        <v>43</v>
      </c>
    </row>
    <row r="13507" spans="1:1">
      <c r="A13507" s="27">
        <v>61</v>
      </c>
    </row>
    <row r="13508" spans="1:1">
      <c r="A13508" s="27">
        <v>7</v>
      </c>
    </row>
    <row r="13509" spans="1:1">
      <c r="A13509" s="27">
        <v>12</v>
      </c>
    </row>
    <row r="13510" spans="1:1">
      <c r="A13510" s="27">
        <v>19</v>
      </c>
    </row>
    <row r="13511" spans="1:1">
      <c r="A13511" s="27">
        <v>3</v>
      </c>
    </row>
    <row r="13512" spans="1:1">
      <c r="A13512" s="27">
        <v>8</v>
      </c>
    </row>
    <row r="13513" spans="1:1">
      <c r="A13513" s="27">
        <v>0.31</v>
      </c>
    </row>
    <row r="13514" spans="1:1">
      <c r="A13514" s="27">
        <v>2</v>
      </c>
    </row>
    <row r="13515" spans="1:1">
      <c r="A13515" s="27">
        <v>6</v>
      </c>
    </row>
    <row r="13516" spans="1:1">
      <c r="A13516" s="27">
        <v>0</v>
      </c>
    </row>
    <row r="13517" spans="1:1">
      <c r="A13517" s="27">
        <v>0</v>
      </c>
    </row>
    <row r="13518" spans="1:1">
      <c r="A13518" s="27">
        <v>0</v>
      </c>
    </row>
    <row r="13519" spans="1:1">
      <c r="A13519" s="27">
        <v>0</v>
      </c>
    </row>
    <row r="13520" spans="1:1">
      <c r="A13520" s="27">
        <v>62</v>
      </c>
    </row>
    <row r="13521" spans="1:1">
      <c r="A13521" s="27">
        <v>11.3</v>
      </c>
    </row>
    <row r="13522" spans="1:1">
      <c r="A13522" s="29">
        <v>0.57708333333333328</v>
      </c>
    </row>
    <row r="13523" spans="1:1">
      <c r="A13523" s="27">
        <v>18.399999999999999</v>
      </c>
    </row>
    <row r="13524" spans="1:1">
      <c r="A13524" s="28">
        <v>18.2</v>
      </c>
    </row>
    <row r="13525" spans="1:1">
      <c r="A13525" s="25">
        <v>645</v>
      </c>
    </row>
    <row r="13526" spans="1:1" ht="30">
      <c r="A13526" s="26" t="s">
        <v>843</v>
      </c>
    </row>
    <row r="13527" spans="1:1">
      <c r="A13527" s="27" t="s">
        <v>653</v>
      </c>
    </row>
    <row r="13528" spans="1:1">
      <c r="A13528" s="27">
        <v>75</v>
      </c>
    </row>
    <row r="13529" spans="1:1">
      <c r="A13529" s="27">
        <v>5</v>
      </c>
    </row>
    <row r="13530" spans="1:1">
      <c r="A13530" s="27">
        <v>14</v>
      </c>
    </row>
    <row r="13531" spans="1:1">
      <c r="A13531" s="27">
        <v>19</v>
      </c>
    </row>
    <row r="13532" spans="1:1">
      <c r="A13532" s="27">
        <v>2</v>
      </c>
    </row>
    <row r="13533" spans="1:1">
      <c r="A13533" s="27">
        <v>22</v>
      </c>
    </row>
    <row r="13534" spans="1:1">
      <c r="A13534" s="27">
        <v>0.25</v>
      </c>
    </row>
    <row r="13535" spans="1:1">
      <c r="A13535" s="27">
        <v>0</v>
      </c>
    </row>
    <row r="13536" spans="1:1">
      <c r="A13536" s="27">
        <v>0</v>
      </c>
    </row>
    <row r="13537" spans="1:1">
      <c r="A13537" s="27">
        <v>0</v>
      </c>
    </row>
    <row r="13538" spans="1:1">
      <c r="A13538" s="27">
        <v>0</v>
      </c>
    </row>
    <row r="13539" spans="1:1">
      <c r="A13539" s="27">
        <v>1</v>
      </c>
    </row>
    <row r="13540" spans="1:1">
      <c r="A13540" s="27">
        <v>0</v>
      </c>
    </row>
    <row r="13541" spans="1:1">
      <c r="A13541" s="27">
        <v>59</v>
      </c>
    </row>
    <row r="13542" spans="1:1">
      <c r="A13542" s="27">
        <v>8.5</v>
      </c>
    </row>
    <row r="13543" spans="1:1">
      <c r="A13543" s="29">
        <v>0.40972222222222227</v>
      </c>
    </row>
    <row r="13544" spans="1:1">
      <c r="A13544" s="27">
        <v>14.3</v>
      </c>
    </row>
    <row r="13545" spans="1:1">
      <c r="A13545" s="28">
        <v>42.4</v>
      </c>
    </row>
    <row r="13546" spans="1:1">
      <c r="A13546" s="25">
        <v>646</v>
      </c>
    </row>
    <row r="13547" spans="1:1" ht="45">
      <c r="A13547" s="26" t="s">
        <v>889</v>
      </c>
    </row>
    <row r="13548" spans="1:1">
      <c r="A13548" s="27" t="s">
        <v>653</v>
      </c>
    </row>
    <row r="13549" spans="1:1">
      <c r="A13549" s="27">
        <v>62</v>
      </c>
    </row>
    <row r="13550" spans="1:1">
      <c r="A13550" s="27">
        <v>8</v>
      </c>
    </row>
    <row r="13551" spans="1:1">
      <c r="A13551" s="27">
        <v>10</v>
      </c>
    </row>
    <row r="13552" spans="1:1">
      <c r="A13552" s="27">
        <v>18</v>
      </c>
    </row>
    <row r="13553" spans="1:1">
      <c r="A13553" s="27">
        <v>-8</v>
      </c>
    </row>
    <row r="13554" spans="1:1">
      <c r="A13554" s="27">
        <v>29</v>
      </c>
    </row>
    <row r="13555" spans="1:1">
      <c r="A13555" s="27">
        <v>0.28999999999999998</v>
      </c>
    </row>
    <row r="13556" spans="1:1">
      <c r="A13556" s="27">
        <v>4</v>
      </c>
    </row>
    <row r="13557" spans="1:1">
      <c r="A13557" s="27">
        <v>4</v>
      </c>
    </row>
    <row r="13558" spans="1:1">
      <c r="A13558" s="27">
        <v>0</v>
      </c>
    </row>
    <row r="13559" spans="1:1">
      <c r="A13559" s="27">
        <v>0</v>
      </c>
    </row>
    <row r="13560" spans="1:1">
      <c r="A13560" s="27">
        <v>0</v>
      </c>
    </row>
    <row r="13561" spans="1:1">
      <c r="A13561" s="27">
        <v>0</v>
      </c>
    </row>
    <row r="13562" spans="1:1">
      <c r="A13562" s="27">
        <v>74</v>
      </c>
    </row>
    <row r="13563" spans="1:1">
      <c r="A13563" s="27">
        <v>10.8</v>
      </c>
    </row>
    <row r="13564" spans="1:1">
      <c r="A13564" s="29">
        <v>0.50347222222222221</v>
      </c>
    </row>
    <row r="13565" spans="1:1">
      <c r="A13565" s="27">
        <v>16.399999999999999</v>
      </c>
    </row>
    <row r="13566" spans="1:1">
      <c r="A13566" s="28">
        <v>35.9</v>
      </c>
    </row>
    <row r="13567" spans="1:1">
      <c r="A13567" s="25">
        <v>647</v>
      </c>
    </row>
    <row r="13568" spans="1:1" ht="30">
      <c r="A13568" s="26" t="s">
        <v>243</v>
      </c>
    </row>
    <row r="13569" spans="1:1">
      <c r="A13569" s="27" t="s">
        <v>653</v>
      </c>
    </row>
    <row r="13570" spans="1:1">
      <c r="A13570" s="27">
        <v>34</v>
      </c>
    </row>
    <row r="13571" spans="1:1">
      <c r="A13571" s="27">
        <v>7</v>
      </c>
    </row>
    <row r="13572" spans="1:1">
      <c r="A13572" s="27">
        <v>11</v>
      </c>
    </row>
    <row r="13573" spans="1:1">
      <c r="A13573" s="27">
        <v>18</v>
      </c>
    </row>
    <row r="13574" spans="1:1">
      <c r="A13574" s="27">
        <v>-2</v>
      </c>
    </row>
    <row r="13575" spans="1:1">
      <c r="A13575" s="27">
        <v>6</v>
      </c>
    </row>
    <row r="13576" spans="1:1">
      <c r="A13576" s="27">
        <v>0.53</v>
      </c>
    </row>
    <row r="13577" spans="1:1">
      <c r="A13577" s="27">
        <v>2</v>
      </c>
    </row>
    <row r="13578" spans="1:1">
      <c r="A13578" s="27">
        <v>2</v>
      </c>
    </row>
    <row r="13579" spans="1:1">
      <c r="A13579" s="27">
        <v>0</v>
      </c>
    </row>
    <row r="13580" spans="1:1">
      <c r="A13580" s="27">
        <v>0</v>
      </c>
    </row>
    <row r="13581" spans="1:1">
      <c r="A13581" s="27">
        <v>2</v>
      </c>
    </row>
    <row r="13582" spans="1:1">
      <c r="A13582" s="27">
        <v>0</v>
      </c>
    </row>
    <row r="13583" spans="1:1">
      <c r="A13583" s="27">
        <v>43</v>
      </c>
    </row>
    <row r="13584" spans="1:1">
      <c r="A13584" s="27">
        <v>16.3</v>
      </c>
    </row>
    <row r="13585" spans="1:1">
      <c r="A13585" s="29">
        <v>0.53472222222222221</v>
      </c>
    </row>
    <row r="13586" spans="1:1">
      <c r="A13586" s="27">
        <v>17.399999999999999</v>
      </c>
    </row>
    <row r="13587" spans="1:1">
      <c r="A13587" s="28">
        <v>26</v>
      </c>
    </row>
    <row r="13588" spans="1:1">
      <c r="A13588" s="25">
        <v>648</v>
      </c>
    </row>
    <row r="13589" spans="1:1" ht="30">
      <c r="A13589" s="26" t="s">
        <v>1089</v>
      </c>
    </row>
    <row r="13590" spans="1:1">
      <c r="A13590" s="27" t="s">
        <v>42</v>
      </c>
    </row>
    <row r="13591" spans="1:1">
      <c r="A13591" s="27">
        <v>68</v>
      </c>
    </row>
    <row r="13592" spans="1:1">
      <c r="A13592" s="27">
        <v>5</v>
      </c>
    </row>
    <row r="13593" spans="1:1">
      <c r="A13593" s="27">
        <v>13</v>
      </c>
    </row>
    <row r="13594" spans="1:1">
      <c r="A13594" s="27">
        <v>18</v>
      </c>
    </row>
    <row r="13595" spans="1:1">
      <c r="A13595" s="27">
        <v>0</v>
      </c>
    </row>
    <row r="13596" spans="1:1">
      <c r="A13596" s="27">
        <v>22</v>
      </c>
    </row>
    <row r="13597" spans="1:1">
      <c r="A13597" s="27">
        <v>0.26</v>
      </c>
    </row>
    <row r="13598" spans="1:1">
      <c r="A13598" s="27">
        <v>1</v>
      </c>
    </row>
    <row r="13599" spans="1:1">
      <c r="A13599" s="27">
        <v>5</v>
      </c>
    </row>
    <row r="13600" spans="1:1">
      <c r="A13600" s="27">
        <v>0</v>
      </c>
    </row>
    <row r="13601" spans="1:1">
      <c r="A13601" s="27">
        <v>0</v>
      </c>
    </row>
    <row r="13602" spans="1:1">
      <c r="A13602" s="27">
        <v>3</v>
      </c>
    </row>
    <row r="13603" spans="1:1">
      <c r="A13603" s="27">
        <v>0</v>
      </c>
    </row>
    <row r="13604" spans="1:1">
      <c r="A13604" s="27">
        <v>75</v>
      </c>
    </row>
    <row r="13605" spans="1:1">
      <c r="A13605" s="27">
        <v>6.7</v>
      </c>
    </row>
    <row r="13606" spans="1:1">
      <c r="A13606" s="29">
        <v>0.58402777777777781</v>
      </c>
    </row>
    <row r="13607" spans="1:1">
      <c r="A13607" s="27">
        <v>18.899999999999999</v>
      </c>
    </row>
    <row r="13608" spans="1:1">
      <c r="A13608" s="28">
        <v>0</v>
      </c>
    </row>
    <row r="13609" spans="1:1">
      <c r="A13609" s="25">
        <v>649</v>
      </c>
    </row>
    <row r="13610" spans="1:1" ht="30">
      <c r="A13610" s="26" t="s">
        <v>1091</v>
      </c>
    </row>
    <row r="13611" spans="1:1">
      <c r="A13611" s="27" t="s">
        <v>42</v>
      </c>
    </row>
    <row r="13612" spans="1:1">
      <c r="A13612" s="27">
        <v>93</v>
      </c>
    </row>
    <row r="13613" spans="1:1">
      <c r="A13613" s="27">
        <v>4</v>
      </c>
    </row>
    <row r="13614" spans="1:1">
      <c r="A13614" s="27">
        <v>14</v>
      </c>
    </row>
    <row r="13615" spans="1:1">
      <c r="A13615" s="27">
        <v>18</v>
      </c>
    </row>
    <row r="13616" spans="1:1">
      <c r="A13616" s="27">
        <v>-15</v>
      </c>
    </row>
    <row r="13617" spans="1:1">
      <c r="A13617" s="27">
        <v>33</v>
      </c>
    </row>
    <row r="13618" spans="1:1">
      <c r="A13618" s="27">
        <v>0.19</v>
      </c>
    </row>
    <row r="13619" spans="1:1">
      <c r="A13619" s="27">
        <v>0</v>
      </c>
    </row>
    <row r="13620" spans="1:1">
      <c r="A13620" s="27">
        <v>2</v>
      </c>
    </row>
    <row r="13621" spans="1:1">
      <c r="A13621" s="27">
        <v>1</v>
      </c>
    </row>
    <row r="13622" spans="1:1">
      <c r="A13622" s="27">
        <v>2</v>
      </c>
    </row>
    <row r="13623" spans="1:1">
      <c r="A13623" s="27">
        <v>0</v>
      </c>
    </row>
    <row r="13624" spans="1:1">
      <c r="A13624" s="27">
        <v>0</v>
      </c>
    </row>
    <row r="13625" spans="1:1">
      <c r="A13625" s="27">
        <v>100</v>
      </c>
    </row>
    <row r="13626" spans="1:1">
      <c r="A13626" s="27">
        <v>4</v>
      </c>
    </row>
    <row r="13627" spans="1:1">
      <c r="A13627" s="29">
        <v>0.68194444444444446</v>
      </c>
    </row>
    <row r="13628" spans="1:1">
      <c r="A13628" s="27">
        <v>21.9</v>
      </c>
    </row>
    <row r="13629" spans="1:1">
      <c r="A13629" s="28">
        <v>0</v>
      </c>
    </row>
    <row r="13630" spans="1:1">
      <c r="A13630" s="25">
        <v>650</v>
      </c>
    </row>
    <row r="13631" spans="1:1" ht="30">
      <c r="A13631" s="26" t="s">
        <v>206</v>
      </c>
    </row>
    <row r="13632" spans="1:1">
      <c r="A13632" s="27" t="s">
        <v>653</v>
      </c>
    </row>
    <row r="13633" spans="1:1">
      <c r="A13633" s="27">
        <v>56</v>
      </c>
    </row>
    <row r="13634" spans="1:1">
      <c r="A13634" s="27">
        <v>9</v>
      </c>
    </row>
    <row r="13635" spans="1:1">
      <c r="A13635" s="27">
        <v>8</v>
      </c>
    </row>
    <row r="13636" spans="1:1">
      <c r="A13636" s="27">
        <v>17</v>
      </c>
    </row>
    <row r="13637" spans="1:1">
      <c r="A13637" s="27">
        <v>4</v>
      </c>
    </row>
    <row r="13638" spans="1:1">
      <c r="A13638" s="27">
        <v>32</v>
      </c>
    </row>
    <row r="13639" spans="1:1">
      <c r="A13639" s="27">
        <v>0.3</v>
      </c>
    </row>
    <row r="13640" spans="1:1">
      <c r="A13640" s="27">
        <v>0</v>
      </c>
    </row>
    <row r="13641" spans="1:1">
      <c r="A13641" s="27">
        <v>0</v>
      </c>
    </row>
    <row r="13642" spans="1:1">
      <c r="A13642" s="27">
        <v>1</v>
      </c>
    </row>
    <row r="13643" spans="1:1">
      <c r="A13643" s="27">
        <v>4</v>
      </c>
    </row>
    <row r="13644" spans="1:1">
      <c r="A13644" s="27">
        <v>2</v>
      </c>
    </row>
    <row r="13645" spans="1:1">
      <c r="A13645" s="27">
        <v>0</v>
      </c>
    </row>
    <row r="13646" spans="1:1">
      <c r="A13646" s="27">
        <v>71</v>
      </c>
    </row>
    <row r="13647" spans="1:1">
      <c r="A13647" s="27">
        <v>12.7</v>
      </c>
    </row>
    <row r="13648" spans="1:1">
      <c r="A13648" s="29">
        <v>0.5444444444444444</v>
      </c>
    </row>
    <row r="13649" spans="1:1">
      <c r="A13649" s="27">
        <v>19.399999999999999</v>
      </c>
    </row>
    <row r="13650" spans="1:1">
      <c r="A13650" s="28">
        <v>45.8</v>
      </c>
    </row>
    <row r="13651" spans="1:1">
      <c r="A13651" s="25">
        <v>651</v>
      </c>
    </row>
    <row r="13652" spans="1:1" ht="30">
      <c r="A13652" s="26" t="s">
        <v>782</v>
      </c>
    </row>
    <row r="13653" spans="1:1">
      <c r="A13653" s="27" t="s">
        <v>653</v>
      </c>
    </row>
    <row r="13654" spans="1:1">
      <c r="A13654" s="27">
        <v>97</v>
      </c>
    </row>
    <row r="13655" spans="1:1">
      <c r="A13655" s="27">
        <v>8</v>
      </c>
    </row>
    <row r="13656" spans="1:1">
      <c r="A13656" s="27">
        <v>9</v>
      </c>
    </row>
    <row r="13657" spans="1:1">
      <c r="A13657" s="27">
        <v>17</v>
      </c>
    </row>
    <row r="13658" spans="1:1">
      <c r="A13658" s="27">
        <v>-20</v>
      </c>
    </row>
    <row r="13659" spans="1:1">
      <c r="A13659" s="27">
        <v>26</v>
      </c>
    </row>
    <row r="13660" spans="1:1">
      <c r="A13660" s="27">
        <v>0.18</v>
      </c>
    </row>
    <row r="13661" spans="1:1">
      <c r="A13661" s="27">
        <v>0</v>
      </c>
    </row>
    <row r="13662" spans="1:1">
      <c r="A13662" s="27">
        <v>0</v>
      </c>
    </row>
    <row r="13663" spans="1:1">
      <c r="A13663" s="27">
        <v>0</v>
      </c>
    </row>
    <row r="13664" spans="1:1">
      <c r="A13664" s="27">
        <v>0</v>
      </c>
    </row>
    <row r="13665" spans="1:1">
      <c r="A13665" s="27">
        <v>0</v>
      </c>
    </row>
    <row r="13666" spans="1:1">
      <c r="A13666" s="27">
        <v>0</v>
      </c>
    </row>
    <row r="13667" spans="1:1">
      <c r="A13667" s="27">
        <v>80</v>
      </c>
    </row>
    <row r="13668" spans="1:1">
      <c r="A13668" s="27">
        <v>10</v>
      </c>
    </row>
    <row r="13669" spans="1:1">
      <c r="A13669" s="29">
        <v>0.41180555555555554</v>
      </c>
    </row>
    <row r="13670" spans="1:1">
      <c r="A13670" s="27">
        <v>13.6</v>
      </c>
    </row>
    <row r="13671" spans="1:1">
      <c r="A13671" s="28">
        <v>47.3</v>
      </c>
    </row>
    <row r="13672" spans="1:1">
      <c r="A13672" s="25">
        <v>652</v>
      </c>
    </row>
    <row r="13673" spans="1:1">
      <c r="A13673" s="26" t="s">
        <v>692</v>
      </c>
    </row>
    <row r="13674" spans="1:1">
      <c r="A13674" s="27" t="s">
        <v>44</v>
      </c>
    </row>
    <row r="13675" spans="1:1">
      <c r="A13675" s="27">
        <v>80</v>
      </c>
    </row>
    <row r="13676" spans="1:1">
      <c r="A13676" s="27">
        <v>7</v>
      </c>
    </row>
    <row r="13677" spans="1:1">
      <c r="A13677" s="27">
        <v>10</v>
      </c>
    </row>
    <row r="13678" spans="1:1">
      <c r="A13678" s="27">
        <v>17</v>
      </c>
    </row>
    <row r="13679" spans="1:1">
      <c r="A13679" s="27">
        <v>-15</v>
      </c>
    </row>
    <row r="13680" spans="1:1">
      <c r="A13680" s="27">
        <v>20</v>
      </c>
    </row>
    <row r="13681" spans="1:1">
      <c r="A13681" s="27">
        <v>0.21</v>
      </c>
    </row>
    <row r="13682" spans="1:1">
      <c r="A13682" s="27">
        <v>0</v>
      </c>
    </row>
    <row r="13683" spans="1:1">
      <c r="A13683" s="27">
        <v>1</v>
      </c>
    </row>
    <row r="13684" spans="1:1">
      <c r="A13684" s="27">
        <v>0</v>
      </c>
    </row>
    <row r="13685" spans="1:1">
      <c r="A13685" s="27">
        <v>0</v>
      </c>
    </row>
    <row r="13686" spans="1:1">
      <c r="A13686" s="27">
        <v>1</v>
      </c>
    </row>
    <row r="13687" spans="1:1">
      <c r="A13687" s="27">
        <v>0</v>
      </c>
    </row>
    <row r="13688" spans="1:1">
      <c r="A13688" s="27">
        <v>113</v>
      </c>
    </row>
    <row r="13689" spans="1:1">
      <c r="A13689" s="27">
        <v>6.2</v>
      </c>
    </row>
    <row r="13690" spans="1:1">
      <c r="A13690" s="29">
        <v>0.4826388888888889</v>
      </c>
    </row>
    <row r="13691" spans="1:1">
      <c r="A13691" s="27">
        <v>16.2</v>
      </c>
    </row>
    <row r="13692" spans="1:1">
      <c r="A13692" s="28">
        <v>53.6</v>
      </c>
    </row>
    <row r="13693" spans="1:1">
      <c r="A13693" s="25">
        <v>653</v>
      </c>
    </row>
    <row r="13694" spans="1:1" ht="30">
      <c r="A13694" s="26" t="s">
        <v>122</v>
      </c>
    </row>
    <row r="13695" spans="1:1">
      <c r="A13695" s="27" t="s">
        <v>42</v>
      </c>
    </row>
    <row r="13696" spans="1:1">
      <c r="A13696" s="27">
        <v>80</v>
      </c>
    </row>
    <row r="13697" spans="1:1">
      <c r="A13697" s="27">
        <v>6</v>
      </c>
    </row>
    <row r="13698" spans="1:1">
      <c r="A13698" s="27">
        <v>11</v>
      </c>
    </row>
    <row r="13699" spans="1:1">
      <c r="A13699" s="27">
        <v>17</v>
      </c>
    </row>
    <row r="13700" spans="1:1">
      <c r="A13700" s="27">
        <v>23</v>
      </c>
    </row>
    <row r="13701" spans="1:1">
      <c r="A13701" s="27">
        <v>81</v>
      </c>
    </row>
    <row r="13702" spans="1:1">
      <c r="A13702" s="27">
        <v>0.21</v>
      </c>
    </row>
    <row r="13703" spans="1:1">
      <c r="A13703" s="27">
        <v>1</v>
      </c>
    </row>
    <row r="13704" spans="1:1">
      <c r="A13704" s="27">
        <v>1</v>
      </c>
    </row>
    <row r="13705" spans="1:1">
      <c r="A13705" s="27">
        <v>0</v>
      </c>
    </row>
    <row r="13706" spans="1:1">
      <c r="A13706" s="27">
        <v>0</v>
      </c>
    </row>
    <row r="13707" spans="1:1">
      <c r="A13707" s="27">
        <v>1</v>
      </c>
    </row>
    <row r="13708" spans="1:1">
      <c r="A13708" s="27">
        <v>0</v>
      </c>
    </row>
    <row r="13709" spans="1:1">
      <c r="A13709" s="27">
        <v>150</v>
      </c>
    </row>
    <row r="13710" spans="1:1">
      <c r="A13710" s="27">
        <v>4</v>
      </c>
    </row>
    <row r="13711" spans="1:1">
      <c r="A13711" s="29">
        <v>0.7993055555555556</v>
      </c>
    </row>
    <row r="13712" spans="1:1">
      <c r="A13712" s="27">
        <v>24.1</v>
      </c>
    </row>
    <row r="13713" spans="1:1">
      <c r="A13713" s="28">
        <v>0</v>
      </c>
    </row>
    <row r="13714" spans="1:1">
      <c r="A13714" s="25">
        <v>654</v>
      </c>
    </row>
    <row r="13715" spans="1:1" ht="30">
      <c r="A13715" s="26" t="s">
        <v>728</v>
      </c>
    </row>
    <row r="13716" spans="1:1">
      <c r="A13716" s="27" t="s">
        <v>653</v>
      </c>
    </row>
    <row r="13717" spans="1:1">
      <c r="A13717" s="27">
        <v>60</v>
      </c>
    </row>
    <row r="13718" spans="1:1">
      <c r="A13718" s="27">
        <v>6</v>
      </c>
    </row>
    <row r="13719" spans="1:1">
      <c r="A13719" s="27">
        <v>11</v>
      </c>
    </row>
    <row r="13720" spans="1:1">
      <c r="A13720" s="27">
        <v>17</v>
      </c>
    </row>
    <row r="13721" spans="1:1">
      <c r="A13721" s="27">
        <v>-11</v>
      </c>
    </row>
    <row r="13722" spans="1:1">
      <c r="A13722" s="27">
        <v>6</v>
      </c>
    </row>
    <row r="13723" spans="1:1">
      <c r="A13723" s="27">
        <v>0.28000000000000003</v>
      </c>
    </row>
    <row r="13724" spans="1:1">
      <c r="A13724" s="27">
        <v>0</v>
      </c>
    </row>
    <row r="13725" spans="1:1">
      <c r="A13725" s="27">
        <v>0</v>
      </c>
    </row>
    <row r="13726" spans="1:1">
      <c r="A13726" s="27">
        <v>0</v>
      </c>
    </row>
    <row r="13727" spans="1:1">
      <c r="A13727" s="27">
        <v>1</v>
      </c>
    </row>
    <row r="13728" spans="1:1">
      <c r="A13728" s="27">
        <v>0</v>
      </c>
    </row>
    <row r="13729" spans="1:1">
      <c r="A13729" s="27">
        <v>0</v>
      </c>
    </row>
    <row r="13730" spans="1:1">
      <c r="A13730" s="27">
        <v>62</v>
      </c>
    </row>
    <row r="13731" spans="1:1">
      <c r="A13731" s="27">
        <v>9.6999999999999993</v>
      </c>
    </row>
    <row r="13732" spans="1:1">
      <c r="A13732" s="29">
        <v>0.46597222222222223</v>
      </c>
    </row>
    <row r="13733" spans="1:1">
      <c r="A13733" s="27">
        <v>15.9</v>
      </c>
    </row>
    <row r="13734" spans="1:1">
      <c r="A13734" s="28">
        <v>50.3</v>
      </c>
    </row>
    <row r="13735" spans="1:1">
      <c r="A13735" s="25">
        <v>655</v>
      </c>
    </row>
    <row r="13736" spans="1:1" ht="45">
      <c r="A13736" s="26" t="s">
        <v>676</v>
      </c>
    </row>
    <row r="13737" spans="1:1">
      <c r="A13737" s="27" t="s">
        <v>43</v>
      </c>
    </row>
    <row r="13738" spans="1:1">
      <c r="A13738" s="27">
        <v>30</v>
      </c>
    </row>
    <row r="13739" spans="1:1">
      <c r="A13739" s="27">
        <v>4</v>
      </c>
    </row>
    <row r="13740" spans="1:1">
      <c r="A13740" s="27">
        <v>13</v>
      </c>
    </row>
    <row r="13741" spans="1:1">
      <c r="A13741" s="27">
        <v>17</v>
      </c>
    </row>
    <row r="13742" spans="1:1">
      <c r="A13742" s="27">
        <v>7</v>
      </c>
    </row>
    <row r="13743" spans="1:1">
      <c r="A13743" s="27">
        <v>4</v>
      </c>
    </row>
    <row r="13744" spans="1:1">
      <c r="A13744" s="27">
        <v>0.56999999999999995</v>
      </c>
    </row>
    <row r="13745" spans="1:1">
      <c r="A13745" s="27">
        <v>0</v>
      </c>
    </row>
    <row r="13746" spans="1:1">
      <c r="A13746" s="27">
        <v>0</v>
      </c>
    </row>
    <row r="13747" spans="1:1">
      <c r="A13747" s="27">
        <v>0</v>
      </c>
    </row>
    <row r="13748" spans="1:1">
      <c r="A13748" s="27">
        <v>0</v>
      </c>
    </row>
    <row r="13749" spans="1:1">
      <c r="A13749" s="27">
        <v>0</v>
      </c>
    </row>
    <row r="13750" spans="1:1">
      <c r="A13750" s="27">
        <v>0</v>
      </c>
    </row>
    <row r="13751" spans="1:1">
      <c r="A13751" s="27">
        <v>69</v>
      </c>
    </row>
    <row r="13752" spans="1:1">
      <c r="A13752" s="27">
        <v>5.8</v>
      </c>
    </row>
    <row r="13753" spans="1:1">
      <c r="A13753" s="29">
        <v>0.67152777777777783</v>
      </c>
    </row>
    <row r="13754" spans="1:1">
      <c r="A13754" s="27">
        <v>22.6</v>
      </c>
    </row>
    <row r="13755" spans="1:1">
      <c r="A13755" s="28">
        <v>66.7</v>
      </c>
    </row>
    <row r="13756" spans="1:1">
      <c r="A13756" s="25">
        <v>656</v>
      </c>
    </row>
    <row r="13757" spans="1:1" ht="30">
      <c r="A13757" s="26" t="s">
        <v>941</v>
      </c>
    </row>
    <row r="13758" spans="1:1">
      <c r="A13758" s="27" t="s">
        <v>44</v>
      </c>
    </row>
    <row r="13759" spans="1:1">
      <c r="A13759" s="27">
        <v>87</v>
      </c>
    </row>
    <row r="13760" spans="1:1">
      <c r="A13760" s="27">
        <v>11</v>
      </c>
    </row>
    <row r="13761" spans="1:1">
      <c r="A13761" s="27">
        <v>5</v>
      </c>
    </row>
    <row r="13762" spans="1:1">
      <c r="A13762" s="27">
        <v>16</v>
      </c>
    </row>
    <row r="13763" spans="1:1">
      <c r="A13763" s="27">
        <v>-10</v>
      </c>
    </row>
    <row r="13764" spans="1:1">
      <c r="A13764" s="27">
        <v>30</v>
      </c>
    </row>
    <row r="13765" spans="1:1">
      <c r="A13765" s="27">
        <v>0.18</v>
      </c>
    </row>
    <row r="13766" spans="1:1">
      <c r="A13766" s="27">
        <v>4</v>
      </c>
    </row>
    <row r="13767" spans="1:1">
      <c r="A13767" s="27">
        <v>4</v>
      </c>
    </row>
    <row r="13768" spans="1:1">
      <c r="A13768" s="27">
        <v>0</v>
      </c>
    </row>
    <row r="13769" spans="1:1">
      <c r="A13769" s="27">
        <v>0</v>
      </c>
    </row>
    <row r="13770" spans="1:1">
      <c r="A13770" s="27">
        <v>2</v>
      </c>
    </row>
    <row r="13771" spans="1:1">
      <c r="A13771" s="27">
        <v>0</v>
      </c>
    </row>
    <row r="13772" spans="1:1">
      <c r="A13772" s="27">
        <v>94</v>
      </c>
    </row>
    <row r="13773" spans="1:1">
      <c r="A13773" s="27">
        <v>11.7</v>
      </c>
    </row>
    <row r="13774" spans="1:1">
      <c r="A13774" s="29">
        <v>0.41597222222222219</v>
      </c>
    </row>
    <row r="13775" spans="1:1">
      <c r="A13775" s="27">
        <v>14.8</v>
      </c>
    </row>
    <row r="13776" spans="1:1">
      <c r="A13776" s="28">
        <v>16.7</v>
      </c>
    </row>
    <row r="13777" spans="1:1">
      <c r="A13777" s="25">
        <v>657</v>
      </c>
    </row>
    <row r="13778" spans="1:1" ht="30">
      <c r="A13778" s="26" t="s">
        <v>847</v>
      </c>
    </row>
    <row r="13779" spans="1:1">
      <c r="A13779" s="27" t="s">
        <v>653</v>
      </c>
    </row>
    <row r="13780" spans="1:1">
      <c r="A13780" s="27">
        <v>100</v>
      </c>
    </row>
    <row r="13781" spans="1:1">
      <c r="A13781" s="27">
        <v>8</v>
      </c>
    </row>
    <row r="13782" spans="1:1">
      <c r="A13782" s="27">
        <v>8</v>
      </c>
    </row>
    <row r="13783" spans="1:1">
      <c r="A13783" s="27">
        <v>16</v>
      </c>
    </row>
    <row r="13784" spans="1:1">
      <c r="A13784" s="27">
        <v>-12</v>
      </c>
    </row>
    <row r="13785" spans="1:1">
      <c r="A13785" s="27">
        <v>20</v>
      </c>
    </row>
    <row r="13786" spans="1:1">
      <c r="A13786" s="27">
        <v>0.16</v>
      </c>
    </row>
    <row r="13787" spans="1:1">
      <c r="A13787" s="27">
        <v>1</v>
      </c>
    </row>
    <row r="13788" spans="1:1">
      <c r="A13788" s="27">
        <v>1</v>
      </c>
    </row>
    <row r="13789" spans="1:1">
      <c r="A13789" s="27">
        <v>1</v>
      </c>
    </row>
    <row r="13790" spans="1:1">
      <c r="A13790" s="27">
        <v>1</v>
      </c>
    </row>
    <row r="13791" spans="1:1">
      <c r="A13791" s="27">
        <v>1</v>
      </c>
    </row>
    <row r="13792" spans="1:1">
      <c r="A13792" s="27">
        <v>0</v>
      </c>
    </row>
    <row r="13793" spans="1:1">
      <c r="A13793" s="27">
        <v>79</v>
      </c>
    </row>
    <row r="13794" spans="1:1">
      <c r="A13794" s="27">
        <v>10.1</v>
      </c>
    </row>
    <row r="13795" spans="1:1">
      <c r="A13795" s="29">
        <v>0.3979166666666667</v>
      </c>
    </row>
    <row r="13796" spans="1:1">
      <c r="A13796" s="27">
        <v>13.7</v>
      </c>
    </row>
    <row r="13797" spans="1:1">
      <c r="A13797" s="28">
        <v>41.7</v>
      </c>
    </row>
    <row r="13798" spans="1:1">
      <c r="A13798" s="25">
        <v>658</v>
      </c>
    </row>
    <row r="13799" spans="1:1" ht="30">
      <c r="A13799" s="26" t="s">
        <v>917</v>
      </c>
    </row>
    <row r="13800" spans="1:1">
      <c r="A13800" s="27" t="s">
        <v>44</v>
      </c>
    </row>
    <row r="13801" spans="1:1">
      <c r="A13801" s="27">
        <v>45</v>
      </c>
    </row>
    <row r="13802" spans="1:1">
      <c r="A13802" s="27">
        <v>7</v>
      </c>
    </row>
    <row r="13803" spans="1:1">
      <c r="A13803" s="27">
        <v>9</v>
      </c>
    </row>
    <row r="13804" spans="1:1">
      <c r="A13804" s="27">
        <v>16</v>
      </c>
    </row>
    <row r="13805" spans="1:1">
      <c r="A13805" s="27">
        <v>-16</v>
      </c>
    </row>
    <row r="13806" spans="1:1">
      <c r="A13806" s="27">
        <v>6</v>
      </c>
    </row>
    <row r="13807" spans="1:1">
      <c r="A13807" s="27">
        <v>0.36</v>
      </c>
    </row>
    <row r="13808" spans="1:1">
      <c r="A13808" s="27">
        <v>1</v>
      </c>
    </row>
    <row r="13809" spans="1:1">
      <c r="A13809" s="27">
        <v>2</v>
      </c>
    </row>
    <row r="13810" spans="1:1">
      <c r="A13810" s="27">
        <v>0</v>
      </c>
    </row>
    <row r="13811" spans="1:1">
      <c r="A13811" s="27">
        <v>0</v>
      </c>
    </row>
    <row r="13812" spans="1:1">
      <c r="A13812" s="27">
        <v>1</v>
      </c>
    </row>
    <row r="13813" spans="1:1">
      <c r="A13813" s="27">
        <v>0</v>
      </c>
    </row>
    <row r="13814" spans="1:1">
      <c r="A13814" s="27">
        <v>68</v>
      </c>
    </row>
    <row r="13815" spans="1:1">
      <c r="A13815" s="27">
        <v>10.3</v>
      </c>
    </row>
    <row r="13816" spans="1:1">
      <c r="A13816" s="29">
        <v>0.52986111111111112</v>
      </c>
    </row>
    <row r="13817" spans="1:1">
      <c r="A13817" s="27">
        <v>15.8</v>
      </c>
    </row>
    <row r="13818" spans="1:1">
      <c r="A13818" s="28">
        <v>28.6</v>
      </c>
    </row>
    <row r="13819" spans="1:1">
      <c r="A13819" s="25">
        <v>659</v>
      </c>
    </row>
    <row r="13820" spans="1:1" ht="30">
      <c r="A13820" s="26" t="s">
        <v>770</v>
      </c>
    </row>
    <row r="13821" spans="1:1">
      <c r="A13821" s="27" t="s">
        <v>653</v>
      </c>
    </row>
    <row r="13822" spans="1:1">
      <c r="A13822" s="27">
        <v>118</v>
      </c>
    </row>
    <row r="13823" spans="1:1">
      <c r="A13823" s="27">
        <v>6</v>
      </c>
    </row>
    <row r="13824" spans="1:1">
      <c r="A13824" s="27">
        <v>10</v>
      </c>
    </row>
    <row r="13825" spans="1:1">
      <c r="A13825" s="27">
        <v>16</v>
      </c>
    </row>
    <row r="13826" spans="1:1">
      <c r="A13826" s="27">
        <v>-7</v>
      </c>
    </row>
    <row r="13827" spans="1:1">
      <c r="A13827" s="27">
        <v>47</v>
      </c>
    </row>
    <row r="13828" spans="1:1">
      <c r="A13828" s="27">
        <v>0.14000000000000001</v>
      </c>
    </row>
    <row r="13829" spans="1:1">
      <c r="A13829" s="27">
        <v>1</v>
      </c>
    </row>
    <row r="13830" spans="1:1">
      <c r="A13830" s="27">
        <v>1</v>
      </c>
    </row>
    <row r="13831" spans="1:1">
      <c r="A13831" s="27">
        <v>0</v>
      </c>
    </row>
    <row r="13832" spans="1:1">
      <c r="A13832" s="27">
        <v>0</v>
      </c>
    </row>
    <row r="13833" spans="1:1">
      <c r="A13833" s="27">
        <v>2</v>
      </c>
    </row>
    <row r="13834" spans="1:1">
      <c r="A13834" s="27">
        <v>0</v>
      </c>
    </row>
    <row r="13835" spans="1:1">
      <c r="A13835" s="27">
        <v>142</v>
      </c>
    </row>
    <row r="13836" spans="1:1">
      <c r="A13836" s="27">
        <v>4.2</v>
      </c>
    </row>
    <row r="13837" spans="1:1">
      <c r="A13837" s="29">
        <v>0.46666666666666662</v>
      </c>
    </row>
    <row r="13838" spans="1:1">
      <c r="A13838" s="27">
        <v>16.399999999999999</v>
      </c>
    </row>
    <row r="13839" spans="1:1">
      <c r="A13839" s="28">
        <v>48.5</v>
      </c>
    </row>
    <row r="13840" spans="1:1">
      <c r="A13840" s="25">
        <v>660</v>
      </c>
    </row>
    <row r="13841" spans="1:1" ht="30">
      <c r="A13841" s="26" t="s">
        <v>787</v>
      </c>
    </row>
    <row r="13842" spans="1:1">
      <c r="A13842" s="27" t="s">
        <v>653</v>
      </c>
    </row>
    <row r="13843" spans="1:1">
      <c r="A13843" s="27">
        <v>110</v>
      </c>
    </row>
    <row r="13844" spans="1:1">
      <c r="A13844" s="27">
        <v>5</v>
      </c>
    </row>
    <row r="13845" spans="1:1">
      <c r="A13845" s="27">
        <v>11</v>
      </c>
    </row>
    <row r="13846" spans="1:1">
      <c r="A13846" s="27">
        <v>16</v>
      </c>
    </row>
    <row r="13847" spans="1:1">
      <c r="A13847" s="27">
        <v>-14</v>
      </c>
    </row>
    <row r="13848" spans="1:1">
      <c r="A13848" s="27">
        <v>47</v>
      </c>
    </row>
    <row r="13849" spans="1:1">
      <c r="A13849" s="27">
        <v>0.15</v>
      </c>
    </row>
    <row r="13850" spans="1:1">
      <c r="A13850" s="27">
        <v>0</v>
      </c>
    </row>
    <row r="13851" spans="1:1">
      <c r="A13851" s="27">
        <v>0</v>
      </c>
    </row>
    <row r="13852" spans="1:1">
      <c r="A13852" s="27">
        <v>0</v>
      </c>
    </row>
    <row r="13853" spans="1:1">
      <c r="A13853" s="27">
        <v>0</v>
      </c>
    </row>
    <row r="13854" spans="1:1">
      <c r="A13854" s="27">
        <v>0</v>
      </c>
    </row>
    <row r="13855" spans="1:1">
      <c r="A13855" s="27">
        <v>0</v>
      </c>
    </row>
    <row r="13856" spans="1:1">
      <c r="A13856" s="27">
        <v>119</v>
      </c>
    </row>
    <row r="13857" spans="1:1">
      <c r="A13857" s="27">
        <v>4.2</v>
      </c>
    </row>
    <row r="13858" spans="1:1">
      <c r="A13858" s="29">
        <v>0.50208333333333333</v>
      </c>
    </row>
    <row r="13859" spans="1:1">
      <c r="A13859" s="27">
        <v>18</v>
      </c>
    </row>
    <row r="13860" spans="1:1">
      <c r="A13860" s="28">
        <v>46.9</v>
      </c>
    </row>
    <row r="13861" spans="1:1">
      <c r="A13861" s="25">
        <v>661</v>
      </c>
    </row>
    <row r="13862" spans="1:1" ht="30">
      <c r="A13862" s="26" t="s">
        <v>307</v>
      </c>
    </row>
    <row r="13863" spans="1:1">
      <c r="A13863" s="27" t="s">
        <v>44</v>
      </c>
    </row>
    <row r="13864" spans="1:1">
      <c r="A13864" s="27">
        <v>63</v>
      </c>
    </row>
    <row r="13865" spans="1:1">
      <c r="A13865" s="27">
        <v>8</v>
      </c>
    </row>
    <row r="13866" spans="1:1">
      <c r="A13866" s="27">
        <v>7</v>
      </c>
    </row>
    <row r="13867" spans="1:1">
      <c r="A13867" s="27">
        <v>15</v>
      </c>
    </row>
    <row r="13868" spans="1:1">
      <c r="A13868" s="27">
        <v>2</v>
      </c>
    </row>
    <row r="13869" spans="1:1">
      <c r="A13869" s="27">
        <v>22</v>
      </c>
    </row>
    <row r="13870" spans="1:1">
      <c r="A13870" s="27">
        <v>0.24</v>
      </c>
    </row>
    <row r="13871" spans="1:1">
      <c r="A13871" s="27">
        <v>1</v>
      </c>
    </row>
    <row r="13872" spans="1:1">
      <c r="A13872" s="27">
        <v>1</v>
      </c>
    </row>
    <row r="13873" spans="1:1">
      <c r="A13873" s="27">
        <v>0</v>
      </c>
    </row>
    <row r="13874" spans="1:1">
      <c r="A13874" s="27">
        <v>0</v>
      </c>
    </row>
    <row r="13875" spans="1:1">
      <c r="A13875" s="27">
        <v>1</v>
      </c>
    </row>
    <row r="13876" spans="1:1">
      <c r="A13876" s="27">
        <v>0</v>
      </c>
    </row>
    <row r="13877" spans="1:1">
      <c r="A13877" s="27">
        <v>65</v>
      </c>
    </row>
    <row r="13878" spans="1:1">
      <c r="A13878" s="27">
        <v>12.3</v>
      </c>
    </row>
    <row r="13879" spans="1:1">
      <c r="A13879" s="29">
        <v>0.46527777777777773</v>
      </c>
    </row>
    <row r="13880" spans="1:1">
      <c r="A13880" s="27">
        <v>14.5</v>
      </c>
    </row>
    <row r="13881" spans="1:1">
      <c r="A13881" s="28">
        <v>50</v>
      </c>
    </row>
    <row r="13882" spans="1:1">
      <c r="A13882" s="25">
        <v>662</v>
      </c>
    </row>
    <row r="13883" spans="1:1" ht="45">
      <c r="A13883" s="26" t="s">
        <v>839</v>
      </c>
    </row>
    <row r="13884" spans="1:1">
      <c r="A13884" s="27" t="s">
        <v>44</v>
      </c>
    </row>
    <row r="13885" spans="1:1">
      <c r="A13885" s="27">
        <v>91</v>
      </c>
    </row>
    <row r="13886" spans="1:1">
      <c r="A13886" s="27">
        <v>8</v>
      </c>
    </row>
    <row r="13887" spans="1:1">
      <c r="A13887" s="27">
        <v>7</v>
      </c>
    </row>
    <row r="13888" spans="1:1">
      <c r="A13888" s="27">
        <v>15</v>
      </c>
    </row>
    <row r="13889" spans="1:1">
      <c r="A13889" s="27">
        <v>-8</v>
      </c>
    </row>
    <row r="13890" spans="1:1">
      <c r="A13890" s="27">
        <v>14</v>
      </c>
    </row>
    <row r="13891" spans="1:1">
      <c r="A13891" s="27">
        <v>0.16</v>
      </c>
    </row>
    <row r="13892" spans="1:1">
      <c r="A13892" s="27">
        <v>0</v>
      </c>
    </row>
    <row r="13893" spans="1:1">
      <c r="A13893" s="27">
        <v>0</v>
      </c>
    </row>
    <row r="13894" spans="1:1">
      <c r="A13894" s="27">
        <v>0</v>
      </c>
    </row>
    <row r="13895" spans="1:1">
      <c r="A13895" s="27">
        <v>1</v>
      </c>
    </row>
    <row r="13896" spans="1:1">
      <c r="A13896" s="27">
        <v>1</v>
      </c>
    </row>
    <row r="13897" spans="1:1">
      <c r="A13897" s="27">
        <v>0</v>
      </c>
    </row>
    <row r="13898" spans="1:1">
      <c r="A13898" s="27">
        <v>94</v>
      </c>
    </row>
    <row r="13899" spans="1:1">
      <c r="A13899" s="27">
        <v>8.5</v>
      </c>
    </row>
    <row r="13900" spans="1:1">
      <c r="A13900" s="29">
        <v>0.37222222222222223</v>
      </c>
    </row>
    <row r="13901" spans="1:1">
      <c r="A13901" s="27">
        <v>13.1</v>
      </c>
    </row>
    <row r="13902" spans="1:1">
      <c r="A13902" s="28">
        <v>42.9</v>
      </c>
    </row>
    <row r="13903" spans="1:1">
      <c r="A13903" s="25">
        <v>663</v>
      </c>
    </row>
    <row r="13904" spans="1:1" ht="45">
      <c r="A13904" s="26" t="s">
        <v>107</v>
      </c>
    </row>
    <row r="13905" spans="1:1">
      <c r="A13905" s="27" t="s">
        <v>653</v>
      </c>
    </row>
    <row r="13906" spans="1:1">
      <c r="A13906" s="27">
        <v>50</v>
      </c>
    </row>
    <row r="13907" spans="1:1">
      <c r="A13907" s="27">
        <v>8</v>
      </c>
    </row>
    <row r="13908" spans="1:1">
      <c r="A13908" s="27">
        <v>7</v>
      </c>
    </row>
    <row r="13909" spans="1:1">
      <c r="A13909" s="27">
        <v>15</v>
      </c>
    </row>
    <row r="13910" spans="1:1">
      <c r="A13910" s="27">
        <v>-9</v>
      </c>
    </row>
    <row r="13911" spans="1:1">
      <c r="A13911" s="27">
        <v>20</v>
      </c>
    </row>
    <row r="13912" spans="1:1">
      <c r="A13912" s="27">
        <v>0.3</v>
      </c>
    </row>
    <row r="13913" spans="1:1">
      <c r="A13913" s="27">
        <v>0</v>
      </c>
    </row>
    <row r="13914" spans="1:1">
      <c r="A13914" s="27">
        <v>1</v>
      </c>
    </row>
    <row r="13915" spans="1:1">
      <c r="A13915" s="27">
        <v>0</v>
      </c>
    </row>
    <row r="13916" spans="1:1">
      <c r="A13916" s="27">
        <v>0</v>
      </c>
    </row>
    <row r="13917" spans="1:1">
      <c r="A13917" s="27">
        <v>0</v>
      </c>
    </row>
    <row r="13918" spans="1:1">
      <c r="A13918" s="27">
        <v>0</v>
      </c>
    </row>
    <row r="13919" spans="1:1">
      <c r="A13919" s="27">
        <v>40</v>
      </c>
    </row>
    <row r="13920" spans="1:1">
      <c r="A13920" s="27">
        <v>20</v>
      </c>
    </row>
    <row r="13921" spans="1:1">
      <c r="A13921" s="29">
        <v>0.39305555555555555</v>
      </c>
    </row>
    <row r="13922" spans="1:1">
      <c r="A13922" s="27">
        <v>13.9</v>
      </c>
    </row>
    <row r="13923" spans="1:1">
      <c r="A13923" s="28">
        <v>66.7</v>
      </c>
    </row>
    <row r="13924" spans="1:1">
      <c r="A13924" s="25">
        <v>664</v>
      </c>
    </row>
    <row r="13925" spans="1:1" ht="30">
      <c r="A13925" s="26" t="s">
        <v>1068</v>
      </c>
    </row>
    <row r="13926" spans="1:1">
      <c r="A13926" s="27" t="s">
        <v>42</v>
      </c>
    </row>
    <row r="13927" spans="1:1">
      <c r="A13927" s="27">
        <v>59</v>
      </c>
    </row>
    <row r="13928" spans="1:1">
      <c r="A13928" s="27">
        <v>7</v>
      </c>
    </row>
    <row r="13929" spans="1:1">
      <c r="A13929" s="27">
        <v>8</v>
      </c>
    </row>
    <row r="13930" spans="1:1">
      <c r="A13930" s="27">
        <v>15</v>
      </c>
    </row>
    <row r="13931" spans="1:1">
      <c r="A13931" s="27">
        <v>-24</v>
      </c>
    </row>
    <row r="13932" spans="1:1">
      <c r="A13932" s="27">
        <v>20</v>
      </c>
    </row>
    <row r="13933" spans="1:1">
      <c r="A13933" s="27">
        <v>0.25</v>
      </c>
    </row>
    <row r="13934" spans="1:1">
      <c r="A13934" s="27">
        <v>4</v>
      </c>
    </row>
    <row r="13935" spans="1:1">
      <c r="A13935" s="27">
        <v>8</v>
      </c>
    </row>
    <row r="13936" spans="1:1">
      <c r="A13936" s="27">
        <v>0</v>
      </c>
    </row>
    <row r="13937" spans="1:1">
      <c r="A13937" s="27">
        <v>0</v>
      </c>
    </row>
    <row r="13938" spans="1:1">
      <c r="A13938" s="27">
        <v>0</v>
      </c>
    </row>
    <row r="13939" spans="1:1">
      <c r="A13939" s="27">
        <v>0</v>
      </c>
    </row>
    <row r="13940" spans="1:1">
      <c r="A13940" s="27">
        <v>81</v>
      </c>
    </row>
    <row r="13941" spans="1:1">
      <c r="A13941" s="27">
        <v>8.6</v>
      </c>
    </row>
    <row r="13942" spans="1:1">
      <c r="A13942" s="29">
        <v>0.76666666666666661</v>
      </c>
    </row>
    <row r="13943" spans="1:1">
      <c r="A13943" s="27">
        <v>24.4</v>
      </c>
    </row>
    <row r="13944" spans="1:1">
      <c r="A13944" s="28">
        <v>0</v>
      </c>
    </row>
    <row r="13945" spans="1:1">
      <c r="A13945" s="25">
        <v>665</v>
      </c>
    </row>
    <row r="13946" spans="1:1" ht="30">
      <c r="A13946" s="26" t="s">
        <v>938</v>
      </c>
    </row>
    <row r="13947" spans="1:1">
      <c r="A13947" s="27" t="s">
        <v>44</v>
      </c>
    </row>
    <row r="13948" spans="1:1">
      <c r="A13948" s="27">
        <v>47</v>
      </c>
    </row>
    <row r="13949" spans="1:1">
      <c r="A13949" s="27">
        <v>6</v>
      </c>
    </row>
    <row r="13950" spans="1:1">
      <c r="A13950" s="27">
        <v>9</v>
      </c>
    </row>
    <row r="13951" spans="1:1">
      <c r="A13951" s="27">
        <v>15</v>
      </c>
    </row>
    <row r="13952" spans="1:1">
      <c r="A13952" s="27">
        <v>-1</v>
      </c>
    </row>
    <row r="13953" spans="1:1">
      <c r="A13953" s="27">
        <v>6</v>
      </c>
    </row>
    <row r="13954" spans="1:1">
      <c r="A13954" s="27">
        <v>0.32</v>
      </c>
    </row>
    <row r="13955" spans="1:1">
      <c r="A13955" s="27">
        <v>0</v>
      </c>
    </row>
    <row r="13956" spans="1:1">
      <c r="A13956" s="27">
        <v>2</v>
      </c>
    </row>
    <row r="13957" spans="1:1">
      <c r="A13957" s="27">
        <v>0</v>
      </c>
    </row>
    <row r="13958" spans="1:1">
      <c r="A13958" s="27">
        <v>0</v>
      </c>
    </row>
    <row r="13959" spans="1:1">
      <c r="A13959" s="27">
        <v>1</v>
      </c>
    </row>
    <row r="13960" spans="1:1">
      <c r="A13960" s="27">
        <v>0</v>
      </c>
    </row>
    <row r="13961" spans="1:1">
      <c r="A13961" s="27">
        <v>57</v>
      </c>
    </row>
    <row r="13962" spans="1:1">
      <c r="A13962" s="27">
        <v>10.5</v>
      </c>
    </row>
    <row r="13963" spans="1:1">
      <c r="A13963" s="29">
        <v>0.45208333333333334</v>
      </c>
    </row>
    <row r="13964" spans="1:1">
      <c r="A13964" s="27">
        <v>13.8</v>
      </c>
    </row>
    <row r="13965" spans="1:1">
      <c r="A13965" s="28">
        <v>18.2</v>
      </c>
    </row>
    <row r="13966" spans="1:1">
      <c r="A13966" s="25">
        <v>666</v>
      </c>
    </row>
    <row r="13967" spans="1:1" ht="30">
      <c r="A13967" s="26" t="s">
        <v>1039</v>
      </c>
    </row>
    <row r="13968" spans="1:1">
      <c r="A13968" s="27" t="s">
        <v>42</v>
      </c>
    </row>
    <row r="13969" spans="1:1">
      <c r="A13969" s="27">
        <v>40</v>
      </c>
    </row>
    <row r="13970" spans="1:1">
      <c r="A13970" s="27">
        <v>5</v>
      </c>
    </row>
    <row r="13971" spans="1:1">
      <c r="A13971" s="27">
        <v>10</v>
      </c>
    </row>
    <row r="13972" spans="1:1">
      <c r="A13972" s="27">
        <v>15</v>
      </c>
    </row>
    <row r="13973" spans="1:1">
      <c r="A13973" s="27">
        <v>-1</v>
      </c>
    </row>
    <row r="13974" spans="1:1">
      <c r="A13974" s="27">
        <v>6</v>
      </c>
    </row>
    <row r="13975" spans="1:1">
      <c r="A13975" s="27">
        <v>0.38</v>
      </c>
    </row>
    <row r="13976" spans="1:1">
      <c r="A13976" s="27">
        <v>0</v>
      </c>
    </row>
    <row r="13977" spans="1:1">
      <c r="A13977" s="27">
        <v>3</v>
      </c>
    </row>
    <row r="13978" spans="1:1">
      <c r="A13978" s="27">
        <v>0</v>
      </c>
    </row>
    <row r="13979" spans="1:1">
      <c r="A13979" s="27">
        <v>0</v>
      </c>
    </row>
    <row r="13980" spans="1:1">
      <c r="A13980" s="27">
        <v>1</v>
      </c>
    </row>
    <row r="13981" spans="1:1">
      <c r="A13981" s="27">
        <v>0</v>
      </c>
    </row>
    <row r="13982" spans="1:1">
      <c r="A13982" s="27">
        <v>50</v>
      </c>
    </row>
    <row r="13983" spans="1:1">
      <c r="A13983" s="27">
        <v>10</v>
      </c>
    </row>
    <row r="13984" spans="1:1">
      <c r="A13984" s="29">
        <v>0.69374999999999998</v>
      </c>
    </row>
    <row r="13985" spans="1:1">
      <c r="A13985" s="27">
        <v>21.5</v>
      </c>
    </row>
    <row r="13986" spans="1:1">
      <c r="A13986" s="28">
        <v>0</v>
      </c>
    </row>
    <row r="13987" spans="1:1">
      <c r="A13987" s="25">
        <v>667</v>
      </c>
    </row>
    <row r="13988" spans="1:1" ht="30">
      <c r="A13988" s="26" t="s">
        <v>945</v>
      </c>
    </row>
    <row r="13989" spans="1:1">
      <c r="A13989" s="27" t="s">
        <v>44</v>
      </c>
    </row>
    <row r="13990" spans="1:1">
      <c r="A13990" s="27">
        <v>62</v>
      </c>
    </row>
    <row r="13991" spans="1:1">
      <c r="A13991" s="27">
        <v>3</v>
      </c>
    </row>
    <row r="13992" spans="1:1">
      <c r="A13992" s="27">
        <v>12</v>
      </c>
    </row>
    <row r="13993" spans="1:1">
      <c r="A13993" s="27">
        <v>15</v>
      </c>
    </row>
    <row r="13994" spans="1:1">
      <c r="A13994" s="27">
        <v>-5</v>
      </c>
    </row>
    <row r="13995" spans="1:1">
      <c r="A13995" s="27">
        <v>34</v>
      </c>
    </row>
    <row r="13996" spans="1:1">
      <c r="A13996" s="27">
        <v>0.24</v>
      </c>
    </row>
    <row r="13997" spans="1:1">
      <c r="A13997" s="27">
        <v>0</v>
      </c>
    </row>
    <row r="13998" spans="1:1">
      <c r="A13998" s="27">
        <v>0</v>
      </c>
    </row>
    <row r="13999" spans="1:1">
      <c r="A13999" s="27">
        <v>0</v>
      </c>
    </row>
    <row r="14000" spans="1:1">
      <c r="A14000" s="27">
        <v>0</v>
      </c>
    </row>
    <row r="14001" spans="1:1">
      <c r="A14001" s="27">
        <v>0</v>
      </c>
    </row>
    <row r="14002" spans="1:1">
      <c r="A14002" s="27">
        <v>0</v>
      </c>
    </row>
    <row r="14003" spans="1:1">
      <c r="A14003" s="27">
        <v>97</v>
      </c>
    </row>
    <row r="14004" spans="1:1">
      <c r="A14004" s="27">
        <v>3.1</v>
      </c>
    </row>
    <row r="14005" spans="1:1">
      <c r="A14005" s="29">
        <v>0.45347222222222222</v>
      </c>
    </row>
    <row r="14006" spans="1:1">
      <c r="A14006" s="27">
        <v>15.3</v>
      </c>
    </row>
    <row r="14007" spans="1:1">
      <c r="A14007" s="28">
        <v>14.3</v>
      </c>
    </row>
    <row r="14008" spans="1:1">
      <c r="A14008" s="25">
        <v>668</v>
      </c>
    </row>
    <row r="14009" spans="1:1" ht="30">
      <c r="A14009" s="26" t="s">
        <v>329</v>
      </c>
    </row>
    <row r="14010" spans="1:1">
      <c r="A14010" s="27" t="s">
        <v>42</v>
      </c>
    </row>
    <row r="14011" spans="1:1">
      <c r="A14011" s="27">
        <v>52</v>
      </c>
    </row>
    <row r="14012" spans="1:1">
      <c r="A14012" s="27">
        <v>6</v>
      </c>
    </row>
    <row r="14013" spans="1:1">
      <c r="A14013" s="27">
        <v>8</v>
      </c>
    </row>
    <row r="14014" spans="1:1">
      <c r="A14014" s="27">
        <v>14</v>
      </c>
    </row>
    <row r="14015" spans="1:1">
      <c r="A14015" s="27">
        <v>21</v>
      </c>
    </row>
    <row r="14016" spans="1:1">
      <c r="A14016" s="27">
        <v>29</v>
      </c>
    </row>
    <row r="14017" spans="1:1">
      <c r="A14017" s="27">
        <v>0.27</v>
      </c>
    </row>
    <row r="14018" spans="1:1">
      <c r="A14018" s="27">
        <v>0</v>
      </c>
    </row>
    <row r="14019" spans="1:1">
      <c r="A14019" s="27">
        <v>0</v>
      </c>
    </row>
    <row r="14020" spans="1:1">
      <c r="A14020" s="27">
        <v>0</v>
      </c>
    </row>
    <row r="14021" spans="1:1">
      <c r="A14021" s="27">
        <v>1</v>
      </c>
    </row>
    <row r="14022" spans="1:1">
      <c r="A14022" s="27">
        <v>0</v>
      </c>
    </row>
    <row r="14023" spans="1:1">
      <c r="A14023" s="27">
        <v>0</v>
      </c>
    </row>
    <row r="14024" spans="1:1">
      <c r="A14024" s="27">
        <v>64</v>
      </c>
    </row>
    <row r="14025" spans="1:1">
      <c r="A14025" s="27">
        <v>9.4</v>
      </c>
    </row>
    <row r="14026" spans="1:1">
      <c r="A14026" s="29">
        <v>0.56666666666666665</v>
      </c>
    </row>
    <row r="14027" spans="1:1">
      <c r="A14027" s="27">
        <v>18.399999999999999</v>
      </c>
    </row>
    <row r="14028" spans="1:1">
      <c r="A14028" s="28">
        <v>0</v>
      </c>
    </row>
    <row r="14029" spans="1:1">
      <c r="A14029" s="25">
        <v>669</v>
      </c>
    </row>
    <row r="14030" spans="1:1" ht="30">
      <c r="A14030" s="26" t="s">
        <v>771</v>
      </c>
    </row>
    <row r="14031" spans="1:1">
      <c r="A14031" s="27" t="s">
        <v>653</v>
      </c>
    </row>
    <row r="14032" spans="1:1">
      <c r="A14032" s="27">
        <v>28</v>
      </c>
    </row>
    <row r="14033" spans="1:1">
      <c r="A14033" s="27">
        <v>6</v>
      </c>
    </row>
    <row r="14034" spans="1:1">
      <c r="A14034" s="27">
        <v>8</v>
      </c>
    </row>
    <row r="14035" spans="1:1">
      <c r="A14035" s="27">
        <v>14</v>
      </c>
    </row>
    <row r="14036" spans="1:1">
      <c r="A14036" s="27">
        <v>-2</v>
      </c>
    </row>
    <row r="14037" spans="1:1">
      <c r="A14037" s="27">
        <v>4</v>
      </c>
    </row>
    <row r="14038" spans="1:1">
      <c r="A14038" s="27">
        <v>0.5</v>
      </c>
    </row>
    <row r="14039" spans="1:1">
      <c r="A14039" s="27">
        <v>2</v>
      </c>
    </row>
    <row r="14040" spans="1:1">
      <c r="A14040" s="27">
        <v>4</v>
      </c>
    </row>
    <row r="14041" spans="1:1">
      <c r="A14041" s="27">
        <v>0</v>
      </c>
    </row>
    <row r="14042" spans="1:1">
      <c r="A14042" s="27">
        <v>0</v>
      </c>
    </row>
    <row r="14043" spans="1:1">
      <c r="A14043" s="27">
        <v>0</v>
      </c>
    </row>
    <row r="14044" spans="1:1">
      <c r="A14044" s="27">
        <v>0</v>
      </c>
    </row>
    <row r="14045" spans="1:1">
      <c r="A14045" s="27">
        <v>46</v>
      </c>
    </row>
    <row r="14046" spans="1:1">
      <c r="A14046" s="27">
        <v>13</v>
      </c>
    </row>
    <row r="14047" spans="1:1">
      <c r="A14047" s="29">
        <v>0.60138888888888886</v>
      </c>
    </row>
    <row r="14048" spans="1:1">
      <c r="A14048" s="27">
        <v>18.399999999999999</v>
      </c>
    </row>
    <row r="14049" spans="1:1">
      <c r="A14049" s="28">
        <v>48.5</v>
      </c>
    </row>
    <row r="14050" spans="1:1">
      <c r="A14050" s="25">
        <v>670</v>
      </c>
    </row>
    <row r="14051" spans="1:1" ht="45">
      <c r="A14051" s="26" t="s">
        <v>1104</v>
      </c>
    </row>
    <row r="14052" spans="1:1">
      <c r="A14052" s="27" t="s">
        <v>42</v>
      </c>
    </row>
    <row r="14053" spans="1:1">
      <c r="A14053" s="27">
        <v>90</v>
      </c>
    </row>
    <row r="14054" spans="1:1">
      <c r="A14054" s="27">
        <v>5</v>
      </c>
    </row>
    <row r="14055" spans="1:1">
      <c r="A14055" s="27">
        <v>9</v>
      </c>
    </row>
    <row r="14056" spans="1:1">
      <c r="A14056" s="27">
        <v>14</v>
      </c>
    </row>
    <row r="14057" spans="1:1">
      <c r="A14057" s="27">
        <v>6</v>
      </c>
    </row>
    <row r="14058" spans="1:1">
      <c r="A14058" s="27">
        <v>28</v>
      </c>
    </row>
    <row r="14059" spans="1:1">
      <c r="A14059" s="27">
        <v>0.16</v>
      </c>
    </row>
    <row r="14060" spans="1:1">
      <c r="A14060" s="27">
        <v>0</v>
      </c>
    </row>
    <row r="14061" spans="1:1">
      <c r="A14061" s="27">
        <v>4</v>
      </c>
    </row>
    <row r="14062" spans="1:1">
      <c r="A14062" s="27">
        <v>0</v>
      </c>
    </row>
    <row r="14063" spans="1:1">
      <c r="A14063" s="27">
        <v>0</v>
      </c>
    </row>
    <row r="14064" spans="1:1">
      <c r="A14064" s="27">
        <v>0</v>
      </c>
    </row>
    <row r="14065" spans="1:1">
      <c r="A14065" s="27">
        <v>0</v>
      </c>
    </row>
    <row r="14066" spans="1:1">
      <c r="A14066" s="27">
        <v>106</v>
      </c>
    </row>
    <row r="14067" spans="1:1">
      <c r="A14067" s="27">
        <v>4.7</v>
      </c>
    </row>
    <row r="14068" spans="1:1">
      <c r="A14068" s="29">
        <v>0.64374999999999993</v>
      </c>
    </row>
    <row r="14069" spans="1:1">
      <c r="A14069" s="27">
        <v>20.7</v>
      </c>
    </row>
    <row r="14070" spans="1:1">
      <c r="A14070" s="28">
        <v>0</v>
      </c>
    </row>
    <row r="14071" spans="1:1">
      <c r="A14071" s="25">
        <v>671</v>
      </c>
    </row>
    <row r="14072" spans="1:1" ht="30">
      <c r="A14072" s="26" t="s">
        <v>272</v>
      </c>
    </row>
    <row r="14073" spans="1:1">
      <c r="A14073" s="27" t="s">
        <v>42</v>
      </c>
    </row>
    <row r="14074" spans="1:1">
      <c r="A14074" s="27">
        <v>26</v>
      </c>
    </row>
    <row r="14075" spans="1:1">
      <c r="A14075" s="27">
        <v>5</v>
      </c>
    </row>
    <row r="14076" spans="1:1">
      <c r="A14076" s="27">
        <v>9</v>
      </c>
    </row>
    <row r="14077" spans="1:1">
      <c r="A14077" s="27">
        <v>14</v>
      </c>
    </row>
    <row r="14078" spans="1:1">
      <c r="A14078" s="27">
        <v>5</v>
      </c>
    </row>
    <row r="14079" spans="1:1">
      <c r="A14079" s="27">
        <v>8</v>
      </c>
    </row>
    <row r="14080" spans="1:1">
      <c r="A14080" s="27">
        <v>0.54</v>
      </c>
    </row>
    <row r="14081" spans="1:1">
      <c r="A14081" s="27">
        <v>1</v>
      </c>
    </row>
    <row r="14082" spans="1:1">
      <c r="A14082" s="27">
        <v>6</v>
      </c>
    </row>
    <row r="14083" spans="1:1">
      <c r="A14083" s="27">
        <v>0</v>
      </c>
    </row>
    <row r="14084" spans="1:1">
      <c r="A14084" s="27">
        <v>0</v>
      </c>
    </row>
    <row r="14085" spans="1:1">
      <c r="A14085" s="27">
        <v>2</v>
      </c>
    </row>
    <row r="14086" spans="1:1">
      <c r="A14086" s="27">
        <v>0</v>
      </c>
    </row>
    <row r="14087" spans="1:1">
      <c r="A14087" s="27">
        <v>46</v>
      </c>
    </row>
    <row r="14088" spans="1:1">
      <c r="A14088" s="27">
        <v>10.9</v>
      </c>
    </row>
    <row r="14089" spans="1:1">
      <c r="A14089" s="29">
        <v>0.75694444444444453</v>
      </c>
    </row>
    <row r="14090" spans="1:1">
      <c r="A14090" s="27">
        <v>22.4</v>
      </c>
    </row>
    <row r="14091" spans="1:1">
      <c r="A14091" s="28">
        <v>0</v>
      </c>
    </row>
    <row r="14092" spans="1:1">
      <c r="A14092" s="25">
        <v>672</v>
      </c>
    </row>
    <row r="14093" spans="1:1" ht="30">
      <c r="A14093" s="26" t="s">
        <v>944</v>
      </c>
    </row>
    <row r="14094" spans="1:1">
      <c r="A14094" s="27" t="s">
        <v>44</v>
      </c>
    </row>
    <row r="14095" spans="1:1">
      <c r="A14095" s="27">
        <v>36</v>
      </c>
    </row>
    <row r="14096" spans="1:1">
      <c r="A14096" s="27">
        <v>5</v>
      </c>
    </row>
    <row r="14097" spans="1:1">
      <c r="A14097" s="27">
        <v>9</v>
      </c>
    </row>
    <row r="14098" spans="1:1">
      <c r="A14098" s="27">
        <v>14</v>
      </c>
    </row>
    <row r="14099" spans="1:1">
      <c r="A14099" s="27">
        <v>-7</v>
      </c>
    </row>
    <row r="14100" spans="1:1">
      <c r="A14100" s="27">
        <v>10</v>
      </c>
    </row>
    <row r="14101" spans="1:1">
      <c r="A14101" s="27">
        <v>0.39</v>
      </c>
    </row>
    <row r="14102" spans="1:1">
      <c r="A14102" s="27">
        <v>3</v>
      </c>
    </row>
    <row r="14103" spans="1:1">
      <c r="A14103" s="27">
        <v>4</v>
      </c>
    </row>
    <row r="14104" spans="1:1">
      <c r="A14104" s="27">
        <v>0</v>
      </c>
    </row>
    <row r="14105" spans="1:1">
      <c r="A14105" s="27">
        <v>0</v>
      </c>
    </row>
    <row r="14106" spans="1:1">
      <c r="A14106" s="27">
        <v>1</v>
      </c>
    </row>
    <row r="14107" spans="1:1">
      <c r="A14107" s="27">
        <v>0</v>
      </c>
    </row>
    <row r="14108" spans="1:1">
      <c r="A14108" s="27">
        <v>48</v>
      </c>
    </row>
    <row r="14109" spans="1:1">
      <c r="A14109" s="27">
        <v>10.4</v>
      </c>
    </row>
    <row r="14110" spans="1:1">
      <c r="A14110" s="29">
        <v>0.51458333333333328</v>
      </c>
    </row>
    <row r="14111" spans="1:1">
      <c r="A14111" s="27">
        <v>16.3</v>
      </c>
    </row>
    <row r="14112" spans="1:1">
      <c r="A14112" s="28">
        <v>14.3</v>
      </c>
    </row>
    <row r="14113" spans="1:1">
      <c r="A14113" s="25">
        <v>673</v>
      </c>
    </row>
    <row r="14114" spans="1:1" ht="30">
      <c r="A14114" s="26" t="s">
        <v>940</v>
      </c>
    </row>
    <row r="14115" spans="1:1">
      <c r="A14115" s="27" t="s">
        <v>44</v>
      </c>
    </row>
    <row r="14116" spans="1:1">
      <c r="A14116" s="27">
        <v>33</v>
      </c>
    </row>
    <row r="14117" spans="1:1">
      <c r="A14117" s="27">
        <v>3</v>
      </c>
    </row>
    <row r="14118" spans="1:1">
      <c r="A14118" s="27">
        <v>11</v>
      </c>
    </row>
    <row r="14119" spans="1:1">
      <c r="A14119" s="27">
        <v>14</v>
      </c>
    </row>
    <row r="14120" spans="1:1">
      <c r="A14120" s="27">
        <v>-11</v>
      </c>
    </row>
    <row r="14121" spans="1:1">
      <c r="A14121" s="27">
        <v>8</v>
      </c>
    </row>
    <row r="14122" spans="1:1">
      <c r="A14122" s="27">
        <v>0.42</v>
      </c>
    </row>
    <row r="14123" spans="1:1">
      <c r="A14123" s="27">
        <v>0</v>
      </c>
    </row>
    <row r="14124" spans="1:1">
      <c r="A14124" s="27">
        <v>6</v>
      </c>
    </row>
    <row r="14125" spans="1:1">
      <c r="A14125" s="27">
        <v>0</v>
      </c>
    </row>
    <row r="14126" spans="1:1">
      <c r="A14126" s="27">
        <v>0</v>
      </c>
    </row>
    <row r="14127" spans="1:1">
      <c r="A14127" s="27">
        <v>1</v>
      </c>
    </row>
    <row r="14128" spans="1:1">
      <c r="A14128" s="27">
        <v>0</v>
      </c>
    </row>
    <row r="14129" spans="1:1">
      <c r="A14129" s="27">
        <v>31</v>
      </c>
    </row>
    <row r="14130" spans="1:1">
      <c r="A14130" s="27">
        <v>9.6999999999999993</v>
      </c>
    </row>
    <row r="14131" spans="1:1">
      <c r="A14131" s="29">
        <v>0.54999999999999993</v>
      </c>
    </row>
    <row r="14132" spans="1:1">
      <c r="A14132" s="27">
        <v>17</v>
      </c>
    </row>
    <row r="14133" spans="1:1">
      <c r="A14133" s="28">
        <v>16.7</v>
      </c>
    </row>
    <row r="14134" spans="1:1">
      <c r="A14134" s="25">
        <v>674</v>
      </c>
    </row>
    <row r="14135" spans="1:1" ht="45">
      <c r="A14135" s="26" t="s">
        <v>754</v>
      </c>
    </row>
    <row r="14136" spans="1:1">
      <c r="A14136" s="27" t="s">
        <v>653</v>
      </c>
    </row>
    <row r="14137" spans="1:1">
      <c r="A14137" s="27">
        <v>83</v>
      </c>
    </row>
    <row r="14138" spans="1:1">
      <c r="A14138" s="27">
        <v>2</v>
      </c>
    </row>
    <row r="14139" spans="1:1">
      <c r="A14139" s="27">
        <v>12</v>
      </c>
    </row>
    <row r="14140" spans="1:1">
      <c r="A14140" s="27">
        <v>14</v>
      </c>
    </row>
    <row r="14141" spans="1:1">
      <c r="A14141" s="27">
        <v>8</v>
      </c>
    </row>
    <row r="14142" spans="1:1">
      <c r="A14142" s="27">
        <v>22</v>
      </c>
    </row>
    <row r="14143" spans="1:1">
      <c r="A14143" s="27">
        <v>0.17</v>
      </c>
    </row>
    <row r="14144" spans="1:1">
      <c r="A14144" s="27">
        <v>0</v>
      </c>
    </row>
    <row r="14145" spans="1:1">
      <c r="A14145" s="27">
        <v>0</v>
      </c>
    </row>
    <row r="14146" spans="1:1">
      <c r="A14146" s="27">
        <v>0</v>
      </c>
    </row>
    <row r="14147" spans="1:1">
      <c r="A14147" s="27">
        <v>0</v>
      </c>
    </row>
    <row r="14148" spans="1:1">
      <c r="A14148" s="27">
        <v>0</v>
      </c>
    </row>
    <row r="14149" spans="1:1">
      <c r="A14149" s="27">
        <v>0</v>
      </c>
    </row>
    <row r="14150" spans="1:1">
      <c r="A14150" s="27">
        <v>81</v>
      </c>
    </row>
    <row r="14151" spans="1:1">
      <c r="A14151" s="27">
        <v>2.5</v>
      </c>
    </row>
    <row r="14152" spans="1:1">
      <c r="A14152" s="29">
        <v>0.47013888888888888</v>
      </c>
    </row>
    <row r="14153" spans="1:1">
      <c r="A14153" s="27">
        <v>17</v>
      </c>
    </row>
    <row r="14154" spans="1:1">
      <c r="A14154" s="28">
        <v>49.7</v>
      </c>
    </row>
    <row r="14155" spans="1:1">
      <c r="A14155" s="25">
        <v>675</v>
      </c>
    </row>
    <row r="14156" spans="1:1" ht="30">
      <c r="A14156" s="26" t="s">
        <v>1103</v>
      </c>
    </row>
    <row r="14157" spans="1:1">
      <c r="A14157" s="27" t="s">
        <v>42</v>
      </c>
    </row>
    <row r="14158" spans="1:1">
      <c r="A14158" s="27">
        <v>127</v>
      </c>
    </row>
    <row r="14159" spans="1:1">
      <c r="A14159" s="27">
        <v>2</v>
      </c>
    </row>
    <row r="14160" spans="1:1">
      <c r="A14160" s="27">
        <v>12</v>
      </c>
    </row>
    <row r="14161" spans="1:1">
      <c r="A14161" s="27">
        <v>14</v>
      </c>
    </row>
    <row r="14162" spans="1:1">
      <c r="A14162" s="27">
        <v>-12</v>
      </c>
    </row>
    <row r="14163" spans="1:1">
      <c r="A14163" s="27">
        <v>59</v>
      </c>
    </row>
    <row r="14164" spans="1:1">
      <c r="A14164" s="27">
        <v>0.11</v>
      </c>
    </row>
    <row r="14165" spans="1:1">
      <c r="A14165" s="27">
        <v>0</v>
      </c>
    </row>
    <row r="14166" spans="1:1">
      <c r="A14166" s="27">
        <v>0</v>
      </c>
    </row>
    <row r="14167" spans="1:1">
      <c r="A14167" s="27">
        <v>0</v>
      </c>
    </row>
    <row r="14168" spans="1:1">
      <c r="A14168" s="27">
        <v>0</v>
      </c>
    </row>
    <row r="14169" spans="1:1">
      <c r="A14169" s="27">
        <v>0</v>
      </c>
    </row>
    <row r="14170" spans="1:1">
      <c r="A14170" s="27">
        <v>0</v>
      </c>
    </row>
    <row r="14171" spans="1:1">
      <c r="A14171" s="27">
        <v>74</v>
      </c>
    </row>
    <row r="14172" spans="1:1">
      <c r="A14172" s="27">
        <v>2.7</v>
      </c>
    </row>
    <row r="14173" spans="1:1">
      <c r="A14173" s="29">
        <v>0.62361111111111112</v>
      </c>
    </row>
    <row r="14174" spans="1:1">
      <c r="A14174" s="27">
        <v>22.1</v>
      </c>
    </row>
    <row r="14175" spans="1:1">
      <c r="A14175" s="28">
        <v>0</v>
      </c>
    </row>
    <row r="14176" spans="1:1">
      <c r="A14176" s="25">
        <v>676</v>
      </c>
    </row>
    <row r="14177" spans="1:1">
      <c r="A14177" s="26" t="s">
        <v>924</v>
      </c>
    </row>
    <row r="14178" spans="1:1">
      <c r="A14178" s="27" t="s">
        <v>43</v>
      </c>
    </row>
    <row r="14179" spans="1:1">
      <c r="A14179" s="27">
        <v>39</v>
      </c>
    </row>
    <row r="14180" spans="1:1">
      <c r="A14180" s="27">
        <v>8</v>
      </c>
    </row>
    <row r="14181" spans="1:1">
      <c r="A14181" s="27">
        <v>5</v>
      </c>
    </row>
    <row r="14182" spans="1:1">
      <c r="A14182" s="27">
        <v>13</v>
      </c>
    </row>
    <row r="14183" spans="1:1">
      <c r="A14183" s="27">
        <v>-3</v>
      </c>
    </row>
    <row r="14184" spans="1:1">
      <c r="A14184" s="27">
        <v>9</v>
      </c>
    </row>
    <row r="14185" spans="1:1">
      <c r="A14185" s="27">
        <v>0.33</v>
      </c>
    </row>
    <row r="14186" spans="1:1">
      <c r="A14186" s="27">
        <v>1</v>
      </c>
    </row>
    <row r="14187" spans="1:1">
      <c r="A14187" s="27">
        <v>1</v>
      </c>
    </row>
    <row r="14188" spans="1:1">
      <c r="A14188" s="27">
        <v>0</v>
      </c>
    </row>
    <row r="14189" spans="1:1">
      <c r="A14189" s="27">
        <v>0</v>
      </c>
    </row>
    <row r="14190" spans="1:1">
      <c r="A14190" s="27">
        <v>2</v>
      </c>
    </row>
    <row r="14191" spans="1:1">
      <c r="A14191" s="27">
        <v>0</v>
      </c>
    </row>
    <row r="14192" spans="1:1">
      <c r="A14192" s="27">
        <v>54</v>
      </c>
    </row>
    <row r="14193" spans="1:1">
      <c r="A14193" s="27">
        <v>14.8</v>
      </c>
    </row>
    <row r="14194" spans="1:1">
      <c r="A14194" s="29">
        <v>0.45833333333333331</v>
      </c>
    </row>
    <row r="14195" spans="1:1">
      <c r="A14195" s="27">
        <v>16</v>
      </c>
    </row>
    <row r="14196" spans="1:1">
      <c r="A14196" s="28">
        <v>25</v>
      </c>
    </row>
    <row r="14197" spans="1:1">
      <c r="A14197" s="25">
        <v>677</v>
      </c>
    </row>
    <row r="14198" spans="1:1" ht="30">
      <c r="A14198" s="26" t="s">
        <v>1083</v>
      </c>
    </row>
    <row r="14199" spans="1:1">
      <c r="A14199" s="27" t="s">
        <v>42</v>
      </c>
    </row>
    <row r="14200" spans="1:1">
      <c r="A14200" s="27">
        <v>53</v>
      </c>
    </row>
    <row r="14201" spans="1:1">
      <c r="A14201" s="27">
        <v>5</v>
      </c>
    </row>
    <row r="14202" spans="1:1">
      <c r="A14202" s="27">
        <v>8</v>
      </c>
    </row>
    <row r="14203" spans="1:1">
      <c r="A14203" s="27">
        <v>13</v>
      </c>
    </row>
    <row r="14204" spans="1:1">
      <c r="A14204" s="27">
        <v>-22</v>
      </c>
    </row>
    <row r="14205" spans="1:1">
      <c r="A14205" s="27">
        <v>29</v>
      </c>
    </row>
    <row r="14206" spans="1:1">
      <c r="A14206" s="27">
        <v>0.25</v>
      </c>
    </row>
    <row r="14207" spans="1:1">
      <c r="A14207" s="27">
        <v>1</v>
      </c>
    </row>
    <row r="14208" spans="1:1">
      <c r="A14208" s="27">
        <v>5</v>
      </c>
    </row>
    <row r="14209" spans="1:1">
      <c r="A14209" s="27">
        <v>0</v>
      </c>
    </row>
    <row r="14210" spans="1:1">
      <c r="A14210" s="27">
        <v>0</v>
      </c>
    </row>
    <row r="14211" spans="1:1">
      <c r="A14211" s="27">
        <v>0</v>
      </c>
    </row>
    <row r="14212" spans="1:1">
      <c r="A14212" s="27">
        <v>0</v>
      </c>
    </row>
    <row r="14213" spans="1:1">
      <c r="A14213" s="27">
        <v>78</v>
      </c>
    </row>
    <row r="14214" spans="1:1">
      <c r="A14214" s="27">
        <v>6.4</v>
      </c>
    </row>
    <row r="14215" spans="1:1">
      <c r="A14215" s="29">
        <v>0.66527777777777775</v>
      </c>
    </row>
    <row r="14216" spans="1:1">
      <c r="A14216" s="27">
        <v>20.399999999999999</v>
      </c>
    </row>
    <row r="14217" spans="1:1">
      <c r="A14217" s="28">
        <v>0</v>
      </c>
    </row>
    <row r="14218" spans="1:1">
      <c r="A14218" s="25">
        <v>678</v>
      </c>
    </row>
    <row r="14219" spans="1:1" ht="30">
      <c r="A14219" s="26" t="s">
        <v>463</v>
      </c>
    </row>
    <row r="14220" spans="1:1">
      <c r="A14220" s="27" t="s">
        <v>42</v>
      </c>
    </row>
    <row r="14221" spans="1:1">
      <c r="A14221" s="27">
        <v>48</v>
      </c>
    </row>
    <row r="14222" spans="1:1">
      <c r="A14222" s="27">
        <v>5</v>
      </c>
    </row>
    <row r="14223" spans="1:1">
      <c r="A14223" s="27">
        <v>8</v>
      </c>
    </row>
    <row r="14224" spans="1:1">
      <c r="A14224" s="27">
        <v>13</v>
      </c>
    </row>
    <row r="14225" spans="1:1">
      <c r="A14225" s="27">
        <v>-13</v>
      </c>
    </row>
    <row r="14226" spans="1:1">
      <c r="A14226" s="27">
        <v>30</v>
      </c>
    </row>
    <row r="14227" spans="1:1">
      <c r="A14227" s="27">
        <v>0.27</v>
      </c>
    </row>
    <row r="14228" spans="1:1">
      <c r="A14228" s="27">
        <v>2</v>
      </c>
    </row>
    <row r="14229" spans="1:1">
      <c r="A14229" s="27">
        <v>3</v>
      </c>
    </row>
    <row r="14230" spans="1:1">
      <c r="A14230" s="27">
        <v>0</v>
      </c>
    </row>
    <row r="14231" spans="1:1">
      <c r="A14231" s="27">
        <v>0</v>
      </c>
    </row>
    <row r="14232" spans="1:1">
      <c r="A14232" s="27">
        <v>1</v>
      </c>
    </row>
    <row r="14233" spans="1:1">
      <c r="A14233" s="27">
        <v>0</v>
      </c>
    </row>
    <row r="14234" spans="1:1">
      <c r="A14234" s="27">
        <v>59</v>
      </c>
    </row>
    <row r="14235" spans="1:1">
      <c r="A14235" s="27">
        <v>8.5</v>
      </c>
    </row>
    <row r="14236" spans="1:1">
      <c r="A14236" s="29">
        <v>0.84166666666666667</v>
      </c>
    </row>
    <row r="14237" spans="1:1">
      <c r="A14237" s="27">
        <v>24.9</v>
      </c>
    </row>
    <row r="14238" spans="1:1">
      <c r="A14238" s="28">
        <v>0</v>
      </c>
    </row>
    <row r="14239" spans="1:1">
      <c r="A14239" s="25">
        <v>679</v>
      </c>
    </row>
    <row r="14240" spans="1:1" ht="30">
      <c r="A14240" s="26" t="s">
        <v>881</v>
      </c>
    </row>
    <row r="14241" spans="1:1">
      <c r="A14241" s="27" t="s">
        <v>44</v>
      </c>
    </row>
    <row r="14242" spans="1:1">
      <c r="A14242" s="27">
        <v>53</v>
      </c>
    </row>
    <row r="14243" spans="1:1">
      <c r="A14243" s="27">
        <v>5</v>
      </c>
    </row>
    <row r="14244" spans="1:1">
      <c r="A14244" s="27">
        <v>8</v>
      </c>
    </row>
    <row r="14245" spans="1:1">
      <c r="A14245" s="27">
        <v>13</v>
      </c>
    </row>
    <row r="14246" spans="1:1">
      <c r="A14246" s="27">
        <v>-15</v>
      </c>
    </row>
    <row r="14247" spans="1:1">
      <c r="A14247" s="27">
        <v>31</v>
      </c>
    </row>
    <row r="14248" spans="1:1">
      <c r="A14248" s="27">
        <v>0.25</v>
      </c>
    </row>
    <row r="14249" spans="1:1">
      <c r="A14249" s="27">
        <v>0</v>
      </c>
    </row>
    <row r="14250" spans="1:1">
      <c r="A14250" s="27">
        <v>1</v>
      </c>
    </row>
    <row r="14251" spans="1:1">
      <c r="A14251" s="27">
        <v>0</v>
      </c>
    </row>
    <row r="14252" spans="1:1">
      <c r="A14252" s="27">
        <v>0</v>
      </c>
    </row>
    <row r="14253" spans="1:1">
      <c r="A14253" s="27">
        <v>0</v>
      </c>
    </row>
    <row r="14254" spans="1:1">
      <c r="A14254" s="27">
        <v>0</v>
      </c>
    </row>
    <row r="14255" spans="1:1">
      <c r="A14255" s="27">
        <v>50</v>
      </c>
    </row>
    <row r="14256" spans="1:1">
      <c r="A14256" s="27">
        <v>10</v>
      </c>
    </row>
    <row r="14257" spans="1:1">
      <c r="A14257" s="29">
        <v>0.42986111111111108</v>
      </c>
    </row>
    <row r="14258" spans="1:1">
      <c r="A14258" s="27">
        <v>13.8</v>
      </c>
    </row>
    <row r="14259" spans="1:1">
      <c r="A14259" s="28">
        <v>37.4</v>
      </c>
    </row>
    <row r="14260" spans="1:1">
      <c r="A14260" s="25">
        <v>680</v>
      </c>
    </row>
    <row r="14261" spans="1:1" ht="30">
      <c r="A14261" s="26" t="s">
        <v>928</v>
      </c>
    </row>
    <row r="14262" spans="1:1">
      <c r="A14262" s="27" t="s">
        <v>44</v>
      </c>
    </row>
    <row r="14263" spans="1:1">
      <c r="A14263" s="27">
        <v>46</v>
      </c>
    </row>
    <row r="14264" spans="1:1">
      <c r="A14264" s="27">
        <v>5</v>
      </c>
    </row>
    <row r="14265" spans="1:1">
      <c r="A14265" s="27">
        <v>8</v>
      </c>
    </row>
    <row r="14266" spans="1:1">
      <c r="A14266" s="27">
        <v>13</v>
      </c>
    </row>
    <row r="14267" spans="1:1">
      <c r="A14267" s="27">
        <v>0</v>
      </c>
    </row>
    <row r="14268" spans="1:1">
      <c r="A14268" s="27">
        <v>6</v>
      </c>
    </row>
    <row r="14269" spans="1:1">
      <c r="A14269" s="27">
        <v>0.28000000000000003</v>
      </c>
    </row>
    <row r="14270" spans="1:1">
      <c r="A14270" s="27">
        <v>0</v>
      </c>
    </row>
    <row r="14271" spans="1:1">
      <c r="A14271" s="27">
        <v>0</v>
      </c>
    </row>
    <row r="14272" spans="1:1">
      <c r="A14272" s="27">
        <v>0</v>
      </c>
    </row>
    <row r="14273" spans="1:1">
      <c r="A14273" s="27">
        <v>1</v>
      </c>
    </row>
    <row r="14274" spans="1:1">
      <c r="A14274" s="27">
        <v>0</v>
      </c>
    </row>
    <row r="14275" spans="1:1">
      <c r="A14275" s="27">
        <v>0</v>
      </c>
    </row>
    <row r="14276" spans="1:1">
      <c r="A14276" s="27">
        <v>62</v>
      </c>
    </row>
    <row r="14277" spans="1:1">
      <c r="A14277" s="27">
        <v>8.1</v>
      </c>
    </row>
    <row r="14278" spans="1:1">
      <c r="A14278" s="29">
        <v>0.47222222222222227</v>
      </c>
    </row>
    <row r="14279" spans="1:1">
      <c r="A14279" s="27">
        <v>17</v>
      </c>
    </row>
    <row r="14280" spans="1:1">
      <c r="A14280" s="28">
        <v>25</v>
      </c>
    </row>
    <row r="14281" spans="1:1">
      <c r="A14281" s="25">
        <v>681</v>
      </c>
    </row>
    <row r="14282" spans="1:1" ht="30">
      <c r="A14282" s="26" t="s">
        <v>1110</v>
      </c>
    </row>
    <row r="14283" spans="1:1">
      <c r="A14283" s="27" t="s">
        <v>42</v>
      </c>
    </row>
    <row r="14284" spans="1:1">
      <c r="A14284" s="27">
        <v>88</v>
      </c>
    </row>
    <row r="14285" spans="1:1">
      <c r="A14285" s="27">
        <v>3</v>
      </c>
    </row>
    <row r="14286" spans="1:1">
      <c r="A14286" s="27">
        <v>10</v>
      </c>
    </row>
    <row r="14287" spans="1:1">
      <c r="A14287" s="27">
        <v>13</v>
      </c>
    </row>
    <row r="14288" spans="1:1">
      <c r="A14288" s="27">
        <v>3</v>
      </c>
    </row>
    <row r="14289" spans="1:1">
      <c r="A14289" s="27">
        <v>30</v>
      </c>
    </row>
    <row r="14290" spans="1:1">
      <c r="A14290" s="27">
        <v>0.15</v>
      </c>
    </row>
    <row r="14291" spans="1:1">
      <c r="A14291" s="27">
        <v>0</v>
      </c>
    </row>
    <row r="14292" spans="1:1">
      <c r="A14292" s="27">
        <v>1</v>
      </c>
    </row>
    <row r="14293" spans="1:1">
      <c r="A14293" s="27">
        <v>0</v>
      </c>
    </row>
    <row r="14294" spans="1:1">
      <c r="A14294" s="27">
        <v>0</v>
      </c>
    </row>
    <row r="14295" spans="1:1">
      <c r="A14295" s="27">
        <v>1</v>
      </c>
    </row>
    <row r="14296" spans="1:1">
      <c r="A14296" s="27">
        <v>0</v>
      </c>
    </row>
    <row r="14297" spans="1:1">
      <c r="A14297" s="27">
        <v>138</v>
      </c>
    </row>
    <row r="14298" spans="1:1">
      <c r="A14298" s="27">
        <v>2.2000000000000002</v>
      </c>
    </row>
    <row r="14299" spans="1:1">
      <c r="A14299" s="29">
        <v>0.70694444444444438</v>
      </c>
    </row>
    <row r="14300" spans="1:1">
      <c r="A14300" s="27">
        <v>23.1</v>
      </c>
    </row>
    <row r="14301" spans="1:1">
      <c r="A14301" s="28">
        <v>0</v>
      </c>
    </row>
    <row r="14302" spans="1:1">
      <c r="A14302" s="25">
        <v>682</v>
      </c>
    </row>
    <row r="14303" spans="1:1" ht="45">
      <c r="A14303" s="26" t="s">
        <v>748</v>
      </c>
    </row>
    <row r="14304" spans="1:1">
      <c r="A14304" s="27" t="s">
        <v>43</v>
      </c>
    </row>
    <row r="14305" spans="1:1">
      <c r="A14305" s="27">
        <v>131</v>
      </c>
    </row>
    <row r="14306" spans="1:1">
      <c r="A14306" s="27">
        <v>2</v>
      </c>
    </row>
    <row r="14307" spans="1:1">
      <c r="A14307" s="27">
        <v>11</v>
      </c>
    </row>
    <row r="14308" spans="1:1">
      <c r="A14308" s="27">
        <v>13</v>
      </c>
    </row>
    <row r="14309" spans="1:1">
      <c r="A14309" s="27">
        <v>-11</v>
      </c>
    </row>
    <row r="14310" spans="1:1">
      <c r="A14310" s="27">
        <v>162</v>
      </c>
    </row>
    <row r="14311" spans="1:1">
      <c r="A14311" s="27">
        <v>0.1</v>
      </c>
    </row>
    <row r="14312" spans="1:1">
      <c r="A14312" s="27">
        <v>0</v>
      </c>
    </row>
    <row r="14313" spans="1:1">
      <c r="A14313" s="27">
        <v>0</v>
      </c>
    </row>
    <row r="14314" spans="1:1">
      <c r="A14314" s="27">
        <v>0</v>
      </c>
    </row>
    <row r="14315" spans="1:1">
      <c r="A14315" s="27">
        <v>0</v>
      </c>
    </row>
    <row r="14316" spans="1:1">
      <c r="A14316" s="27">
        <v>0</v>
      </c>
    </row>
    <row r="14317" spans="1:1">
      <c r="A14317" s="27">
        <v>0</v>
      </c>
    </row>
    <row r="14318" spans="1:1">
      <c r="A14318" s="27">
        <v>75</v>
      </c>
    </row>
    <row r="14319" spans="1:1">
      <c r="A14319" s="27">
        <v>2.7</v>
      </c>
    </row>
    <row r="14320" spans="1:1">
      <c r="A14320" s="29">
        <v>0.39861111111111108</v>
      </c>
    </row>
    <row r="14321" spans="1:1">
      <c r="A14321" s="27">
        <v>13.5</v>
      </c>
    </row>
    <row r="14322" spans="1:1">
      <c r="A14322" s="28">
        <v>50</v>
      </c>
    </row>
    <row r="14323" spans="1:1">
      <c r="A14323" s="25">
        <v>683</v>
      </c>
    </row>
    <row r="14324" spans="1:1" ht="30">
      <c r="A14324" s="26" t="s">
        <v>238</v>
      </c>
    </row>
    <row r="14325" spans="1:1">
      <c r="A14325" s="27" t="s">
        <v>42</v>
      </c>
    </row>
    <row r="14326" spans="1:1">
      <c r="A14326" s="27">
        <v>104</v>
      </c>
    </row>
    <row r="14327" spans="1:1">
      <c r="A14327" s="27">
        <v>2</v>
      </c>
    </row>
    <row r="14328" spans="1:1">
      <c r="A14328" s="27">
        <v>11</v>
      </c>
    </row>
    <row r="14329" spans="1:1">
      <c r="A14329" s="27">
        <v>13</v>
      </c>
    </row>
    <row r="14330" spans="1:1">
      <c r="A14330" s="27">
        <v>0</v>
      </c>
    </row>
    <row r="14331" spans="1:1">
      <c r="A14331" s="27">
        <v>18</v>
      </c>
    </row>
    <row r="14332" spans="1:1">
      <c r="A14332" s="27">
        <v>0.13</v>
      </c>
    </row>
    <row r="14333" spans="1:1">
      <c r="A14333" s="27">
        <v>0</v>
      </c>
    </row>
    <row r="14334" spans="1:1">
      <c r="A14334" s="27">
        <v>0</v>
      </c>
    </row>
    <row r="14335" spans="1:1">
      <c r="A14335" s="27">
        <v>0</v>
      </c>
    </row>
    <row r="14336" spans="1:1">
      <c r="A14336" s="27">
        <v>0</v>
      </c>
    </row>
    <row r="14337" spans="1:1">
      <c r="A14337" s="27">
        <v>0</v>
      </c>
    </row>
    <row r="14338" spans="1:1">
      <c r="A14338" s="27">
        <v>0</v>
      </c>
    </row>
    <row r="14339" spans="1:1">
      <c r="A14339" s="27">
        <v>129</v>
      </c>
    </row>
    <row r="14340" spans="1:1">
      <c r="A14340" s="27">
        <v>1.6</v>
      </c>
    </row>
    <row r="14341" spans="1:1">
      <c r="A14341" s="29">
        <v>0.62638888888888888</v>
      </c>
    </row>
    <row r="14342" spans="1:1">
      <c r="A14342" s="27">
        <v>19.7</v>
      </c>
    </row>
    <row r="14343" spans="1:1">
      <c r="A14343" s="28">
        <v>0</v>
      </c>
    </row>
    <row r="14344" spans="1:1">
      <c r="A14344" s="25">
        <v>684</v>
      </c>
    </row>
    <row r="14345" spans="1:1" ht="30">
      <c r="A14345" s="26" t="s">
        <v>1093</v>
      </c>
    </row>
    <row r="14346" spans="1:1">
      <c r="A14346" s="27" t="s">
        <v>42</v>
      </c>
    </row>
    <row r="14347" spans="1:1">
      <c r="A14347" s="27">
        <v>55</v>
      </c>
    </row>
    <row r="14348" spans="1:1">
      <c r="A14348" s="27">
        <v>2</v>
      </c>
    </row>
    <row r="14349" spans="1:1">
      <c r="A14349" s="27">
        <v>11</v>
      </c>
    </row>
    <row r="14350" spans="1:1">
      <c r="A14350" s="27">
        <v>13</v>
      </c>
    </row>
    <row r="14351" spans="1:1">
      <c r="A14351" s="27">
        <v>-3</v>
      </c>
    </row>
    <row r="14352" spans="1:1">
      <c r="A14352" s="27">
        <v>16</v>
      </c>
    </row>
    <row r="14353" spans="1:1">
      <c r="A14353" s="27">
        <v>0.24</v>
      </c>
    </row>
    <row r="14354" spans="1:1">
      <c r="A14354" s="27">
        <v>0</v>
      </c>
    </row>
    <row r="14355" spans="1:1">
      <c r="A14355" s="27">
        <v>0</v>
      </c>
    </row>
    <row r="14356" spans="1:1">
      <c r="A14356" s="27">
        <v>0</v>
      </c>
    </row>
    <row r="14357" spans="1:1">
      <c r="A14357" s="27">
        <v>0</v>
      </c>
    </row>
    <row r="14358" spans="1:1">
      <c r="A14358" s="27">
        <v>1</v>
      </c>
    </row>
    <row r="14359" spans="1:1">
      <c r="A14359" s="27">
        <v>0</v>
      </c>
    </row>
    <row r="14360" spans="1:1">
      <c r="A14360" s="27">
        <v>54</v>
      </c>
    </row>
    <row r="14361" spans="1:1">
      <c r="A14361" s="27">
        <v>3.7</v>
      </c>
    </row>
    <row r="14362" spans="1:1">
      <c r="A14362" s="29">
        <v>0.65625</v>
      </c>
    </row>
    <row r="14363" spans="1:1">
      <c r="A14363" s="27">
        <v>21.2</v>
      </c>
    </row>
    <row r="14364" spans="1:1">
      <c r="A14364" s="28">
        <v>0</v>
      </c>
    </row>
    <row r="14365" spans="1:1">
      <c r="A14365" s="25">
        <v>685</v>
      </c>
    </row>
    <row r="14366" spans="1:1" ht="30">
      <c r="A14366" s="26" t="s">
        <v>1102</v>
      </c>
    </row>
    <row r="14367" spans="1:1">
      <c r="A14367" s="27" t="s">
        <v>42</v>
      </c>
    </row>
    <row r="14368" spans="1:1">
      <c r="A14368" s="27">
        <v>109</v>
      </c>
    </row>
    <row r="14369" spans="1:1">
      <c r="A14369" s="27">
        <v>1</v>
      </c>
    </row>
    <row r="14370" spans="1:1">
      <c r="A14370" s="27">
        <v>12</v>
      </c>
    </row>
    <row r="14371" spans="1:1">
      <c r="A14371" s="27">
        <v>13</v>
      </c>
    </row>
    <row r="14372" spans="1:1">
      <c r="A14372" s="27">
        <v>-2</v>
      </c>
    </row>
    <row r="14373" spans="1:1">
      <c r="A14373" s="27">
        <v>12</v>
      </c>
    </row>
    <row r="14374" spans="1:1">
      <c r="A14374" s="27">
        <v>0.12</v>
      </c>
    </row>
    <row r="14375" spans="1:1">
      <c r="A14375" s="27">
        <v>1</v>
      </c>
    </row>
    <row r="14376" spans="1:1">
      <c r="A14376" s="27">
        <v>3</v>
      </c>
    </row>
    <row r="14377" spans="1:1">
      <c r="A14377" s="27">
        <v>0</v>
      </c>
    </row>
    <row r="14378" spans="1:1">
      <c r="A14378" s="27">
        <v>0</v>
      </c>
    </row>
    <row r="14379" spans="1:1">
      <c r="A14379" s="27">
        <v>0</v>
      </c>
    </row>
    <row r="14380" spans="1:1">
      <c r="A14380" s="27">
        <v>0</v>
      </c>
    </row>
    <row r="14381" spans="1:1">
      <c r="A14381" s="27">
        <v>120</v>
      </c>
    </row>
    <row r="14382" spans="1:1">
      <c r="A14382" s="27">
        <v>0.8</v>
      </c>
    </row>
    <row r="14383" spans="1:1">
      <c r="A14383" s="29">
        <v>0.58819444444444446</v>
      </c>
    </row>
    <row r="14384" spans="1:1">
      <c r="A14384" s="27">
        <v>20</v>
      </c>
    </row>
    <row r="14385" spans="1:1">
      <c r="A14385" s="28">
        <v>0</v>
      </c>
    </row>
    <row r="14386" spans="1:1">
      <c r="A14386" s="25">
        <v>686</v>
      </c>
    </row>
    <row r="14387" spans="1:1" ht="45">
      <c r="A14387" s="26" t="s">
        <v>869</v>
      </c>
    </row>
    <row r="14388" spans="1:1">
      <c r="A14388" s="27" t="s">
        <v>653</v>
      </c>
    </row>
    <row r="14389" spans="1:1">
      <c r="A14389" s="27">
        <v>57</v>
      </c>
    </row>
    <row r="14390" spans="1:1">
      <c r="A14390" s="27">
        <v>6</v>
      </c>
    </row>
    <row r="14391" spans="1:1">
      <c r="A14391" s="27">
        <v>6</v>
      </c>
    </row>
    <row r="14392" spans="1:1">
      <c r="A14392" s="27">
        <v>12</v>
      </c>
    </row>
    <row r="14393" spans="1:1">
      <c r="A14393" s="27">
        <v>6</v>
      </c>
    </row>
    <row r="14394" spans="1:1">
      <c r="A14394" s="27">
        <v>10</v>
      </c>
    </row>
    <row r="14395" spans="1:1">
      <c r="A14395" s="27">
        <v>0.21</v>
      </c>
    </row>
    <row r="14396" spans="1:1">
      <c r="A14396" s="27">
        <v>0</v>
      </c>
    </row>
    <row r="14397" spans="1:1">
      <c r="A14397" s="27">
        <v>0</v>
      </c>
    </row>
    <row r="14398" spans="1:1">
      <c r="A14398" s="27">
        <v>0</v>
      </c>
    </row>
    <row r="14399" spans="1:1">
      <c r="A14399" s="27">
        <v>0</v>
      </c>
    </row>
    <row r="14400" spans="1:1">
      <c r="A14400" s="27">
        <v>1</v>
      </c>
    </row>
    <row r="14401" spans="1:1">
      <c r="A14401" s="27">
        <v>0</v>
      </c>
    </row>
    <row r="14402" spans="1:1">
      <c r="A14402" s="27">
        <v>92</v>
      </c>
    </row>
    <row r="14403" spans="1:1">
      <c r="A14403" s="27">
        <v>6.5</v>
      </c>
    </row>
    <row r="14404" spans="1:1">
      <c r="A14404" s="29">
        <v>0.40763888888888888</v>
      </c>
    </row>
    <row r="14405" spans="1:1">
      <c r="A14405" s="27">
        <v>13.8</v>
      </c>
    </row>
    <row r="14406" spans="1:1">
      <c r="A14406" s="28">
        <v>38.5</v>
      </c>
    </row>
    <row r="14407" spans="1:1">
      <c r="A14407" s="25">
        <v>687</v>
      </c>
    </row>
    <row r="14408" spans="1:1" ht="45">
      <c r="A14408" s="26" t="s">
        <v>827</v>
      </c>
    </row>
    <row r="14409" spans="1:1">
      <c r="A14409" s="27" t="s">
        <v>43</v>
      </c>
    </row>
    <row r="14410" spans="1:1">
      <c r="A14410" s="27">
        <v>50</v>
      </c>
    </row>
    <row r="14411" spans="1:1">
      <c r="A14411" s="27">
        <v>6</v>
      </c>
    </row>
    <row r="14412" spans="1:1">
      <c r="A14412" s="27">
        <v>6</v>
      </c>
    </row>
    <row r="14413" spans="1:1">
      <c r="A14413" s="27">
        <v>12</v>
      </c>
    </row>
    <row r="14414" spans="1:1">
      <c r="A14414" s="27">
        <v>1</v>
      </c>
    </row>
    <row r="14415" spans="1:1">
      <c r="A14415" s="27">
        <v>8</v>
      </c>
    </row>
    <row r="14416" spans="1:1">
      <c r="A14416" s="27">
        <v>0.24</v>
      </c>
    </row>
    <row r="14417" spans="1:1">
      <c r="A14417" s="27">
        <v>0</v>
      </c>
    </row>
    <row r="14418" spans="1:1">
      <c r="A14418" s="27">
        <v>0</v>
      </c>
    </row>
    <row r="14419" spans="1:1">
      <c r="A14419" s="27">
        <v>0</v>
      </c>
    </row>
    <row r="14420" spans="1:1">
      <c r="A14420" s="27">
        <v>0</v>
      </c>
    </row>
    <row r="14421" spans="1:1">
      <c r="A14421" s="27">
        <v>1</v>
      </c>
    </row>
    <row r="14422" spans="1:1">
      <c r="A14422" s="27">
        <v>0</v>
      </c>
    </row>
    <row r="14423" spans="1:1">
      <c r="A14423" s="27">
        <v>60</v>
      </c>
    </row>
    <row r="14424" spans="1:1">
      <c r="A14424" s="27">
        <v>10</v>
      </c>
    </row>
    <row r="14425" spans="1:1">
      <c r="A14425" s="29">
        <v>0.47361111111111115</v>
      </c>
    </row>
    <row r="14426" spans="1:1">
      <c r="A14426" s="27">
        <v>15.7</v>
      </c>
    </row>
    <row r="14427" spans="1:1">
      <c r="A14427" s="28">
        <v>43.8</v>
      </c>
    </row>
    <row r="14428" spans="1:1">
      <c r="A14428" s="25">
        <v>688</v>
      </c>
    </row>
    <row r="14429" spans="1:1" ht="30">
      <c r="A14429" s="26" t="s">
        <v>744</v>
      </c>
    </row>
    <row r="14430" spans="1:1">
      <c r="A14430" s="27" t="s">
        <v>43</v>
      </c>
    </row>
    <row r="14431" spans="1:1">
      <c r="A14431" s="27">
        <v>46</v>
      </c>
    </row>
    <row r="14432" spans="1:1">
      <c r="A14432" s="27">
        <v>5</v>
      </c>
    </row>
    <row r="14433" spans="1:1">
      <c r="A14433" s="27">
        <v>7</v>
      </c>
    </row>
    <row r="14434" spans="1:1">
      <c r="A14434" s="27">
        <v>12</v>
      </c>
    </row>
    <row r="14435" spans="1:1">
      <c r="A14435" s="27">
        <v>-1</v>
      </c>
    </row>
    <row r="14436" spans="1:1">
      <c r="A14436" s="27">
        <v>9</v>
      </c>
    </row>
    <row r="14437" spans="1:1">
      <c r="A14437" s="27">
        <v>0.26</v>
      </c>
    </row>
    <row r="14438" spans="1:1">
      <c r="A14438" s="27">
        <v>1</v>
      </c>
    </row>
    <row r="14439" spans="1:1">
      <c r="A14439" s="27">
        <v>4</v>
      </c>
    </row>
    <row r="14440" spans="1:1">
      <c r="A14440" s="27">
        <v>0</v>
      </c>
    </row>
    <row r="14441" spans="1:1">
      <c r="A14441" s="27">
        <v>0</v>
      </c>
    </row>
    <row r="14442" spans="1:1">
      <c r="A14442" s="27">
        <v>2</v>
      </c>
    </row>
    <row r="14443" spans="1:1">
      <c r="A14443" s="27">
        <v>0</v>
      </c>
    </row>
    <row r="14444" spans="1:1">
      <c r="A14444" s="27">
        <v>79</v>
      </c>
    </row>
    <row r="14445" spans="1:1">
      <c r="A14445" s="27">
        <v>6.3</v>
      </c>
    </row>
    <row r="14446" spans="1:1">
      <c r="A14446" s="29">
        <v>0.4993055555555555</v>
      </c>
    </row>
    <row r="14447" spans="1:1">
      <c r="A14447" s="27">
        <v>18.2</v>
      </c>
    </row>
    <row r="14448" spans="1:1">
      <c r="A14448" s="28">
        <v>50</v>
      </c>
    </row>
    <row r="14449" spans="1:1">
      <c r="A14449" s="25">
        <v>689</v>
      </c>
    </row>
    <row r="14450" spans="1:1" ht="30">
      <c r="A14450" s="26" t="s">
        <v>288</v>
      </c>
    </row>
    <row r="14451" spans="1:1">
      <c r="A14451" s="27" t="s">
        <v>44</v>
      </c>
    </row>
    <row r="14452" spans="1:1">
      <c r="A14452" s="27">
        <v>24</v>
      </c>
    </row>
    <row r="14453" spans="1:1">
      <c r="A14453" s="27">
        <v>5</v>
      </c>
    </row>
    <row r="14454" spans="1:1">
      <c r="A14454" s="27">
        <v>7</v>
      </c>
    </row>
    <row r="14455" spans="1:1">
      <c r="A14455" s="27">
        <v>12</v>
      </c>
    </row>
    <row r="14456" spans="1:1">
      <c r="A14456" s="27">
        <v>-5</v>
      </c>
    </row>
    <row r="14457" spans="1:1">
      <c r="A14457" s="27">
        <v>10</v>
      </c>
    </row>
    <row r="14458" spans="1:1">
      <c r="A14458" s="27">
        <v>0.5</v>
      </c>
    </row>
    <row r="14459" spans="1:1">
      <c r="A14459" s="27">
        <v>0</v>
      </c>
    </row>
    <row r="14460" spans="1:1">
      <c r="A14460" s="27">
        <v>1</v>
      </c>
    </row>
    <row r="14461" spans="1:1">
      <c r="A14461" s="27">
        <v>0</v>
      </c>
    </row>
    <row r="14462" spans="1:1">
      <c r="A14462" s="27">
        <v>0</v>
      </c>
    </row>
    <row r="14463" spans="1:1">
      <c r="A14463" s="27">
        <v>0</v>
      </c>
    </row>
    <row r="14464" spans="1:1">
      <c r="A14464" s="27">
        <v>0</v>
      </c>
    </row>
    <row r="14465" spans="1:1">
      <c r="A14465" s="27">
        <v>59</v>
      </c>
    </row>
    <row r="14466" spans="1:1">
      <c r="A14466" s="27">
        <v>8.5</v>
      </c>
    </row>
    <row r="14467" spans="1:1">
      <c r="A14467" s="29">
        <v>0.55763888888888891</v>
      </c>
    </row>
    <row r="14468" spans="1:1">
      <c r="A14468" s="27">
        <v>16.3</v>
      </c>
    </row>
    <row r="14469" spans="1:1">
      <c r="A14469" s="28">
        <v>0</v>
      </c>
    </row>
    <row r="14470" spans="1:1">
      <c r="A14470" s="25">
        <v>690</v>
      </c>
    </row>
    <row r="14471" spans="1:1">
      <c r="A14471" s="26" t="s">
        <v>588</v>
      </c>
    </row>
    <row r="14472" spans="1:1">
      <c r="A14472" s="27" t="s">
        <v>42</v>
      </c>
    </row>
    <row r="14473" spans="1:1">
      <c r="A14473" s="27">
        <v>54</v>
      </c>
    </row>
    <row r="14474" spans="1:1">
      <c r="A14474" s="27">
        <v>4</v>
      </c>
    </row>
    <row r="14475" spans="1:1">
      <c r="A14475" s="27">
        <v>8</v>
      </c>
    </row>
    <row r="14476" spans="1:1">
      <c r="A14476" s="27">
        <v>12</v>
      </c>
    </row>
    <row r="14477" spans="1:1">
      <c r="A14477" s="27">
        <v>-1</v>
      </c>
    </row>
    <row r="14478" spans="1:1">
      <c r="A14478" s="27">
        <v>12</v>
      </c>
    </row>
    <row r="14479" spans="1:1">
      <c r="A14479" s="27">
        <v>0.22</v>
      </c>
    </row>
    <row r="14480" spans="1:1">
      <c r="A14480" s="27">
        <v>0</v>
      </c>
    </row>
    <row r="14481" spans="1:1">
      <c r="A14481" s="27">
        <v>0</v>
      </c>
    </row>
    <row r="14482" spans="1:1">
      <c r="A14482" s="27">
        <v>0</v>
      </c>
    </row>
    <row r="14483" spans="1:1">
      <c r="A14483" s="27">
        <v>0</v>
      </c>
    </row>
    <row r="14484" spans="1:1">
      <c r="A14484" s="27">
        <v>1</v>
      </c>
    </row>
    <row r="14485" spans="1:1">
      <c r="A14485" s="27">
        <v>0</v>
      </c>
    </row>
    <row r="14486" spans="1:1">
      <c r="A14486" s="27">
        <v>79</v>
      </c>
    </row>
    <row r="14487" spans="1:1">
      <c r="A14487" s="27">
        <v>5.0999999999999996</v>
      </c>
    </row>
    <row r="14488" spans="1:1">
      <c r="A14488" s="29">
        <v>0.69236111111111109</v>
      </c>
    </row>
    <row r="14489" spans="1:1">
      <c r="A14489" s="27">
        <v>21.1</v>
      </c>
    </row>
    <row r="14490" spans="1:1">
      <c r="A14490" s="28">
        <v>0</v>
      </c>
    </row>
    <row r="14491" spans="1:1">
      <c r="A14491" s="25">
        <v>691</v>
      </c>
    </row>
    <row r="14492" spans="1:1" ht="30">
      <c r="A14492" s="26" t="s">
        <v>933</v>
      </c>
    </row>
    <row r="14493" spans="1:1">
      <c r="A14493" s="27" t="s">
        <v>44</v>
      </c>
    </row>
    <row r="14494" spans="1:1">
      <c r="A14494" s="27">
        <v>23</v>
      </c>
    </row>
    <row r="14495" spans="1:1">
      <c r="A14495" s="27">
        <v>4</v>
      </c>
    </row>
    <row r="14496" spans="1:1">
      <c r="A14496" s="27">
        <v>8</v>
      </c>
    </row>
    <row r="14497" spans="1:1">
      <c r="A14497" s="27">
        <v>12</v>
      </c>
    </row>
    <row r="14498" spans="1:1">
      <c r="A14498" s="27">
        <v>3</v>
      </c>
    </row>
    <row r="14499" spans="1:1">
      <c r="A14499" s="27">
        <v>13</v>
      </c>
    </row>
    <row r="14500" spans="1:1">
      <c r="A14500" s="27">
        <v>0.52</v>
      </c>
    </row>
    <row r="14501" spans="1:1">
      <c r="A14501" s="27">
        <v>1</v>
      </c>
    </row>
    <row r="14502" spans="1:1">
      <c r="A14502" s="27">
        <v>1</v>
      </c>
    </row>
    <row r="14503" spans="1:1">
      <c r="A14503" s="27">
        <v>0</v>
      </c>
    </row>
    <row r="14504" spans="1:1">
      <c r="A14504" s="27">
        <v>0</v>
      </c>
    </row>
    <row r="14505" spans="1:1">
      <c r="A14505" s="27">
        <v>1</v>
      </c>
    </row>
    <row r="14506" spans="1:1">
      <c r="A14506" s="27">
        <v>0</v>
      </c>
    </row>
    <row r="14507" spans="1:1">
      <c r="A14507" s="27">
        <v>24</v>
      </c>
    </row>
    <row r="14508" spans="1:1">
      <c r="A14508" s="27">
        <v>16.7</v>
      </c>
    </row>
    <row r="14509" spans="1:1">
      <c r="A14509" s="29">
        <v>0.6020833333333333</v>
      </c>
    </row>
    <row r="14510" spans="1:1">
      <c r="A14510" s="27">
        <v>19</v>
      </c>
    </row>
    <row r="14511" spans="1:1">
      <c r="A14511" s="28">
        <v>21.1</v>
      </c>
    </row>
    <row r="14512" spans="1:1">
      <c r="A14512" s="25">
        <v>692</v>
      </c>
    </row>
    <row r="14513" spans="1:1" ht="30">
      <c r="A14513" s="26" t="s">
        <v>1074</v>
      </c>
    </row>
    <row r="14514" spans="1:1">
      <c r="A14514" s="27" t="s">
        <v>42</v>
      </c>
    </row>
    <row r="14515" spans="1:1">
      <c r="A14515" s="27">
        <v>63</v>
      </c>
    </row>
    <row r="14516" spans="1:1">
      <c r="A14516" s="27">
        <v>1</v>
      </c>
    </row>
    <row r="14517" spans="1:1">
      <c r="A14517" s="27">
        <v>11</v>
      </c>
    </row>
    <row r="14518" spans="1:1">
      <c r="A14518" s="27">
        <v>12</v>
      </c>
    </row>
    <row r="14519" spans="1:1">
      <c r="A14519" s="27">
        <v>14</v>
      </c>
    </row>
    <row r="14520" spans="1:1">
      <c r="A14520" s="27">
        <v>12</v>
      </c>
    </row>
    <row r="14521" spans="1:1">
      <c r="A14521" s="27">
        <v>0.19</v>
      </c>
    </row>
    <row r="14522" spans="1:1">
      <c r="A14522" s="27">
        <v>1</v>
      </c>
    </row>
    <row r="14523" spans="1:1">
      <c r="A14523" s="27">
        <v>1</v>
      </c>
    </row>
    <row r="14524" spans="1:1">
      <c r="A14524" s="27">
        <v>0</v>
      </c>
    </row>
    <row r="14525" spans="1:1">
      <c r="A14525" s="27">
        <v>0</v>
      </c>
    </row>
    <row r="14526" spans="1:1">
      <c r="A14526" s="27">
        <v>0</v>
      </c>
    </row>
    <row r="14527" spans="1:1">
      <c r="A14527" s="27">
        <v>0</v>
      </c>
    </row>
    <row r="14528" spans="1:1">
      <c r="A14528" s="27">
        <v>57</v>
      </c>
    </row>
    <row r="14529" spans="1:1">
      <c r="A14529" s="27">
        <v>1.8</v>
      </c>
    </row>
    <row r="14530" spans="1:1">
      <c r="A14530" s="29">
        <v>0.59444444444444444</v>
      </c>
    </row>
    <row r="14531" spans="1:1">
      <c r="A14531" s="27">
        <v>19.2</v>
      </c>
    </row>
    <row r="14532" spans="1:1">
      <c r="A14532" s="28">
        <v>0</v>
      </c>
    </row>
    <row r="14533" spans="1:1">
      <c r="A14533" s="25">
        <v>693</v>
      </c>
    </row>
    <row r="14534" spans="1:1" ht="30">
      <c r="A14534" s="26" t="s">
        <v>789</v>
      </c>
    </row>
    <row r="14535" spans="1:1">
      <c r="A14535" s="27" t="s">
        <v>653</v>
      </c>
    </row>
    <row r="14536" spans="1:1">
      <c r="A14536" s="27">
        <v>70</v>
      </c>
    </row>
    <row r="14537" spans="1:1">
      <c r="A14537" s="27">
        <v>9</v>
      </c>
    </row>
    <row r="14538" spans="1:1">
      <c r="A14538" s="27">
        <v>2</v>
      </c>
    </row>
    <row r="14539" spans="1:1">
      <c r="A14539" s="27">
        <v>11</v>
      </c>
    </row>
    <row r="14540" spans="1:1">
      <c r="A14540" s="27">
        <v>1</v>
      </c>
    </row>
    <row r="14541" spans="1:1">
      <c r="A14541" s="27">
        <v>14</v>
      </c>
    </row>
    <row r="14542" spans="1:1">
      <c r="A14542" s="27">
        <v>0.16</v>
      </c>
    </row>
    <row r="14543" spans="1:1">
      <c r="A14543" s="27">
        <v>2</v>
      </c>
    </row>
    <row r="14544" spans="1:1">
      <c r="A14544" s="27">
        <v>2</v>
      </c>
    </row>
    <row r="14545" spans="1:1">
      <c r="A14545" s="27">
        <v>0</v>
      </c>
    </row>
    <row r="14546" spans="1:1">
      <c r="A14546" s="27">
        <v>0</v>
      </c>
    </row>
    <row r="14547" spans="1:1">
      <c r="A14547" s="27">
        <v>2</v>
      </c>
    </row>
    <row r="14548" spans="1:1">
      <c r="A14548" s="27">
        <v>0</v>
      </c>
    </row>
    <row r="14549" spans="1:1">
      <c r="A14549" s="27">
        <v>60</v>
      </c>
    </row>
    <row r="14550" spans="1:1">
      <c r="A14550" s="27">
        <v>15</v>
      </c>
    </row>
    <row r="14551" spans="1:1">
      <c r="A14551" s="29">
        <v>0.38472222222222219</v>
      </c>
    </row>
    <row r="14552" spans="1:1">
      <c r="A14552" s="27">
        <v>13.5</v>
      </c>
    </row>
    <row r="14553" spans="1:1">
      <c r="A14553" s="28">
        <v>46.7</v>
      </c>
    </row>
    <row r="14554" spans="1:1">
      <c r="A14554" s="25">
        <v>694</v>
      </c>
    </row>
    <row r="14555" spans="1:1" ht="60">
      <c r="A14555" s="26" t="s">
        <v>313</v>
      </c>
    </row>
    <row r="14556" spans="1:1">
      <c r="A14556" s="27" t="s">
        <v>44</v>
      </c>
    </row>
    <row r="14557" spans="1:1">
      <c r="A14557" s="27">
        <v>52</v>
      </c>
    </row>
    <row r="14558" spans="1:1">
      <c r="A14558" s="27">
        <v>7</v>
      </c>
    </row>
    <row r="14559" spans="1:1">
      <c r="A14559" s="27">
        <v>4</v>
      </c>
    </row>
    <row r="14560" spans="1:1">
      <c r="A14560" s="27">
        <v>11</v>
      </c>
    </row>
    <row r="14561" spans="1:1">
      <c r="A14561" s="27">
        <v>1</v>
      </c>
    </row>
    <row r="14562" spans="1:1">
      <c r="A14562" s="27">
        <v>17</v>
      </c>
    </row>
    <row r="14563" spans="1:1">
      <c r="A14563" s="27">
        <v>0.21</v>
      </c>
    </row>
    <row r="14564" spans="1:1">
      <c r="A14564" s="27">
        <v>0</v>
      </c>
    </row>
    <row r="14565" spans="1:1">
      <c r="A14565" s="27">
        <v>0</v>
      </c>
    </row>
    <row r="14566" spans="1:1">
      <c r="A14566" s="27">
        <v>0</v>
      </c>
    </row>
    <row r="14567" spans="1:1">
      <c r="A14567" s="27">
        <v>0</v>
      </c>
    </row>
    <row r="14568" spans="1:1">
      <c r="A14568" s="27">
        <v>2</v>
      </c>
    </row>
    <row r="14569" spans="1:1">
      <c r="A14569" s="27">
        <v>0</v>
      </c>
    </row>
    <row r="14570" spans="1:1">
      <c r="A14570" s="27">
        <v>58</v>
      </c>
    </row>
    <row r="14571" spans="1:1">
      <c r="A14571" s="27">
        <v>12.1</v>
      </c>
    </row>
    <row r="14572" spans="1:1">
      <c r="A14572" s="29">
        <v>0.3527777777777778</v>
      </c>
    </row>
    <row r="14573" spans="1:1">
      <c r="A14573" s="27">
        <v>12.1</v>
      </c>
    </row>
    <row r="14574" spans="1:1">
      <c r="A14574" s="28">
        <v>33.299999999999997</v>
      </c>
    </row>
    <row r="14575" spans="1:1">
      <c r="A14575" s="25">
        <v>695</v>
      </c>
    </row>
    <row r="14576" spans="1:1" ht="30">
      <c r="A14576" s="26" t="s">
        <v>687</v>
      </c>
    </row>
    <row r="14577" spans="1:1">
      <c r="A14577" s="27" t="s">
        <v>653</v>
      </c>
    </row>
    <row r="14578" spans="1:1">
      <c r="A14578" s="27">
        <v>50</v>
      </c>
    </row>
    <row r="14579" spans="1:1">
      <c r="A14579" s="27">
        <v>7</v>
      </c>
    </row>
    <row r="14580" spans="1:1">
      <c r="A14580" s="27">
        <v>4</v>
      </c>
    </row>
    <row r="14581" spans="1:1">
      <c r="A14581" s="27">
        <v>11</v>
      </c>
    </row>
    <row r="14582" spans="1:1">
      <c r="A14582" s="27">
        <v>4</v>
      </c>
    </row>
    <row r="14583" spans="1:1">
      <c r="A14583" s="27">
        <v>14</v>
      </c>
    </row>
    <row r="14584" spans="1:1">
      <c r="A14584" s="27">
        <v>0.22</v>
      </c>
    </row>
    <row r="14585" spans="1:1">
      <c r="A14585" s="27">
        <v>0</v>
      </c>
    </row>
    <row r="14586" spans="1:1">
      <c r="A14586" s="27">
        <v>0</v>
      </c>
    </row>
    <row r="14587" spans="1:1">
      <c r="A14587" s="27">
        <v>0</v>
      </c>
    </row>
    <row r="14588" spans="1:1">
      <c r="A14588" s="27">
        <v>0</v>
      </c>
    </row>
    <row r="14589" spans="1:1">
      <c r="A14589" s="27">
        <v>2</v>
      </c>
    </row>
    <row r="14590" spans="1:1">
      <c r="A14590" s="27">
        <v>0</v>
      </c>
    </row>
    <row r="14591" spans="1:1">
      <c r="A14591" s="27">
        <v>52</v>
      </c>
    </row>
    <row r="14592" spans="1:1">
      <c r="A14592" s="27">
        <v>13.5</v>
      </c>
    </row>
    <row r="14593" spans="1:1">
      <c r="A14593" s="29">
        <v>0.42986111111111108</v>
      </c>
    </row>
    <row r="14594" spans="1:1">
      <c r="A14594" s="27">
        <v>14.6</v>
      </c>
    </row>
    <row r="14595" spans="1:1">
      <c r="A14595" s="28">
        <v>53.8</v>
      </c>
    </row>
    <row r="14596" spans="1:1">
      <c r="A14596" s="25">
        <v>696</v>
      </c>
    </row>
    <row r="14597" spans="1:1" ht="30">
      <c r="A14597" s="26" t="s">
        <v>769</v>
      </c>
    </row>
    <row r="14598" spans="1:1">
      <c r="A14598" s="27" t="s">
        <v>653</v>
      </c>
    </row>
    <row r="14599" spans="1:1">
      <c r="A14599" s="27">
        <v>62</v>
      </c>
    </row>
    <row r="14600" spans="1:1">
      <c r="A14600" s="27">
        <v>6</v>
      </c>
    </row>
    <row r="14601" spans="1:1">
      <c r="A14601" s="27">
        <v>5</v>
      </c>
    </row>
    <row r="14602" spans="1:1">
      <c r="A14602" s="27">
        <v>11</v>
      </c>
    </row>
    <row r="14603" spans="1:1">
      <c r="A14603" s="27">
        <v>-5</v>
      </c>
    </row>
    <row r="14604" spans="1:1">
      <c r="A14604" s="27">
        <v>30</v>
      </c>
    </row>
    <row r="14605" spans="1:1">
      <c r="A14605" s="27">
        <v>0.18</v>
      </c>
    </row>
    <row r="14606" spans="1:1">
      <c r="A14606" s="27">
        <v>0</v>
      </c>
    </row>
    <row r="14607" spans="1:1">
      <c r="A14607" s="27">
        <v>0</v>
      </c>
    </row>
    <row r="14608" spans="1:1">
      <c r="A14608" s="27">
        <v>1</v>
      </c>
    </row>
    <row r="14609" spans="1:1">
      <c r="A14609" s="27">
        <v>1</v>
      </c>
    </row>
    <row r="14610" spans="1:1">
      <c r="A14610" s="27">
        <v>1</v>
      </c>
    </row>
    <row r="14611" spans="1:1">
      <c r="A14611" s="27">
        <v>0</v>
      </c>
    </row>
    <row r="14612" spans="1:1">
      <c r="A14612" s="27">
        <v>59</v>
      </c>
    </row>
    <row r="14613" spans="1:1">
      <c r="A14613" s="27">
        <v>10.199999999999999</v>
      </c>
    </row>
    <row r="14614" spans="1:1">
      <c r="A14614" s="29">
        <v>0.51250000000000007</v>
      </c>
    </row>
    <row r="14615" spans="1:1">
      <c r="A14615" s="27">
        <v>17.399999999999999</v>
      </c>
    </row>
    <row r="14616" spans="1:1">
      <c r="A14616" s="28">
        <v>48.5</v>
      </c>
    </row>
    <row r="14617" spans="1:1">
      <c r="A14617" s="25">
        <v>697</v>
      </c>
    </row>
    <row r="14618" spans="1:1" ht="30">
      <c r="A14618" s="26" t="s">
        <v>275</v>
      </c>
    </row>
    <row r="14619" spans="1:1">
      <c r="A14619" s="27" t="s">
        <v>43</v>
      </c>
    </row>
    <row r="14620" spans="1:1">
      <c r="A14620" s="27">
        <v>24</v>
      </c>
    </row>
    <row r="14621" spans="1:1">
      <c r="A14621" s="27">
        <v>6</v>
      </c>
    </row>
    <row r="14622" spans="1:1">
      <c r="A14622" s="27">
        <v>5</v>
      </c>
    </row>
    <row r="14623" spans="1:1">
      <c r="A14623" s="27">
        <v>11</v>
      </c>
    </row>
    <row r="14624" spans="1:1">
      <c r="A14624" s="27">
        <v>-13</v>
      </c>
    </row>
    <row r="14625" spans="1:1">
      <c r="A14625" s="27">
        <v>6</v>
      </c>
    </row>
    <row r="14626" spans="1:1">
      <c r="A14626" s="27">
        <v>0.46</v>
      </c>
    </row>
    <row r="14627" spans="1:1">
      <c r="A14627" s="27">
        <v>2</v>
      </c>
    </row>
    <row r="14628" spans="1:1">
      <c r="A14628" s="27">
        <v>7</v>
      </c>
    </row>
    <row r="14629" spans="1:1">
      <c r="A14629" s="27">
        <v>0</v>
      </c>
    </row>
    <row r="14630" spans="1:1">
      <c r="A14630" s="27">
        <v>0</v>
      </c>
    </row>
    <row r="14631" spans="1:1">
      <c r="A14631" s="27">
        <v>1</v>
      </c>
    </row>
    <row r="14632" spans="1:1">
      <c r="A14632" s="27">
        <v>1</v>
      </c>
    </row>
    <row r="14633" spans="1:1">
      <c r="A14633" s="27">
        <v>42</v>
      </c>
    </row>
    <row r="14634" spans="1:1">
      <c r="A14634" s="27">
        <v>14.3</v>
      </c>
    </row>
    <row r="14635" spans="1:1">
      <c r="A14635" s="29">
        <v>0.63541666666666663</v>
      </c>
    </row>
    <row r="14636" spans="1:1">
      <c r="A14636" s="27">
        <v>18.5</v>
      </c>
    </row>
    <row r="14637" spans="1:1">
      <c r="A14637" s="28">
        <v>0</v>
      </c>
    </row>
    <row r="14638" spans="1:1">
      <c r="A14638" s="25">
        <v>698</v>
      </c>
    </row>
    <row r="14639" spans="1:1" ht="30">
      <c r="A14639" s="26" t="s">
        <v>918</v>
      </c>
    </row>
    <row r="14640" spans="1:1">
      <c r="A14640" s="27" t="s">
        <v>44</v>
      </c>
    </row>
    <row r="14641" spans="1:1">
      <c r="A14641" s="27">
        <v>54</v>
      </c>
    </row>
    <row r="14642" spans="1:1">
      <c r="A14642" s="27">
        <v>5</v>
      </c>
    </row>
    <row r="14643" spans="1:1">
      <c r="A14643" s="27">
        <v>6</v>
      </c>
    </row>
    <row r="14644" spans="1:1">
      <c r="A14644" s="27">
        <v>11</v>
      </c>
    </row>
    <row r="14645" spans="1:1">
      <c r="A14645" s="27">
        <v>3</v>
      </c>
    </row>
    <row r="14646" spans="1:1">
      <c r="A14646" s="27">
        <v>124</v>
      </c>
    </row>
    <row r="14647" spans="1:1">
      <c r="A14647" s="27">
        <v>0.2</v>
      </c>
    </row>
    <row r="14648" spans="1:1">
      <c r="A14648" s="27">
        <v>0</v>
      </c>
    </row>
    <row r="14649" spans="1:1">
      <c r="A14649" s="27">
        <v>0</v>
      </c>
    </row>
    <row r="14650" spans="1:1">
      <c r="A14650" s="27">
        <v>0</v>
      </c>
    </row>
    <row r="14651" spans="1:1">
      <c r="A14651" s="27">
        <v>0</v>
      </c>
    </row>
    <row r="14652" spans="1:1">
      <c r="A14652" s="27">
        <v>0</v>
      </c>
    </row>
    <row r="14653" spans="1:1">
      <c r="A14653" s="27">
        <v>0</v>
      </c>
    </row>
    <row r="14654" spans="1:1">
      <c r="A14654" s="27">
        <v>35</v>
      </c>
    </row>
    <row r="14655" spans="1:1">
      <c r="A14655" s="27">
        <v>14.3</v>
      </c>
    </row>
    <row r="14656" spans="1:1">
      <c r="A14656" s="29">
        <v>0.35833333333333334</v>
      </c>
    </row>
    <row r="14657" spans="1:1">
      <c r="A14657" s="27">
        <v>11.9</v>
      </c>
    </row>
    <row r="14658" spans="1:1">
      <c r="A14658" s="28">
        <v>28.6</v>
      </c>
    </row>
    <row r="14659" spans="1:1">
      <c r="A14659" s="25">
        <v>699</v>
      </c>
    </row>
    <row r="14660" spans="1:1" ht="30">
      <c r="A14660" s="26" t="s">
        <v>22</v>
      </c>
    </row>
    <row r="14661" spans="1:1">
      <c r="A14661" s="27" t="s">
        <v>44</v>
      </c>
    </row>
    <row r="14662" spans="1:1">
      <c r="A14662" s="27">
        <v>40</v>
      </c>
    </row>
    <row r="14663" spans="1:1">
      <c r="A14663" s="27">
        <v>5</v>
      </c>
    </row>
    <row r="14664" spans="1:1">
      <c r="A14664" s="27">
        <v>6</v>
      </c>
    </row>
    <row r="14665" spans="1:1">
      <c r="A14665" s="27">
        <v>11</v>
      </c>
    </row>
    <row r="14666" spans="1:1">
      <c r="A14666" s="27">
        <v>4</v>
      </c>
    </row>
    <row r="14667" spans="1:1">
      <c r="A14667" s="27">
        <v>10</v>
      </c>
    </row>
    <row r="14668" spans="1:1">
      <c r="A14668" s="27">
        <v>0.28000000000000003</v>
      </c>
    </row>
    <row r="14669" spans="1:1">
      <c r="A14669" s="27">
        <v>1</v>
      </c>
    </row>
    <row r="14670" spans="1:1">
      <c r="A14670" s="27">
        <v>2</v>
      </c>
    </row>
    <row r="14671" spans="1:1">
      <c r="A14671" s="27">
        <v>0</v>
      </c>
    </row>
    <row r="14672" spans="1:1">
      <c r="A14672" s="27">
        <v>0</v>
      </c>
    </row>
    <row r="14673" spans="1:1">
      <c r="A14673" s="27">
        <v>1</v>
      </c>
    </row>
    <row r="14674" spans="1:1">
      <c r="A14674" s="27">
        <v>0</v>
      </c>
    </row>
    <row r="14675" spans="1:1">
      <c r="A14675" s="27">
        <v>41</v>
      </c>
    </row>
    <row r="14676" spans="1:1">
      <c r="A14676" s="27">
        <v>12.2</v>
      </c>
    </row>
    <row r="14677" spans="1:1">
      <c r="A14677" s="29">
        <v>0.54375000000000007</v>
      </c>
    </row>
    <row r="14678" spans="1:1">
      <c r="A14678" s="27">
        <v>16.8</v>
      </c>
    </row>
    <row r="14679" spans="1:1">
      <c r="A14679" s="28">
        <v>35.700000000000003</v>
      </c>
    </row>
    <row r="14680" spans="1:1">
      <c r="A14680" s="25">
        <v>700</v>
      </c>
    </row>
    <row r="14681" spans="1:1" ht="30">
      <c r="A14681" s="26" t="s">
        <v>392</v>
      </c>
    </row>
    <row r="14682" spans="1:1">
      <c r="A14682" s="27" t="s">
        <v>653</v>
      </c>
    </row>
    <row r="14683" spans="1:1">
      <c r="A14683" s="27">
        <v>24</v>
      </c>
    </row>
    <row r="14684" spans="1:1">
      <c r="A14684" s="27">
        <v>4</v>
      </c>
    </row>
    <row r="14685" spans="1:1">
      <c r="A14685" s="27">
        <v>7</v>
      </c>
    </row>
    <row r="14686" spans="1:1">
      <c r="A14686" s="27">
        <v>11</v>
      </c>
    </row>
    <row r="14687" spans="1:1">
      <c r="A14687" s="27">
        <v>-8</v>
      </c>
    </row>
    <row r="14688" spans="1:1">
      <c r="A14688" s="27">
        <v>6</v>
      </c>
    </row>
    <row r="14689" spans="1:1">
      <c r="A14689" s="27">
        <v>0.46</v>
      </c>
    </row>
    <row r="14690" spans="1:1">
      <c r="A14690" s="27">
        <v>3</v>
      </c>
    </row>
    <row r="14691" spans="1:1">
      <c r="A14691" s="27">
        <v>5</v>
      </c>
    </row>
    <row r="14692" spans="1:1">
      <c r="A14692" s="27">
        <v>0</v>
      </c>
    </row>
    <row r="14693" spans="1:1">
      <c r="A14693" s="27">
        <v>0</v>
      </c>
    </row>
    <row r="14694" spans="1:1">
      <c r="A14694" s="27">
        <v>1</v>
      </c>
    </row>
    <row r="14695" spans="1:1">
      <c r="A14695" s="27">
        <v>0</v>
      </c>
    </row>
    <row r="14696" spans="1:1">
      <c r="A14696" s="27">
        <v>45</v>
      </c>
    </row>
    <row r="14697" spans="1:1">
      <c r="A14697" s="27">
        <v>8.9</v>
      </c>
    </row>
    <row r="14698" spans="1:1">
      <c r="A14698" s="29">
        <v>0.66805555555555562</v>
      </c>
    </row>
    <row r="14699" spans="1:1">
      <c r="A14699" s="27">
        <v>18.7</v>
      </c>
    </row>
    <row r="14700" spans="1:1">
      <c r="A14700" s="28">
        <v>40</v>
      </c>
    </row>
    <row r="14701" spans="1:1">
      <c r="A14701" s="25">
        <v>701</v>
      </c>
    </row>
    <row r="14702" spans="1:1" ht="30">
      <c r="A14702" s="26" t="s">
        <v>1086</v>
      </c>
    </row>
    <row r="14703" spans="1:1">
      <c r="A14703" s="27" t="s">
        <v>42</v>
      </c>
    </row>
    <row r="14704" spans="1:1">
      <c r="A14704" s="27">
        <v>36</v>
      </c>
    </row>
    <row r="14705" spans="1:1">
      <c r="A14705" s="27">
        <v>4</v>
      </c>
    </row>
    <row r="14706" spans="1:1">
      <c r="A14706" s="27">
        <v>7</v>
      </c>
    </row>
    <row r="14707" spans="1:1">
      <c r="A14707" s="27">
        <v>11</v>
      </c>
    </row>
    <row r="14708" spans="1:1">
      <c r="A14708" s="27">
        <v>7</v>
      </c>
    </row>
    <row r="14709" spans="1:1">
      <c r="A14709" s="27">
        <v>12</v>
      </c>
    </row>
    <row r="14710" spans="1:1">
      <c r="A14710" s="27">
        <v>0.31</v>
      </c>
    </row>
    <row r="14711" spans="1:1">
      <c r="A14711" s="27">
        <v>0</v>
      </c>
    </row>
    <row r="14712" spans="1:1">
      <c r="A14712" s="27">
        <v>0</v>
      </c>
    </row>
    <row r="14713" spans="1:1">
      <c r="A14713" s="27">
        <v>0</v>
      </c>
    </row>
    <row r="14714" spans="1:1">
      <c r="A14714" s="27">
        <v>0</v>
      </c>
    </row>
    <row r="14715" spans="1:1">
      <c r="A14715" s="27">
        <v>0</v>
      </c>
    </row>
    <row r="14716" spans="1:1">
      <c r="A14716" s="27">
        <v>0</v>
      </c>
    </row>
    <row r="14717" spans="1:1">
      <c r="A14717" s="27">
        <v>46</v>
      </c>
    </row>
    <row r="14718" spans="1:1">
      <c r="A14718" s="27">
        <v>8.6999999999999993</v>
      </c>
    </row>
    <row r="14719" spans="1:1">
      <c r="A14719" s="29">
        <v>0.66319444444444442</v>
      </c>
    </row>
    <row r="14720" spans="1:1">
      <c r="A14720" s="27">
        <v>21.2</v>
      </c>
    </row>
    <row r="14721" spans="1:1">
      <c r="A14721" s="28">
        <v>0</v>
      </c>
    </row>
    <row r="14722" spans="1:1">
      <c r="A14722" s="25">
        <v>702</v>
      </c>
    </row>
    <row r="14723" spans="1:1" ht="30">
      <c r="A14723" s="26" t="s">
        <v>53</v>
      </c>
    </row>
    <row r="14724" spans="1:1">
      <c r="A14724" s="27" t="s">
        <v>42</v>
      </c>
    </row>
    <row r="14725" spans="1:1">
      <c r="A14725" s="27">
        <v>41</v>
      </c>
    </row>
    <row r="14726" spans="1:1">
      <c r="A14726" s="27">
        <v>3</v>
      </c>
    </row>
    <row r="14727" spans="1:1">
      <c r="A14727" s="27">
        <v>8</v>
      </c>
    </row>
    <row r="14728" spans="1:1">
      <c r="A14728" s="27">
        <v>11</v>
      </c>
    </row>
    <row r="14729" spans="1:1">
      <c r="A14729" s="27">
        <v>7</v>
      </c>
    </row>
    <row r="14730" spans="1:1">
      <c r="A14730" s="27">
        <v>16</v>
      </c>
    </row>
    <row r="14731" spans="1:1">
      <c r="A14731" s="27">
        <v>0.27</v>
      </c>
    </row>
    <row r="14732" spans="1:1">
      <c r="A14732" s="27">
        <v>0</v>
      </c>
    </row>
    <row r="14733" spans="1:1">
      <c r="A14733" s="27">
        <v>0</v>
      </c>
    </row>
    <row r="14734" spans="1:1">
      <c r="A14734" s="27">
        <v>0</v>
      </c>
    </row>
    <row r="14735" spans="1:1">
      <c r="A14735" s="27">
        <v>0</v>
      </c>
    </row>
    <row r="14736" spans="1:1">
      <c r="A14736" s="27">
        <v>1</v>
      </c>
    </row>
    <row r="14737" spans="1:1">
      <c r="A14737" s="27">
        <v>0</v>
      </c>
    </row>
    <row r="14738" spans="1:1">
      <c r="A14738" s="27">
        <v>41</v>
      </c>
    </row>
    <row r="14739" spans="1:1">
      <c r="A14739" s="27">
        <v>7.3</v>
      </c>
    </row>
    <row r="14740" spans="1:1">
      <c r="A14740" s="29">
        <v>0.60902777777777783</v>
      </c>
    </row>
    <row r="14741" spans="1:1">
      <c r="A14741" s="27">
        <v>20.7</v>
      </c>
    </row>
    <row r="14742" spans="1:1">
      <c r="A14742" s="28">
        <v>0</v>
      </c>
    </row>
    <row r="14743" spans="1:1">
      <c r="A14743" s="25">
        <v>703</v>
      </c>
    </row>
    <row r="14744" spans="1:1" ht="30">
      <c r="A14744" s="26" t="s">
        <v>1101</v>
      </c>
    </row>
    <row r="14745" spans="1:1">
      <c r="A14745" s="27" t="s">
        <v>42</v>
      </c>
    </row>
    <row r="14746" spans="1:1">
      <c r="A14746" s="27">
        <v>48</v>
      </c>
    </row>
    <row r="14747" spans="1:1">
      <c r="A14747" s="27">
        <v>3</v>
      </c>
    </row>
    <row r="14748" spans="1:1">
      <c r="A14748" s="27">
        <v>8</v>
      </c>
    </row>
    <row r="14749" spans="1:1">
      <c r="A14749" s="27">
        <v>11</v>
      </c>
    </row>
    <row r="14750" spans="1:1">
      <c r="A14750" s="27">
        <v>4</v>
      </c>
    </row>
    <row r="14751" spans="1:1">
      <c r="A14751" s="27">
        <v>28</v>
      </c>
    </row>
    <row r="14752" spans="1:1">
      <c r="A14752" s="27">
        <v>0.23</v>
      </c>
    </row>
    <row r="14753" spans="1:1">
      <c r="A14753" s="27">
        <v>0</v>
      </c>
    </row>
    <row r="14754" spans="1:1">
      <c r="A14754" s="27">
        <v>0</v>
      </c>
    </row>
    <row r="14755" spans="1:1">
      <c r="A14755" s="27">
        <v>0</v>
      </c>
    </row>
    <row r="14756" spans="1:1">
      <c r="A14756" s="27">
        <v>0</v>
      </c>
    </row>
    <row r="14757" spans="1:1">
      <c r="A14757" s="27">
        <v>0</v>
      </c>
    </row>
    <row r="14758" spans="1:1">
      <c r="A14758" s="27">
        <v>0</v>
      </c>
    </row>
    <row r="14759" spans="1:1">
      <c r="A14759" s="27">
        <v>46</v>
      </c>
    </row>
    <row r="14760" spans="1:1">
      <c r="A14760" s="27">
        <v>6.5</v>
      </c>
    </row>
    <row r="14761" spans="1:1">
      <c r="A14761" s="29">
        <v>0.57013888888888886</v>
      </c>
    </row>
    <row r="14762" spans="1:1">
      <c r="A14762" s="27">
        <v>20</v>
      </c>
    </row>
    <row r="14763" spans="1:1">
      <c r="A14763" s="28">
        <v>0</v>
      </c>
    </row>
    <row r="14764" spans="1:1">
      <c r="A14764" s="25">
        <v>704</v>
      </c>
    </row>
    <row r="14765" spans="1:1" ht="30">
      <c r="A14765" s="26" t="s">
        <v>214</v>
      </c>
    </row>
    <row r="14766" spans="1:1">
      <c r="A14766" s="27" t="s">
        <v>42</v>
      </c>
    </row>
    <row r="14767" spans="1:1">
      <c r="A14767" s="27">
        <v>26</v>
      </c>
    </row>
    <row r="14768" spans="1:1">
      <c r="A14768" s="27">
        <v>2</v>
      </c>
    </row>
    <row r="14769" spans="1:1">
      <c r="A14769" s="27">
        <v>9</v>
      </c>
    </row>
    <row r="14770" spans="1:1">
      <c r="A14770" s="27">
        <v>11</v>
      </c>
    </row>
    <row r="14771" spans="1:1">
      <c r="A14771" s="27">
        <v>9</v>
      </c>
    </row>
    <row r="14772" spans="1:1">
      <c r="A14772" s="27">
        <v>8</v>
      </c>
    </row>
    <row r="14773" spans="1:1">
      <c r="A14773" s="27">
        <v>0.42</v>
      </c>
    </row>
    <row r="14774" spans="1:1">
      <c r="A14774" s="27">
        <v>0</v>
      </c>
    </row>
    <row r="14775" spans="1:1">
      <c r="A14775" s="27">
        <v>1</v>
      </c>
    </row>
    <row r="14776" spans="1:1">
      <c r="A14776" s="27">
        <v>0</v>
      </c>
    </row>
    <row r="14777" spans="1:1">
      <c r="A14777" s="27">
        <v>0</v>
      </c>
    </row>
    <row r="14778" spans="1:1">
      <c r="A14778" s="27">
        <v>0</v>
      </c>
    </row>
    <row r="14779" spans="1:1">
      <c r="A14779" s="27">
        <v>0</v>
      </c>
    </row>
    <row r="14780" spans="1:1">
      <c r="A14780" s="27">
        <v>35</v>
      </c>
    </row>
    <row r="14781" spans="1:1">
      <c r="A14781" s="27">
        <v>5.7</v>
      </c>
    </row>
    <row r="14782" spans="1:1">
      <c r="A14782" s="29">
        <v>0.81388888888888899</v>
      </c>
    </row>
    <row r="14783" spans="1:1">
      <c r="A14783" s="27">
        <v>25.6</v>
      </c>
    </row>
    <row r="14784" spans="1:1">
      <c r="A14784" s="28">
        <v>0</v>
      </c>
    </row>
    <row r="14785" spans="1:1">
      <c r="A14785" s="25">
        <v>705</v>
      </c>
    </row>
    <row r="14786" spans="1:1" ht="30">
      <c r="A14786" s="26" t="s">
        <v>453</v>
      </c>
    </row>
    <row r="14787" spans="1:1">
      <c r="A14787" s="27" t="s">
        <v>42</v>
      </c>
    </row>
    <row r="14788" spans="1:1">
      <c r="A14788" s="27">
        <v>97</v>
      </c>
    </row>
    <row r="14789" spans="1:1">
      <c r="A14789" s="27">
        <v>2</v>
      </c>
    </row>
    <row r="14790" spans="1:1">
      <c r="A14790" s="27">
        <v>9</v>
      </c>
    </row>
    <row r="14791" spans="1:1">
      <c r="A14791" s="27">
        <v>11</v>
      </c>
    </row>
    <row r="14792" spans="1:1">
      <c r="A14792" s="27">
        <v>3</v>
      </c>
    </row>
    <row r="14793" spans="1:1">
      <c r="A14793" s="27">
        <v>91</v>
      </c>
    </row>
    <row r="14794" spans="1:1">
      <c r="A14794" s="27">
        <v>0.11</v>
      </c>
    </row>
    <row r="14795" spans="1:1">
      <c r="A14795" s="27">
        <v>0</v>
      </c>
    </row>
    <row r="14796" spans="1:1">
      <c r="A14796" s="27">
        <v>0</v>
      </c>
    </row>
    <row r="14797" spans="1:1">
      <c r="A14797" s="27">
        <v>0</v>
      </c>
    </row>
    <row r="14798" spans="1:1">
      <c r="A14798" s="27">
        <v>0</v>
      </c>
    </row>
    <row r="14799" spans="1:1">
      <c r="A14799" s="27">
        <v>1</v>
      </c>
    </row>
    <row r="14800" spans="1:1">
      <c r="A14800" s="27">
        <v>0</v>
      </c>
    </row>
    <row r="14801" spans="1:1">
      <c r="A14801" s="27">
        <v>86</v>
      </c>
    </row>
    <row r="14802" spans="1:1">
      <c r="A14802" s="27">
        <v>2.2999999999999998</v>
      </c>
    </row>
    <row r="14803" spans="1:1">
      <c r="A14803" s="29">
        <v>0.53263888888888888</v>
      </c>
    </row>
    <row r="14804" spans="1:1">
      <c r="A14804" s="27">
        <v>17</v>
      </c>
    </row>
    <row r="14805" spans="1:1">
      <c r="A14805" s="28">
        <v>0</v>
      </c>
    </row>
    <row r="14806" spans="1:1">
      <c r="A14806" s="25">
        <v>706</v>
      </c>
    </row>
    <row r="14807" spans="1:1" ht="45">
      <c r="A14807" s="26" t="s">
        <v>1026</v>
      </c>
    </row>
    <row r="14808" spans="1:1">
      <c r="A14808" s="27" t="s">
        <v>42</v>
      </c>
    </row>
    <row r="14809" spans="1:1">
      <c r="A14809" s="27">
        <v>55</v>
      </c>
    </row>
    <row r="14810" spans="1:1">
      <c r="A14810" s="27">
        <v>2</v>
      </c>
    </row>
    <row r="14811" spans="1:1">
      <c r="A14811" s="27">
        <v>9</v>
      </c>
    </row>
    <row r="14812" spans="1:1">
      <c r="A14812" s="27">
        <v>11</v>
      </c>
    </row>
    <row r="14813" spans="1:1">
      <c r="A14813" s="27">
        <v>-6</v>
      </c>
    </row>
    <row r="14814" spans="1:1">
      <c r="A14814" s="27">
        <v>8</v>
      </c>
    </row>
    <row r="14815" spans="1:1">
      <c r="A14815" s="27">
        <v>0.2</v>
      </c>
    </row>
    <row r="14816" spans="1:1">
      <c r="A14816" s="27">
        <v>1</v>
      </c>
    </row>
    <row r="14817" spans="1:1">
      <c r="A14817" s="27">
        <v>2</v>
      </c>
    </row>
    <row r="14818" spans="1:1">
      <c r="A14818" s="27">
        <v>0</v>
      </c>
    </row>
    <row r="14819" spans="1:1">
      <c r="A14819" s="27">
        <v>0</v>
      </c>
    </row>
    <row r="14820" spans="1:1">
      <c r="A14820" s="27">
        <v>0</v>
      </c>
    </row>
    <row r="14821" spans="1:1">
      <c r="A14821" s="27">
        <v>0</v>
      </c>
    </row>
    <row r="14822" spans="1:1">
      <c r="A14822" s="27">
        <v>89</v>
      </c>
    </row>
    <row r="14823" spans="1:1">
      <c r="A14823" s="27">
        <v>2.2000000000000002</v>
      </c>
    </row>
    <row r="14824" spans="1:1">
      <c r="A14824" s="29">
        <v>0.65833333333333333</v>
      </c>
    </row>
    <row r="14825" spans="1:1">
      <c r="A14825" s="27">
        <v>21.3</v>
      </c>
    </row>
    <row r="14826" spans="1:1">
      <c r="A14826" s="28">
        <v>0</v>
      </c>
    </row>
    <row r="14827" spans="1:1">
      <c r="A14827" s="25">
        <v>707</v>
      </c>
    </row>
    <row r="14828" spans="1:1" ht="30">
      <c r="A14828" s="26" t="s">
        <v>422</v>
      </c>
    </row>
    <row r="14829" spans="1:1">
      <c r="A14829" s="27" t="s">
        <v>42</v>
      </c>
    </row>
    <row r="14830" spans="1:1">
      <c r="A14830" s="27">
        <v>50</v>
      </c>
    </row>
    <row r="14831" spans="1:1">
      <c r="A14831" s="27">
        <v>2</v>
      </c>
    </row>
    <row r="14832" spans="1:1">
      <c r="A14832" s="27">
        <v>9</v>
      </c>
    </row>
    <row r="14833" spans="1:1">
      <c r="A14833" s="27">
        <v>11</v>
      </c>
    </row>
    <row r="14834" spans="1:1">
      <c r="A14834" s="27">
        <v>5</v>
      </c>
    </row>
    <row r="14835" spans="1:1">
      <c r="A14835" s="27">
        <v>4</v>
      </c>
    </row>
    <row r="14836" spans="1:1">
      <c r="A14836" s="27">
        <v>0.22</v>
      </c>
    </row>
    <row r="14837" spans="1:1">
      <c r="A14837" s="27">
        <v>0</v>
      </c>
    </row>
    <row r="14838" spans="1:1">
      <c r="A14838" s="27">
        <v>0</v>
      </c>
    </row>
    <row r="14839" spans="1:1">
      <c r="A14839" s="27">
        <v>0</v>
      </c>
    </row>
    <row r="14840" spans="1:1">
      <c r="A14840" s="27">
        <v>0</v>
      </c>
    </row>
    <row r="14841" spans="1:1">
      <c r="A14841" s="27">
        <v>0</v>
      </c>
    </row>
    <row r="14842" spans="1:1">
      <c r="A14842" s="27">
        <v>0</v>
      </c>
    </row>
    <row r="14843" spans="1:1">
      <c r="A14843" s="27">
        <v>54</v>
      </c>
    </row>
    <row r="14844" spans="1:1">
      <c r="A14844" s="27">
        <v>3.7</v>
      </c>
    </row>
    <row r="14845" spans="1:1">
      <c r="A14845" s="29">
        <v>0.61527777777777781</v>
      </c>
    </row>
    <row r="14846" spans="1:1">
      <c r="A14846" s="27">
        <v>19.399999999999999</v>
      </c>
    </row>
    <row r="14847" spans="1:1">
      <c r="A14847" s="28">
        <v>0</v>
      </c>
    </row>
    <row r="14848" spans="1:1">
      <c r="A14848" s="25">
        <v>708</v>
      </c>
    </row>
    <row r="14849" spans="1:1" ht="30">
      <c r="A14849" s="26" t="s">
        <v>992</v>
      </c>
    </row>
    <row r="14850" spans="1:1">
      <c r="A14850" s="27" t="s">
        <v>43</v>
      </c>
    </row>
    <row r="14851" spans="1:1">
      <c r="A14851" s="27">
        <v>38</v>
      </c>
    </row>
    <row r="14852" spans="1:1">
      <c r="A14852" s="27">
        <v>0</v>
      </c>
    </row>
    <row r="14853" spans="1:1">
      <c r="A14853" s="27">
        <v>11</v>
      </c>
    </row>
    <row r="14854" spans="1:1">
      <c r="A14854" s="27">
        <v>11</v>
      </c>
    </row>
    <row r="14855" spans="1:1">
      <c r="A14855" s="27">
        <v>4</v>
      </c>
    </row>
    <row r="14856" spans="1:1">
      <c r="A14856" s="27">
        <v>0</v>
      </c>
    </row>
    <row r="14857" spans="1:1">
      <c r="A14857" s="27">
        <v>0.28999999999999998</v>
      </c>
    </row>
    <row r="14858" spans="1:1">
      <c r="A14858" s="27">
        <v>0</v>
      </c>
    </row>
    <row r="14859" spans="1:1">
      <c r="A14859" s="27">
        <v>0</v>
      </c>
    </row>
    <row r="14860" spans="1:1">
      <c r="A14860" s="27">
        <v>0</v>
      </c>
    </row>
    <row r="14861" spans="1:1">
      <c r="A14861" s="27">
        <v>0</v>
      </c>
    </row>
    <row r="14862" spans="1:1">
      <c r="A14862" s="27">
        <v>0</v>
      </c>
    </row>
    <row r="14863" spans="1:1">
      <c r="A14863" s="27">
        <v>0</v>
      </c>
    </row>
    <row r="14864" spans="1:1">
      <c r="A14864" s="27">
        <v>61</v>
      </c>
    </row>
    <row r="14865" spans="1:1">
      <c r="A14865" s="27">
        <v>0</v>
      </c>
    </row>
    <row r="14866" spans="1:1">
      <c r="A14866" s="29">
        <v>0.48194444444444445</v>
      </c>
    </row>
    <row r="14867" spans="1:1">
      <c r="A14867" s="27">
        <v>15.6</v>
      </c>
    </row>
    <row r="14868" spans="1:1">
      <c r="A14868" s="28">
        <v>0</v>
      </c>
    </row>
    <row r="14869" spans="1:1">
      <c r="A14869" s="25">
        <v>709</v>
      </c>
    </row>
    <row r="14870" spans="1:1" ht="30">
      <c r="A14870" s="26" t="s">
        <v>1069</v>
      </c>
    </row>
    <row r="14871" spans="1:1">
      <c r="A14871" s="27" t="s">
        <v>42</v>
      </c>
    </row>
    <row r="14872" spans="1:1">
      <c r="A14872" s="27">
        <v>59</v>
      </c>
    </row>
    <row r="14873" spans="1:1">
      <c r="A14873" s="27">
        <v>0</v>
      </c>
    </row>
    <row r="14874" spans="1:1">
      <c r="A14874" s="27">
        <v>11</v>
      </c>
    </row>
    <row r="14875" spans="1:1">
      <c r="A14875" s="27">
        <v>11</v>
      </c>
    </row>
    <row r="14876" spans="1:1">
      <c r="A14876" s="27">
        <v>-5</v>
      </c>
    </row>
    <row r="14877" spans="1:1">
      <c r="A14877" s="27">
        <v>18</v>
      </c>
    </row>
    <row r="14878" spans="1:1">
      <c r="A14878" s="27">
        <v>0.19</v>
      </c>
    </row>
    <row r="14879" spans="1:1">
      <c r="A14879" s="27">
        <v>0</v>
      </c>
    </row>
    <row r="14880" spans="1:1">
      <c r="A14880" s="27">
        <v>1</v>
      </c>
    </row>
    <row r="14881" spans="1:1">
      <c r="A14881" s="27">
        <v>0</v>
      </c>
    </row>
    <row r="14882" spans="1:1">
      <c r="A14882" s="27">
        <v>0</v>
      </c>
    </row>
    <row r="14883" spans="1:1">
      <c r="A14883" s="27">
        <v>0</v>
      </c>
    </row>
    <row r="14884" spans="1:1">
      <c r="A14884" s="27">
        <v>0</v>
      </c>
    </row>
    <row r="14885" spans="1:1">
      <c r="A14885" s="27">
        <v>32</v>
      </c>
    </row>
    <row r="14886" spans="1:1">
      <c r="A14886" s="27">
        <v>0</v>
      </c>
    </row>
    <row r="14887" spans="1:1">
      <c r="A14887" s="29">
        <v>0.52361111111111114</v>
      </c>
    </row>
    <row r="14888" spans="1:1">
      <c r="A14888" s="27">
        <v>16.3</v>
      </c>
    </row>
    <row r="14889" spans="1:1">
      <c r="A14889" s="28">
        <v>0</v>
      </c>
    </row>
    <row r="14890" spans="1:1">
      <c r="A14890" s="25">
        <v>710</v>
      </c>
    </row>
    <row r="14891" spans="1:1" ht="45">
      <c r="A14891" s="26" t="s">
        <v>708</v>
      </c>
    </row>
    <row r="14892" spans="1:1">
      <c r="A14892" s="27" t="s">
        <v>44</v>
      </c>
    </row>
    <row r="14893" spans="1:1">
      <c r="A14893" s="27">
        <v>71</v>
      </c>
    </row>
    <row r="14894" spans="1:1">
      <c r="A14894" s="27">
        <v>6</v>
      </c>
    </row>
    <row r="14895" spans="1:1">
      <c r="A14895" s="27">
        <v>4</v>
      </c>
    </row>
    <row r="14896" spans="1:1">
      <c r="A14896" s="27">
        <v>10</v>
      </c>
    </row>
    <row r="14897" spans="1:1">
      <c r="A14897" s="27">
        <v>-18</v>
      </c>
    </row>
    <row r="14898" spans="1:1">
      <c r="A14898" s="27">
        <v>78</v>
      </c>
    </row>
    <row r="14899" spans="1:1">
      <c r="A14899" s="27">
        <v>0.14000000000000001</v>
      </c>
    </row>
    <row r="14900" spans="1:1">
      <c r="A14900" s="27">
        <v>0</v>
      </c>
    </row>
    <row r="14901" spans="1:1">
      <c r="A14901" s="27">
        <v>0</v>
      </c>
    </row>
    <row r="14902" spans="1:1">
      <c r="A14902" s="27">
        <v>0</v>
      </c>
    </row>
    <row r="14903" spans="1:1">
      <c r="A14903" s="27">
        <v>0</v>
      </c>
    </row>
    <row r="14904" spans="1:1">
      <c r="A14904" s="27">
        <v>0</v>
      </c>
    </row>
    <row r="14905" spans="1:1">
      <c r="A14905" s="27">
        <v>0</v>
      </c>
    </row>
    <row r="14906" spans="1:1">
      <c r="A14906" s="27">
        <v>89</v>
      </c>
    </row>
    <row r="14907" spans="1:1">
      <c r="A14907" s="27">
        <v>6.7</v>
      </c>
    </row>
    <row r="14908" spans="1:1">
      <c r="A14908" s="29">
        <v>0.35902777777777778</v>
      </c>
    </row>
    <row r="14909" spans="1:1">
      <c r="A14909" s="27">
        <v>12.4</v>
      </c>
    </row>
    <row r="14910" spans="1:1">
      <c r="A14910" s="28">
        <v>51.6</v>
      </c>
    </row>
    <row r="14911" spans="1:1">
      <c r="A14911" s="25">
        <v>711</v>
      </c>
    </row>
    <row r="14912" spans="1:1" ht="30">
      <c r="A14912" s="26" t="s">
        <v>437</v>
      </c>
    </row>
    <row r="14913" spans="1:1">
      <c r="A14913" s="27" t="s">
        <v>44</v>
      </c>
    </row>
    <row r="14914" spans="1:1">
      <c r="A14914" s="27">
        <v>25</v>
      </c>
    </row>
    <row r="14915" spans="1:1">
      <c r="A14915" s="27">
        <v>6</v>
      </c>
    </row>
    <row r="14916" spans="1:1">
      <c r="A14916" s="27">
        <v>4</v>
      </c>
    </row>
    <row r="14917" spans="1:1">
      <c r="A14917" s="27">
        <v>10</v>
      </c>
    </row>
    <row r="14918" spans="1:1">
      <c r="A14918" s="27">
        <v>-2</v>
      </c>
    </row>
    <row r="14919" spans="1:1">
      <c r="A14919" s="27">
        <v>6</v>
      </c>
    </row>
    <row r="14920" spans="1:1">
      <c r="A14920" s="27">
        <v>0.4</v>
      </c>
    </row>
    <row r="14921" spans="1:1">
      <c r="A14921" s="27">
        <v>1</v>
      </c>
    </row>
    <row r="14922" spans="1:1">
      <c r="A14922" s="27">
        <v>3</v>
      </c>
    </row>
    <row r="14923" spans="1:1">
      <c r="A14923" s="27">
        <v>0</v>
      </c>
    </row>
    <row r="14924" spans="1:1">
      <c r="A14924" s="27">
        <v>0</v>
      </c>
    </row>
    <row r="14925" spans="1:1">
      <c r="A14925" s="27">
        <v>0</v>
      </c>
    </row>
    <row r="14926" spans="1:1">
      <c r="A14926" s="27">
        <v>0</v>
      </c>
    </row>
    <row r="14927" spans="1:1">
      <c r="A14927" s="27">
        <v>57</v>
      </c>
    </row>
    <row r="14928" spans="1:1">
      <c r="A14928" s="27">
        <v>10.5</v>
      </c>
    </row>
    <row r="14929" spans="1:1">
      <c r="A14929" s="29">
        <v>0.53055555555555556</v>
      </c>
    </row>
    <row r="14930" spans="1:1">
      <c r="A14930" s="27">
        <v>16.2</v>
      </c>
    </row>
    <row r="14931" spans="1:1">
      <c r="A14931" s="28">
        <v>25</v>
      </c>
    </row>
    <row r="14932" spans="1:1">
      <c r="A14932" s="25">
        <v>712</v>
      </c>
    </row>
    <row r="14933" spans="1:1" ht="30">
      <c r="A14933" s="26" t="s">
        <v>565</v>
      </c>
    </row>
    <row r="14934" spans="1:1">
      <c r="A14934" s="27" t="s">
        <v>44</v>
      </c>
    </row>
    <row r="14935" spans="1:1">
      <c r="A14935" s="27">
        <v>53</v>
      </c>
    </row>
    <row r="14936" spans="1:1">
      <c r="A14936" s="27">
        <v>5</v>
      </c>
    </row>
    <row r="14937" spans="1:1">
      <c r="A14937" s="27">
        <v>5</v>
      </c>
    </row>
    <row r="14938" spans="1:1">
      <c r="A14938" s="27">
        <v>10</v>
      </c>
    </row>
    <row r="14939" spans="1:1">
      <c r="A14939" s="27">
        <v>-1</v>
      </c>
    </row>
    <row r="14940" spans="1:1">
      <c r="A14940" s="27">
        <v>24</v>
      </c>
    </row>
    <row r="14941" spans="1:1">
      <c r="A14941" s="27">
        <v>0.19</v>
      </c>
    </row>
    <row r="14942" spans="1:1">
      <c r="A14942" s="27">
        <v>0</v>
      </c>
    </row>
    <row r="14943" spans="1:1">
      <c r="A14943" s="27">
        <v>1</v>
      </c>
    </row>
    <row r="14944" spans="1:1">
      <c r="A14944" s="27">
        <v>0</v>
      </c>
    </row>
    <row r="14945" spans="1:1">
      <c r="A14945" s="27">
        <v>0</v>
      </c>
    </row>
    <row r="14946" spans="1:1">
      <c r="A14946" s="27">
        <v>1</v>
      </c>
    </row>
    <row r="14947" spans="1:1">
      <c r="A14947" s="27">
        <v>0</v>
      </c>
    </row>
    <row r="14948" spans="1:1">
      <c r="A14948" s="27">
        <v>99</v>
      </c>
    </row>
    <row r="14949" spans="1:1">
      <c r="A14949" s="27">
        <v>5.0999999999999996</v>
      </c>
    </row>
    <row r="14950" spans="1:1">
      <c r="A14950" s="29">
        <v>0.54097222222222219</v>
      </c>
    </row>
    <row r="14951" spans="1:1">
      <c r="A14951" s="27">
        <v>18.2</v>
      </c>
    </row>
    <row r="14952" spans="1:1">
      <c r="A14952" s="28">
        <v>50</v>
      </c>
    </row>
    <row r="14953" spans="1:1">
      <c r="A14953" s="25">
        <v>713</v>
      </c>
    </row>
    <row r="14954" spans="1:1" ht="30">
      <c r="A14954" s="26" t="s">
        <v>431</v>
      </c>
    </row>
    <row r="14955" spans="1:1">
      <c r="A14955" s="27" t="s">
        <v>653</v>
      </c>
    </row>
    <row r="14956" spans="1:1">
      <c r="A14956" s="27">
        <v>21</v>
      </c>
    </row>
    <row r="14957" spans="1:1">
      <c r="A14957" s="27">
        <v>5</v>
      </c>
    </row>
    <row r="14958" spans="1:1">
      <c r="A14958" s="27">
        <v>5</v>
      </c>
    </row>
    <row r="14959" spans="1:1">
      <c r="A14959" s="27">
        <v>10</v>
      </c>
    </row>
    <row r="14960" spans="1:1">
      <c r="A14960" s="27">
        <v>1</v>
      </c>
    </row>
    <row r="14961" spans="1:1">
      <c r="A14961" s="27">
        <v>4</v>
      </c>
    </row>
    <row r="14962" spans="1:1">
      <c r="A14962" s="27">
        <v>0.48</v>
      </c>
    </row>
    <row r="14963" spans="1:1">
      <c r="A14963" s="27">
        <v>0</v>
      </c>
    </row>
    <row r="14964" spans="1:1">
      <c r="A14964" s="27">
        <v>1</v>
      </c>
    </row>
    <row r="14965" spans="1:1">
      <c r="A14965" s="27">
        <v>0</v>
      </c>
    </row>
    <row r="14966" spans="1:1">
      <c r="A14966" s="27">
        <v>0</v>
      </c>
    </row>
    <row r="14967" spans="1:1">
      <c r="A14967" s="27">
        <v>2</v>
      </c>
    </row>
    <row r="14968" spans="1:1">
      <c r="A14968" s="27">
        <v>0</v>
      </c>
    </row>
    <row r="14969" spans="1:1">
      <c r="A14969" s="27">
        <v>28</v>
      </c>
    </row>
    <row r="14970" spans="1:1">
      <c r="A14970" s="27">
        <v>17.8</v>
      </c>
    </row>
    <row r="14971" spans="1:1">
      <c r="A14971" s="29">
        <v>0.51180555555555551</v>
      </c>
    </row>
    <row r="14972" spans="1:1">
      <c r="A14972" s="27">
        <v>14.9</v>
      </c>
    </row>
    <row r="14973" spans="1:1">
      <c r="A14973" s="28">
        <v>34</v>
      </c>
    </row>
    <row r="14974" spans="1:1">
      <c r="A14974" s="25">
        <v>714</v>
      </c>
    </row>
    <row r="14975" spans="1:1" ht="45">
      <c r="A14975" s="26" t="s">
        <v>582</v>
      </c>
    </row>
    <row r="14976" spans="1:1">
      <c r="A14976" s="27" t="s">
        <v>43</v>
      </c>
    </row>
    <row r="14977" spans="1:1">
      <c r="A14977" s="27">
        <v>24</v>
      </c>
    </row>
    <row r="14978" spans="1:1">
      <c r="A14978" s="27">
        <v>5</v>
      </c>
    </row>
    <row r="14979" spans="1:1">
      <c r="A14979" s="27">
        <v>5</v>
      </c>
    </row>
    <row r="14980" spans="1:1">
      <c r="A14980" s="27">
        <v>10</v>
      </c>
    </row>
    <row r="14981" spans="1:1">
      <c r="A14981" s="27">
        <v>-2</v>
      </c>
    </row>
    <row r="14982" spans="1:1">
      <c r="A14982" s="27">
        <v>10</v>
      </c>
    </row>
    <row r="14983" spans="1:1">
      <c r="A14983" s="27">
        <v>0.42</v>
      </c>
    </row>
    <row r="14984" spans="1:1">
      <c r="A14984" s="27">
        <v>0</v>
      </c>
    </row>
    <row r="14985" spans="1:1">
      <c r="A14985" s="27">
        <v>1</v>
      </c>
    </row>
    <row r="14986" spans="1:1">
      <c r="A14986" s="27">
        <v>0</v>
      </c>
    </row>
    <row r="14987" spans="1:1">
      <c r="A14987" s="27">
        <v>0</v>
      </c>
    </row>
    <row r="14988" spans="1:1">
      <c r="A14988" s="27">
        <v>1</v>
      </c>
    </row>
    <row r="14989" spans="1:1">
      <c r="A14989" s="27">
        <v>0</v>
      </c>
    </row>
    <row r="14990" spans="1:1">
      <c r="A14990" s="27">
        <v>40</v>
      </c>
    </row>
    <row r="14991" spans="1:1">
      <c r="A14991" s="27">
        <v>12.5</v>
      </c>
    </row>
    <row r="14992" spans="1:1">
      <c r="A14992" s="29">
        <v>0.59513888888888888</v>
      </c>
    </row>
    <row r="14993" spans="1:1">
      <c r="A14993" s="27">
        <v>18.3</v>
      </c>
    </row>
    <row r="14994" spans="1:1">
      <c r="A14994" s="28">
        <v>0</v>
      </c>
    </row>
    <row r="14995" spans="1:1">
      <c r="A14995" s="25">
        <v>715</v>
      </c>
    </row>
    <row r="14996" spans="1:1" ht="30">
      <c r="A14996" s="26" t="s">
        <v>140</v>
      </c>
    </row>
    <row r="14997" spans="1:1">
      <c r="A14997" s="27" t="s">
        <v>653</v>
      </c>
    </row>
    <row r="14998" spans="1:1">
      <c r="A14998" s="27">
        <v>43</v>
      </c>
    </row>
    <row r="14999" spans="1:1">
      <c r="A14999" s="27">
        <v>4</v>
      </c>
    </row>
    <row r="15000" spans="1:1">
      <c r="A15000" s="27">
        <v>6</v>
      </c>
    </row>
    <row r="15001" spans="1:1">
      <c r="A15001" s="27">
        <v>10</v>
      </c>
    </row>
    <row r="15002" spans="1:1">
      <c r="A15002" s="27">
        <v>-8</v>
      </c>
    </row>
    <row r="15003" spans="1:1">
      <c r="A15003" s="27">
        <v>18</v>
      </c>
    </row>
    <row r="15004" spans="1:1">
      <c r="A15004" s="27">
        <v>0.23</v>
      </c>
    </row>
    <row r="15005" spans="1:1">
      <c r="A15005" s="27">
        <v>0</v>
      </c>
    </row>
    <row r="15006" spans="1:1">
      <c r="A15006" s="27">
        <v>1</v>
      </c>
    </row>
    <row r="15007" spans="1:1">
      <c r="A15007" s="27">
        <v>0</v>
      </c>
    </row>
    <row r="15008" spans="1:1">
      <c r="A15008" s="27">
        <v>0</v>
      </c>
    </row>
    <row r="15009" spans="1:1">
      <c r="A15009" s="27">
        <v>1</v>
      </c>
    </row>
    <row r="15010" spans="1:1">
      <c r="A15010" s="27">
        <v>0</v>
      </c>
    </row>
    <row r="15011" spans="1:1">
      <c r="A15011" s="27">
        <v>47</v>
      </c>
    </row>
    <row r="15012" spans="1:1">
      <c r="A15012" s="27">
        <v>8.5</v>
      </c>
    </row>
    <row r="15013" spans="1:1">
      <c r="A15013" s="29">
        <v>0.40763888888888888</v>
      </c>
    </row>
    <row r="15014" spans="1:1">
      <c r="A15014" s="27">
        <v>14.3</v>
      </c>
    </row>
    <row r="15015" spans="1:1">
      <c r="A15015" s="28">
        <v>41.7</v>
      </c>
    </row>
    <row r="15016" spans="1:1">
      <c r="A15016" s="25">
        <v>716</v>
      </c>
    </row>
    <row r="15017" spans="1:1" ht="30">
      <c r="A15017" s="26" t="s">
        <v>514</v>
      </c>
    </row>
    <row r="15018" spans="1:1">
      <c r="A15018" s="27" t="s">
        <v>653</v>
      </c>
    </row>
    <row r="15019" spans="1:1">
      <c r="A15019" s="27">
        <v>30</v>
      </c>
    </row>
    <row r="15020" spans="1:1">
      <c r="A15020" s="27">
        <v>4</v>
      </c>
    </row>
    <row r="15021" spans="1:1">
      <c r="A15021" s="27">
        <v>6</v>
      </c>
    </row>
    <row r="15022" spans="1:1">
      <c r="A15022" s="27">
        <v>10</v>
      </c>
    </row>
    <row r="15023" spans="1:1">
      <c r="A15023" s="27">
        <v>-7</v>
      </c>
    </row>
    <row r="15024" spans="1:1">
      <c r="A15024" s="27">
        <v>6</v>
      </c>
    </row>
    <row r="15025" spans="1:1">
      <c r="A15025" s="27">
        <v>0.33</v>
      </c>
    </row>
    <row r="15026" spans="1:1">
      <c r="A15026" s="27">
        <v>1</v>
      </c>
    </row>
    <row r="15027" spans="1:1">
      <c r="A15027" s="27">
        <v>6</v>
      </c>
    </row>
    <row r="15028" spans="1:1">
      <c r="A15028" s="27">
        <v>0</v>
      </c>
    </row>
    <row r="15029" spans="1:1">
      <c r="A15029" s="27">
        <v>0</v>
      </c>
    </row>
    <row r="15030" spans="1:1">
      <c r="A15030" s="27">
        <v>0</v>
      </c>
    </row>
    <row r="15031" spans="1:1">
      <c r="A15031" s="27">
        <v>0</v>
      </c>
    </row>
    <row r="15032" spans="1:1">
      <c r="A15032" s="27">
        <v>42</v>
      </c>
    </row>
    <row r="15033" spans="1:1">
      <c r="A15033" s="27">
        <v>9.5</v>
      </c>
    </row>
    <row r="15034" spans="1:1">
      <c r="A15034" s="29">
        <v>0.57638888888888895</v>
      </c>
    </row>
    <row r="15035" spans="1:1">
      <c r="A15035" s="27">
        <v>16.399999999999999</v>
      </c>
    </row>
    <row r="15036" spans="1:1">
      <c r="A15036" s="28">
        <v>40.700000000000003</v>
      </c>
    </row>
    <row r="15037" spans="1:1">
      <c r="A15037" s="25">
        <v>717</v>
      </c>
    </row>
    <row r="15038" spans="1:1" ht="45">
      <c r="A15038" s="26" t="s">
        <v>671</v>
      </c>
    </row>
    <row r="15039" spans="1:1">
      <c r="A15039" s="27" t="s">
        <v>653</v>
      </c>
    </row>
    <row r="15040" spans="1:1">
      <c r="A15040" s="27">
        <v>59</v>
      </c>
    </row>
    <row r="15041" spans="1:1">
      <c r="A15041" s="27">
        <v>4</v>
      </c>
    </row>
    <row r="15042" spans="1:1">
      <c r="A15042" s="27">
        <v>6</v>
      </c>
    </row>
    <row r="15043" spans="1:1">
      <c r="A15043" s="27">
        <v>10</v>
      </c>
    </row>
    <row r="15044" spans="1:1">
      <c r="A15044" s="27">
        <v>0</v>
      </c>
    </row>
    <row r="15045" spans="1:1">
      <c r="A15045" s="27">
        <v>60</v>
      </c>
    </row>
    <row r="15046" spans="1:1">
      <c r="A15046" s="27">
        <v>0.17</v>
      </c>
    </row>
    <row r="15047" spans="1:1">
      <c r="A15047" s="27">
        <v>0</v>
      </c>
    </row>
    <row r="15048" spans="1:1">
      <c r="A15048" s="27">
        <v>0</v>
      </c>
    </row>
    <row r="15049" spans="1:1">
      <c r="A15049" s="27">
        <v>0</v>
      </c>
    </row>
    <row r="15050" spans="1:1">
      <c r="A15050" s="27">
        <v>2</v>
      </c>
    </row>
    <row r="15051" spans="1:1">
      <c r="A15051" s="27">
        <v>1</v>
      </c>
    </row>
    <row r="15052" spans="1:1">
      <c r="A15052" s="27">
        <v>0</v>
      </c>
    </row>
    <row r="15053" spans="1:1">
      <c r="A15053" s="27">
        <v>36</v>
      </c>
    </row>
    <row r="15054" spans="1:1">
      <c r="A15054" s="27">
        <v>11.1</v>
      </c>
    </row>
    <row r="15055" spans="1:1">
      <c r="A15055" s="29">
        <v>0.4145833333333333</v>
      </c>
    </row>
    <row r="15056" spans="1:1">
      <c r="A15056" s="27">
        <v>14.9</v>
      </c>
    </row>
    <row r="15057" spans="1:1">
      <c r="A15057" s="28">
        <v>85.7</v>
      </c>
    </row>
    <row r="15058" spans="1:1">
      <c r="A15058" s="25">
        <v>718</v>
      </c>
    </row>
    <row r="15059" spans="1:1" ht="30">
      <c r="A15059" s="26" t="s">
        <v>211</v>
      </c>
    </row>
    <row r="15060" spans="1:1">
      <c r="A15060" s="27" t="s">
        <v>653</v>
      </c>
    </row>
    <row r="15061" spans="1:1">
      <c r="A15061" s="27">
        <v>21</v>
      </c>
    </row>
    <row r="15062" spans="1:1">
      <c r="A15062" s="27">
        <v>4</v>
      </c>
    </row>
    <row r="15063" spans="1:1">
      <c r="A15063" s="27">
        <v>6</v>
      </c>
    </row>
    <row r="15064" spans="1:1">
      <c r="A15064" s="27">
        <v>10</v>
      </c>
    </row>
    <row r="15065" spans="1:1">
      <c r="A15065" s="27">
        <v>6</v>
      </c>
    </row>
    <row r="15066" spans="1:1">
      <c r="A15066" s="27">
        <v>10</v>
      </c>
    </row>
    <row r="15067" spans="1:1">
      <c r="A15067" s="27">
        <v>0.48</v>
      </c>
    </row>
    <row r="15068" spans="1:1">
      <c r="A15068" s="27">
        <v>0</v>
      </c>
    </row>
    <row r="15069" spans="1:1">
      <c r="A15069" s="27">
        <v>0</v>
      </c>
    </row>
    <row r="15070" spans="1:1">
      <c r="A15070" s="27">
        <v>0</v>
      </c>
    </row>
    <row r="15071" spans="1:1">
      <c r="A15071" s="27">
        <v>0</v>
      </c>
    </row>
    <row r="15072" spans="1:1">
      <c r="A15072" s="27">
        <v>1</v>
      </c>
    </row>
    <row r="15073" spans="1:1">
      <c r="A15073" s="27">
        <v>0</v>
      </c>
    </row>
    <row r="15074" spans="1:1">
      <c r="A15074" s="27">
        <v>30</v>
      </c>
    </row>
    <row r="15075" spans="1:1">
      <c r="A15075" s="27">
        <v>13.3</v>
      </c>
    </row>
    <row r="15076" spans="1:1">
      <c r="A15076" s="29">
        <v>0.49791666666666662</v>
      </c>
    </row>
    <row r="15077" spans="1:1">
      <c r="A15077" s="27">
        <v>18</v>
      </c>
    </row>
    <row r="15078" spans="1:1">
      <c r="A15078" s="28">
        <v>48.9</v>
      </c>
    </row>
    <row r="15079" spans="1:1">
      <c r="A15079" s="25">
        <v>719</v>
      </c>
    </row>
    <row r="15080" spans="1:1" ht="30">
      <c r="A15080" s="26" t="s">
        <v>194</v>
      </c>
    </row>
    <row r="15081" spans="1:1">
      <c r="A15081" s="27" t="s">
        <v>44</v>
      </c>
    </row>
    <row r="15082" spans="1:1">
      <c r="A15082" s="27">
        <v>55</v>
      </c>
    </row>
    <row r="15083" spans="1:1">
      <c r="A15083" s="27">
        <v>4</v>
      </c>
    </row>
    <row r="15084" spans="1:1">
      <c r="A15084" s="27">
        <v>6</v>
      </c>
    </row>
    <row r="15085" spans="1:1">
      <c r="A15085" s="27">
        <v>10</v>
      </c>
    </row>
    <row r="15086" spans="1:1">
      <c r="A15086" s="27">
        <v>3</v>
      </c>
    </row>
    <row r="15087" spans="1:1">
      <c r="A15087" s="27">
        <v>10</v>
      </c>
    </row>
    <row r="15088" spans="1:1">
      <c r="A15088" s="27">
        <v>0.18</v>
      </c>
    </row>
    <row r="15089" spans="1:1">
      <c r="A15089" s="27">
        <v>0</v>
      </c>
    </row>
    <row r="15090" spans="1:1">
      <c r="A15090" s="27">
        <v>0</v>
      </c>
    </row>
    <row r="15091" spans="1:1">
      <c r="A15091" s="27">
        <v>0</v>
      </c>
    </row>
    <row r="15092" spans="1:1">
      <c r="A15092" s="27">
        <v>0</v>
      </c>
    </row>
    <row r="15093" spans="1:1">
      <c r="A15093" s="27">
        <v>2</v>
      </c>
    </row>
    <row r="15094" spans="1:1">
      <c r="A15094" s="27">
        <v>0</v>
      </c>
    </row>
    <row r="15095" spans="1:1">
      <c r="A15095" s="27">
        <v>51</v>
      </c>
    </row>
    <row r="15096" spans="1:1">
      <c r="A15096" s="27">
        <v>7.8</v>
      </c>
    </row>
    <row r="15097" spans="1:1">
      <c r="A15097" s="29">
        <v>0.50763888888888886</v>
      </c>
    </row>
    <row r="15098" spans="1:1">
      <c r="A15098" s="27">
        <v>15.9</v>
      </c>
    </row>
    <row r="15099" spans="1:1">
      <c r="A15099" s="28">
        <v>60</v>
      </c>
    </row>
    <row r="15100" spans="1:1">
      <c r="A15100" s="25">
        <v>720</v>
      </c>
    </row>
    <row r="15101" spans="1:1" ht="30">
      <c r="A15101" s="26" t="s">
        <v>1032</v>
      </c>
    </row>
    <row r="15102" spans="1:1">
      <c r="A15102" s="27" t="s">
        <v>44</v>
      </c>
    </row>
    <row r="15103" spans="1:1">
      <c r="A15103" s="27">
        <v>22</v>
      </c>
    </row>
    <row r="15104" spans="1:1">
      <c r="A15104" s="27">
        <v>3</v>
      </c>
    </row>
    <row r="15105" spans="1:1">
      <c r="A15105" s="27">
        <v>7</v>
      </c>
    </row>
    <row r="15106" spans="1:1">
      <c r="A15106" s="27">
        <v>10</v>
      </c>
    </row>
    <row r="15107" spans="1:1">
      <c r="A15107" s="27">
        <v>1</v>
      </c>
    </row>
    <row r="15108" spans="1:1">
      <c r="A15108" s="27">
        <v>10</v>
      </c>
    </row>
    <row r="15109" spans="1:1">
      <c r="A15109" s="27">
        <v>0.45</v>
      </c>
    </row>
    <row r="15110" spans="1:1">
      <c r="A15110" s="27">
        <v>0</v>
      </c>
    </row>
    <row r="15111" spans="1:1">
      <c r="A15111" s="27">
        <v>0</v>
      </c>
    </row>
    <row r="15112" spans="1:1">
      <c r="A15112" s="27">
        <v>0</v>
      </c>
    </row>
    <row r="15113" spans="1:1">
      <c r="A15113" s="27">
        <v>0</v>
      </c>
    </row>
    <row r="15114" spans="1:1">
      <c r="A15114" s="27">
        <v>0</v>
      </c>
    </row>
    <row r="15115" spans="1:1">
      <c r="A15115" s="27">
        <v>0</v>
      </c>
    </row>
    <row r="15116" spans="1:1">
      <c r="A15116" s="27">
        <v>40</v>
      </c>
    </row>
    <row r="15117" spans="1:1">
      <c r="A15117" s="27">
        <v>7.5</v>
      </c>
    </row>
    <row r="15118" spans="1:1">
      <c r="A15118" s="29">
        <v>0.61944444444444446</v>
      </c>
    </row>
    <row r="15119" spans="1:1">
      <c r="A15119" s="27">
        <v>20.100000000000001</v>
      </c>
    </row>
    <row r="15120" spans="1:1">
      <c r="A15120" s="28">
        <v>0</v>
      </c>
    </row>
    <row r="15121" spans="1:1">
      <c r="A15121" s="25">
        <v>721</v>
      </c>
    </row>
    <row r="15122" spans="1:1" ht="30">
      <c r="A15122" s="26" t="s">
        <v>706</v>
      </c>
    </row>
    <row r="15123" spans="1:1">
      <c r="A15123" s="27" t="s">
        <v>653</v>
      </c>
    </row>
    <row r="15124" spans="1:1">
      <c r="A15124" s="27">
        <v>53</v>
      </c>
    </row>
    <row r="15125" spans="1:1">
      <c r="A15125" s="27">
        <v>3</v>
      </c>
    </row>
    <row r="15126" spans="1:1">
      <c r="A15126" s="27">
        <v>7</v>
      </c>
    </row>
    <row r="15127" spans="1:1">
      <c r="A15127" s="27">
        <v>10</v>
      </c>
    </row>
    <row r="15128" spans="1:1">
      <c r="A15128" s="27">
        <v>-8</v>
      </c>
    </row>
    <row r="15129" spans="1:1">
      <c r="A15129" s="27">
        <v>8</v>
      </c>
    </row>
    <row r="15130" spans="1:1">
      <c r="A15130" s="27">
        <v>0.19</v>
      </c>
    </row>
    <row r="15131" spans="1:1">
      <c r="A15131" s="27">
        <v>1</v>
      </c>
    </row>
    <row r="15132" spans="1:1">
      <c r="A15132" s="27">
        <v>1</v>
      </c>
    </row>
    <row r="15133" spans="1:1">
      <c r="A15133" s="27">
        <v>0</v>
      </c>
    </row>
    <row r="15134" spans="1:1">
      <c r="A15134" s="27">
        <v>0</v>
      </c>
    </row>
    <row r="15135" spans="1:1">
      <c r="A15135" s="27">
        <v>1</v>
      </c>
    </row>
    <row r="15136" spans="1:1">
      <c r="A15136" s="27">
        <v>0</v>
      </c>
    </row>
    <row r="15137" spans="1:1">
      <c r="A15137" s="27">
        <v>51</v>
      </c>
    </row>
    <row r="15138" spans="1:1">
      <c r="A15138" s="27">
        <v>5.9</v>
      </c>
    </row>
    <row r="15139" spans="1:1">
      <c r="A15139" s="29">
        <v>0.40486111111111112</v>
      </c>
    </row>
    <row r="15140" spans="1:1">
      <c r="A15140" s="27">
        <v>15.3</v>
      </c>
    </row>
    <row r="15141" spans="1:1">
      <c r="A15141" s="28">
        <v>51.8</v>
      </c>
    </row>
    <row r="15142" spans="1:1">
      <c r="A15142" s="25">
        <v>722</v>
      </c>
    </row>
    <row r="15143" spans="1:1" ht="45">
      <c r="A15143" s="26" t="s">
        <v>1065</v>
      </c>
    </row>
    <row r="15144" spans="1:1">
      <c r="A15144" s="27" t="s">
        <v>653</v>
      </c>
    </row>
    <row r="15145" spans="1:1">
      <c r="A15145" s="27">
        <v>45</v>
      </c>
    </row>
    <row r="15146" spans="1:1">
      <c r="A15146" s="27">
        <v>3</v>
      </c>
    </row>
    <row r="15147" spans="1:1">
      <c r="A15147" s="27">
        <v>7</v>
      </c>
    </row>
    <row r="15148" spans="1:1">
      <c r="A15148" s="27">
        <v>10</v>
      </c>
    </row>
    <row r="15149" spans="1:1">
      <c r="A15149" s="27">
        <v>8</v>
      </c>
    </row>
    <row r="15150" spans="1:1">
      <c r="A15150" s="27">
        <v>6</v>
      </c>
    </row>
    <row r="15151" spans="1:1">
      <c r="A15151" s="27">
        <v>0.22</v>
      </c>
    </row>
    <row r="15152" spans="1:1">
      <c r="A15152" s="27">
        <v>0</v>
      </c>
    </row>
    <row r="15153" spans="1:1">
      <c r="A15153" s="27">
        <v>0</v>
      </c>
    </row>
    <row r="15154" spans="1:1">
      <c r="A15154" s="27">
        <v>0</v>
      </c>
    </row>
    <row r="15155" spans="1:1">
      <c r="A15155" s="27">
        <v>0</v>
      </c>
    </row>
    <row r="15156" spans="1:1">
      <c r="A15156" s="27">
        <v>1</v>
      </c>
    </row>
    <row r="15157" spans="1:1">
      <c r="A15157" s="27">
        <v>0</v>
      </c>
    </row>
    <row r="15158" spans="1:1">
      <c r="A15158" s="27">
        <v>38</v>
      </c>
    </row>
    <row r="15159" spans="1:1">
      <c r="A15159" s="27">
        <v>7.9</v>
      </c>
    </row>
    <row r="15160" spans="1:1">
      <c r="A15160" s="29">
        <v>0.35972222222222222</v>
      </c>
    </row>
    <row r="15161" spans="1:1">
      <c r="A15161" s="27">
        <v>12.2</v>
      </c>
    </row>
    <row r="15162" spans="1:1">
      <c r="A15162" s="28">
        <v>0</v>
      </c>
    </row>
    <row r="15163" spans="1:1">
      <c r="A15163" s="25">
        <v>723</v>
      </c>
    </row>
    <row r="15164" spans="1:1" ht="30">
      <c r="A15164" s="26" t="s">
        <v>767</v>
      </c>
    </row>
    <row r="15165" spans="1:1">
      <c r="A15165" s="27" t="s">
        <v>653</v>
      </c>
    </row>
    <row r="15166" spans="1:1">
      <c r="A15166" s="27">
        <v>30</v>
      </c>
    </row>
    <row r="15167" spans="1:1">
      <c r="A15167" s="27">
        <v>3</v>
      </c>
    </row>
    <row r="15168" spans="1:1">
      <c r="A15168" s="27">
        <v>7</v>
      </c>
    </row>
    <row r="15169" spans="1:1">
      <c r="A15169" s="27">
        <v>10</v>
      </c>
    </row>
    <row r="15170" spans="1:1">
      <c r="A15170" s="27">
        <v>-1</v>
      </c>
    </row>
    <row r="15171" spans="1:1">
      <c r="A15171" s="27">
        <v>6</v>
      </c>
    </row>
    <row r="15172" spans="1:1">
      <c r="A15172" s="27">
        <v>0.33</v>
      </c>
    </row>
    <row r="15173" spans="1:1">
      <c r="A15173" s="27">
        <v>0</v>
      </c>
    </row>
    <row r="15174" spans="1:1">
      <c r="A15174" s="27">
        <v>1</v>
      </c>
    </row>
    <row r="15175" spans="1:1">
      <c r="A15175" s="27">
        <v>1</v>
      </c>
    </row>
    <row r="15176" spans="1:1">
      <c r="A15176" s="27">
        <v>1</v>
      </c>
    </row>
    <row r="15177" spans="1:1">
      <c r="A15177" s="27">
        <v>0</v>
      </c>
    </row>
    <row r="15178" spans="1:1">
      <c r="A15178" s="27">
        <v>0</v>
      </c>
    </row>
    <row r="15179" spans="1:1">
      <c r="A15179" s="27">
        <v>39</v>
      </c>
    </row>
    <row r="15180" spans="1:1">
      <c r="A15180" s="27">
        <v>7.7</v>
      </c>
    </row>
    <row r="15181" spans="1:1">
      <c r="A15181" s="29">
        <v>0.56944444444444442</v>
      </c>
    </row>
    <row r="15182" spans="1:1">
      <c r="A15182" s="27">
        <v>19.399999999999999</v>
      </c>
    </row>
    <row r="15183" spans="1:1">
      <c r="A15183" s="28">
        <v>48.6</v>
      </c>
    </row>
    <row r="15184" spans="1:1">
      <c r="A15184" s="25">
        <v>724</v>
      </c>
    </row>
    <row r="15185" spans="1:1" ht="45">
      <c r="A15185" s="26" t="s">
        <v>1058</v>
      </c>
    </row>
    <row r="15186" spans="1:1">
      <c r="A15186" s="27" t="s">
        <v>42</v>
      </c>
    </row>
    <row r="15187" spans="1:1">
      <c r="A15187" s="27">
        <v>61</v>
      </c>
    </row>
    <row r="15188" spans="1:1">
      <c r="A15188" s="27">
        <v>3</v>
      </c>
    </row>
    <row r="15189" spans="1:1">
      <c r="A15189" s="27">
        <v>7</v>
      </c>
    </row>
    <row r="15190" spans="1:1">
      <c r="A15190" s="27">
        <v>10</v>
      </c>
    </row>
    <row r="15191" spans="1:1">
      <c r="A15191" s="27">
        <v>0</v>
      </c>
    </row>
    <row r="15192" spans="1:1">
      <c r="A15192" s="27">
        <v>14</v>
      </c>
    </row>
    <row r="15193" spans="1:1">
      <c r="A15193" s="27">
        <v>0.16</v>
      </c>
    </row>
    <row r="15194" spans="1:1">
      <c r="A15194" s="27">
        <v>0</v>
      </c>
    </row>
    <row r="15195" spans="1:1">
      <c r="A15195" s="27">
        <v>0</v>
      </c>
    </row>
    <row r="15196" spans="1:1">
      <c r="A15196" s="27">
        <v>0</v>
      </c>
    </row>
    <row r="15197" spans="1:1">
      <c r="A15197" s="27">
        <v>0</v>
      </c>
    </row>
    <row r="15198" spans="1:1">
      <c r="A15198" s="27">
        <v>1</v>
      </c>
    </row>
    <row r="15199" spans="1:1">
      <c r="A15199" s="27">
        <v>0</v>
      </c>
    </row>
    <row r="15200" spans="1:1">
      <c r="A15200" s="27">
        <v>41</v>
      </c>
    </row>
    <row r="15201" spans="1:1">
      <c r="A15201" s="27">
        <v>7.3</v>
      </c>
    </row>
    <row r="15202" spans="1:1">
      <c r="A15202" s="29">
        <v>0.53263888888888888</v>
      </c>
    </row>
    <row r="15203" spans="1:1">
      <c r="A15203" s="27">
        <v>17.399999999999999</v>
      </c>
    </row>
    <row r="15204" spans="1:1">
      <c r="A15204" s="28">
        <v>0</v>
      </c>
    </row>
    <row r="15205" spans="1:1">
      <c r="A15205" s="25">
        <v>725</v>
      </c>
    </row>
    <row r="15206" spans="1:1" ht="45">
      <c r="A15206" s="26" t="s">
        <v>830</v>
      </c>
    </row>
    <row r="15207" spans="1:1">
      <c r="A15207" s="27" t="s">
        <v>653</v>
      </c>
    </row>
    <row r="15208" spans="1:1">
      <c r="A15208" s="27">
        <v>50</v>
      </c>
    </row>
    <row r="15209" spans="1:1">
      <c r="A15209" s="27">
        <v>2</v>
      </c>
    </row>
    <row r="15210" spans="1:1">
      <c r="A15210" s="27">
        <v>8</v>
      </c>
    </row>
    <row r="15211" spans="1:1">
      <c r="A15211" s="27">
        <v>10</v>
      </c>
    </row>
    <row r="15212" spans="1:1">
      <c r="A15212" s="27">
        <v>-8</v>
      </c>
    </row>
    <row r="15213" spans="1:1">
      <c r="A15213" s="27">
        <v>23</v>
      </c>
    </row>
    <row r="15214" spans="1:1">
      <c r="A15214" s="27">
        <v>0.2</v>
      </c>
    </row>
    <row r="15215" spans="1:1">
      <c r="A15215" s="27">
        <v>1</v>
      </c>
    </row>
    <row r="15216" spans="1:1">
      <c r="A15216" s="27">
        <v>2</v>
      </c>
    </row>
    <row r="15217" spans="1:1">
      <c r="A15217" s="27">
        <v>0</v>
      </c>
    </row>
    <row r="15218" spans="1:1">
      <c r="A15218" s="27">
        <v>0</v>
      </c>
    </row>
    <row r="15219" spans="1:1">
      <c r="A15219" s="27">
        <v>0</v>
      </c>
    </row>
    <row r="15220" spans="1:1">
      <c r="A15220" s="27">
        <v>0</v>
      </c>
    </row>
    <row r="15221" spans="1:1">
      <c r="A15221" s="27">
        <v>42</v>
      </c>
    </row>
    <row r="15222" spans="1:1">
      <c r="A15222" s="27">
        <v>4.8</v>
      </c>
    </row>
    <row r="15223" spans="1:1">
      <c r="A15223" s="29">
        <v>0.44305555555555554</v>
      </c>
    </row>
    <row r="15224" spans="1:1">
      <c r="A15224" s="27">
        <v>15.5</v>
      </c>
    </row>
    <row r="15225" spans="1:1">
      <c r="A15225" s="28">
        <v>43.6</v>
      </c>
    </row>
    <row r="15226" spans="1:1">
      <c r="A15226" s="25">
        <v>726</v>
      </c>
    </row>
    <row r="15227" spans="1:1" ht="30">
      <c r="A15227" s="26" t="s">
        <v>1099</v>
      </c>
    </row>
    <row r="15228" spans="1:1">
      <c r="A15228" s="27" t="s">
        <v>42</v>
      </c>
    </row>
    <row r="15229" spans="1:1">
      <c r="A15229" s="27">
        <v>64</v>
      </c>
    </row>
    <row r="15230" spans="1:1">
      <c r="A15230" s="27">
        <v>1</v>
      </c>
    </row>
    <row r="15231" spans="1:1">
      <c r="A15231" s="27">
        <v>9</v>
      </c>
    </row>
    <row r="15232" spans="1:1">
      <c r="A15232" s="27">
        <v>10</v>
      </c>
    </row>
    <row r="15233" spans="1:1">
      <c r="A15233" s="27">
        <v>-15</v>
      </c>
    </row>
    <row r="15234" spans="1:1">
      <c r="A15234" s="27">
        <v>31</v>
      </c>
    </row>
    <row r="15235" spans="1:1">
      <c r="A15235" s="27">
        <v>0.16</v>
      </c>
    </row>
    <row r="15236" spans="1:1">
      <c r="A15236" s="27">
        <v>0</v>
      </c>
    </row>
    <row r="15237" spans="1:1">
      <c r="A15237" s="27">
        <v>2</v>
      </c>
    </row>
    <row r="15238" spans="1:1">
      <c r="A15238" s="27">
        <v>0</v>
      </c>
    </row>
    <row r="15239" spans="1:1">
      <c r="A15239" s="27">
        <v>0</v>
      </c>
    </row>
    <row r="15240" spans="1:1">
      <c r="A15240" s="27">
        <v>0</v>
      </c>
    </row>
    <row r="15241" spans="1:1">
      <c r="A15241" s="27">
        <v>0</v>
      </c>
    </row>
    <row r="15242" spans="1:1">
      <c r="A15242" s="27">
        <v>65</v>
      </c>
    </row>
    <row r="15243" spans="1:1">
      <c r="A15243" s="27">
        <v>1.5</v>
      </c>
    </row>
    <row r="15244" spans="1:1">
      <c r="A15244" s="29">
        <v>0.58750000000000002</v>
      </c>
    </row>
    <row r="15245" spans="1:1">
      <c r="A15245" s="27">
        <v>21</v>
      </c>
    </row>
    <row r="15246" spans="1:1">
      <c r="A15246" s="28">
        <v>0</v>
      </c>
    </row>
    <row r="15247" spans="1:1">
      <c r="A15247" s="25">
        <v>727</v>
      </c>
    </row>
    <row r="15248" spans="1:1" ht="30">
      <c r="A15248" s="26" t="s">
        <v>1063</v>
      </c>
    </row>
    <row r="15249" spans="1:1">
      <c r="A15249" s="27" t="s">
        <v>42</v>
      </c>
    </row>
    <row r="15250" spans="1:1">
      <c r="A15250" s="27">
        <v>46</v>
      </c>
    </row>
    <row r="15251" spans="1:1">
      <c r="A15251" s="27">
        <v>1</v>
      </c>
    </row>
    <row r="15252" spans="1:1">
      <c r="A15252" s="27">
        <v>9</v>
      </c>
    </row>
    <row r="15253" spans="1:1">
      <c r="A15253" s="27">
        <v>10</v>
      </c>
    </row>
    <row r="15254" spans="1:1">
      <c r="A15254" s="27">
        <v>-8</v>
      </c>
    </row>
    <row r="15255" spans="1:1">
      <c r="A15255" s="27">
        <v>22</v>
      </c>
    </row>
    <row r="15256" spans="1:1">
      <c r="A15256" s="27">
        <v>0.22</v>
      </c>
    </row>
    <row r="15257" spans="1:1">
      <c r="A15257" s="27">
        <v>0</v>
      </c>
    </row>
    <row r="15258" spans="1:1">
      <c r="A15258" s="27">
        <v>0</v>
      </c>
    </row>
    <row r="15259" spans="1:1">
      <c r="A15259" s="27">
        <v>0</v>
      </c>
    </row>
    <row r="15260" spans="1:1">
      <c r="A15260" s="27">
        <v>0</v>
      </c>
    </row>
    <row r="15261" spans="1:1">
      <c r="A15261" s="27">
        <v>0</v>
      </c>
    </row>
    <row r="15262" spans="1:1">
      <c r="A15262" s="27">
        <v>0</v>
      </c>
    </row>
    <row r="15263" spans="1:1">
      <c r="A15263" s="27">
        <v>77</v>
      </c>
    </row>
    <row r="15264" spans="1:1">
      <c r="A15264" s="27">
        <v>1.3</v>
      </c>
    </row>
    <row r="15265" spans="1:1">
      <c r="A15265" s="29">
        <v>0.71805555555555556</v>
      </c>
    </row>
    <row r="15266" spans="1:1">
      <c r="A15266" s="27">
        <v>24.2</v>
      </c>
    </row>
    <row r="15267" spans="1:1">
      <c r="A15267" s="28">
        <v>0</v>
      </c>
    </row>
    <row r="15268" spans="1:1">
      <c r="A15268" s="25">
        <v>728</v>
      </c>
    </row>
    <row r="15269" spans="1:1" ht="30">
      <c r="A15269" s="26" t="s">
        <v>1084</v>
      </c>
    </row>
    <row r="15270" spans="1:1">
      <c r="A15270" s="27" t="s">
        <v>43</v>
      </c>
    </row>
    <row r="15271" spans="1:1">
      <c r="A15271" s="27">
        <v>63</v>
      </c>
    </row>
    <row r="15272" spans="1:1">
      <c r="A15272" s="27">
        <v>5</v>
      </c>
    </row>
    <row r="15273" spans="1:1">
      <c r="A15273" s="27">
        <v>4</v>
      </c>
    </row>
    <row r="15274" spans="1:1">
      <c r="A15274" s="27">
        <v>9</v>
      </c>
    </row>
    <row r="15275" spans="1:1">
      <c r="A15275" s="27">
        <v>-4</v>
      </c>
    </row>
    <row r="15276" spans="1:1">
      <c r="A15276" s="27">
        <v>10</v>
      </c>
    </row>
    <row r="15277" spans="1:1">
      <c r="A15277" s="27">
        <v>0.14000000000000001</v>
      </c>
    </row>
    <row r="15278" spans="1:1">
      <c r="A15278" s="27">
        <v>0</v>
      </c>
    </row>
    <row r="15279" spans="1:1">
      <c r="A15279" s="27">
        <v>0</v>
      </c>
    </row>
    <row r="15280" spans="1:1">
      <c r="A15280" s="27">
        <v>0</v>
      </c>
    </row>
    <row r="15281" spans="1:1">
      <c r="A15281" s="27">
        <v>0</v>
      </c>
    </row>
    <row r="15282" spans="1:1">
      <c r="A15282" s="27">
        <v>1</v>
      </c>
    </row>
    <row r="15283" spans="1:1">
      <c r="A15283" s="27">
        <v>0</v>
      </c>
    </row>
    <row r="15284" spans="1:1">
      <c r="A15284" s="27">
        <v>82</v>
      </c>
    </row>
    <row r="15285" spans="1:1">
      <c r="A15285" s="27">
        <v>6.1</v>
      </c>
    </row>
    <row r="15286" spans="1:1">
      <c r="A15286" s="29">
        <v>0.41736111111111113</v>
      </c>
    </row>
    <row r="15287" spans="1:1">
      <c r="A15287" s="27">
        <v>13.9</v>
      </c>
    </row>
    <row r="15288" spans="1:1">
      <c r="A15288" s="28">
        <v>0</v>
      </c>
    </row>
    <row r="15289" spans="1:1">
      <c r="A15289" s="25">
        <v>729</v>
      </c>
    </row>
    <row r="15290" spans="1:1" ht="30">
      <c r="A15290" s="26" t="s">
        <v>715</v>
      </c>
    </row>
    <row r="15291" spans="1:1">
      <c r="A15291" s="27" t="s">
        <v>653</v>
      </c>
    </row>
    <row r="15292" spans="1:1">
      <c r="A15292" s="27">
        <v>90</v>
      </c>
    </row>
    <row r="15293" spans="1:1">
      <c r="A15293" s="27">
        <v>4</v>
      </c>
    </row>
    <row r="15294" spans="1:1">
      <c r="A15294" s="27">
        <v>5</v>
      </c>
    </row>
    <row r="15295" spans="1:1">
      <c r="A15295" s="27">
        <v>9</v>
      </c>
    </row>
    <row r="15296" spans="1:1">
      <c r="A15296" s="27">
        <v>0</v>
      </c>
    </row>
    <row r="15297" spans="1:1">
      <c r="A15297" s="27">
        <v>48</v>
      </c>
    </row>
    <row r="15298" spans="1:1">
      <c r="A15298" s="27">
        <v>0.1</v>
      </c>
    </row>
    <row r="15299" spans="1:1">
      <c r="A15299" s="27">
        <v>0</v>
      </c>
    </row>
    <row r="15300" spans="1:1">
      <c r="A15300" s="27">
        <v>0</v>
      </c>
    </row>
    <row r="15301" spans="1:1">
      <c r="A15301" s="27">
        <v>0</v>
      </c>
    </row>
    <row r="15302" spans="1:1">
      <c r="A15302" s="27">
        <v>0</v>
      </c>
    </row>
    <row r="15303" spans="1:1">
      <c r="A15303" s="27">
        <v>0</v>
      </c>
    </row>
    <row r="15304" spans="1:1">
      <c r="A15304" s="27">
        <v>0</v>
      </c>
    </row>
    <row r="15305" spans="1:1">
      <c r="A15305" s="27">
        <v>101</v>
      </c>
    </row>
    <row r="15306" spans="1:1">
      <c r="A15306" s="27">
        <v>4</v>
      </c>
    </row>
    <row r="15307" spans="1:1">
      <c r="A15307" s="29">
        <v>0.39166666666666666</v>
      </c>
    </row>
    <row r="15308" spans="1:1">
      <c r="A15308" s="27">
        <v>14.2</v>
      </c>
    </row>
    <row r="15309" spans="1:1">
      <c r="A15309" s="28">
        <v>50.8</v>
      </c>
    </row>
    <row r="15310" spans="1:1">
      <c r="A15310" s="25">
        <v>730</v>
      </c>
    </row>
    <row r="15311" spans="1:1" ht="30">
      <c r="A15311" s="26" t="s">
        <v>758</v>
      </c>
    </row>
    <row r="15312" spans="1:1">
      <c r="A15312" s="27" t="s">
        <v>653</v>
      </c>
    </row>
    <row r="15313" spans="1:1">
      <c r="A15313" s="27">
        <v>61</v>
      </c>
    </row>
    <row r="15314" spans="1:1">
      <c r="A15314" s="27">
        <v>4</v>
      </c>
    </row>
    <row r="15315" spans="1:1">
      <c r="A15315" s="27">
        <v>5</v>
      </c>
    </row>
    <row r="15316" spans="1:1">
      <c r="A15316" s="27">
        <v>9</v>
      </c>
    </row>
    <row r="15317" spans="1:1">
      <c r="A15317" s="27">
        <v>-6</v>
      </c>
    </row>
    <row r="15318" spans="1:1">
      <c r="A15318" s="27">
        <v>20</v>
      </c>
    </row>
    <row r="15319" spans="1:1">
      <c r="A15319" s="27">
        <v>0.15</v>
      </c>
    </row>
    <row r="15320" spans="1:1">
      <c r="A15320" s="27">
        <v>0</v>
      </c>
    </row>
    <row r="15321" spans="1:1">
      <c r="A15321" s="27">
        <v>0</v>
      </c>
    </row>
    <row r="15322" spans="1:1">
      <c r="A15322" s="27">
        <v>0</v>
      </c>
    </row>
    <row r="15323" spans="1:1">
      <c r="A15323" s="27">
        <v>0</v>
      </c>
    </row>
    <row r="15324" spans="1:1">
      <c r="A15324" s="27">
        <v>1</v>
      </c>
    </row>
    <row r="15325" spans="1:1">
      <c r="A15325" s="27">
        <v>0</v>
      </c>
    </row>
    <row r="15326" spans="1:1">
      <c r="A15326" s="27">
        <v>62</v>
      </c>
    </row>
    <row r="15327" spans="1:1">
      <c r="A15327" s="27">
        <v>6.5</v>
      </c>
    </row>
    <row r="15328" spans="1:1">
      <c r="A15328" s="29">
        <v>0.50624999999999998</v>
      </c>
    </row>
    <row r="15329" spans="1:1">
      <c r="A15329" s="27">
        <v>17.100000000000001</v>
      </c>
    </row>
    <row r="15330" spans="1:1">
      <c r="A15330" s="28">
        <v>49.5</v>
      </c>
    </row>
    <row r="15331" spans="1:1">
      <c r="A15331" s="25">
        <v>731</v>
      </c>
    </row>
    <row r="15332" spans="1:1" ht="30">
      <c r="A15332" s="26" t="s">
        <v>154</v>
      </c>
    </row>
    <row r="15333" spans="1:1">
      <c r="A15333" s="27" t="s">
        <v>653</v>
      </c>
    </row>
    <row r="15334" spans="1:1">
      <c r="A15334" s="27">
        <v>81</v>
      </c>
    </row>
    <row r="15335" spans="1:1">
      <c r="A15335" s="27">
        <v>3</v>
      </c>
    </row>
    <row r="15336" spans="1:1">
      <c r="A15336" s="27">
        <v>6</v>
      </c>
    </row>
    <row r="15337" spans="1:1">
      <c r="A15337" s="27">
        <v>9</v>
      </c>
    </row>
    <row r="15338" spans="1:1">
      <c r="A15338" s="27">
        <v>-15</v>
      </c>
    </row>
    <row r="15339" spans="1:1">
      <c r="A15339" s="27">
        <v>8</v>
      </c>
    </row>
    <row r="15340" spans="1:1">
      <c r="A15340" s="27">
        <v>0.11</v>
      </c>
    </row>
    <row r="15341" spans="1:1">
      <c r="A15341" s="27">
        <v>0</v>
      </c>
    </row>
    <row r="15342" spans="1:1">
      <c r="A15342" s="27">
        <v>0</v>
      </c>
    </row>
    <row r="15343" spans="1:1">
      <c r="A15343" s="27">
        <v>1</v>
      </c>
    </row>
    <row r="15344" spans="1:1">
      <c r="A15344" s="27">
        <v>1</v>
      </c>
    </row>
    <row r="15345" spans="1:1">
      <c r="A15345" s="27">
        <v>1</v>
      </c>
    </row>
    <row r="15346" spans="1:1">
      <c r="A15346" s="27">
        <v>0</v>
      </c>
    </row>
    <row r="15347" spans="1:1">
      <c r="A15347" s="27">
        <v>57</v>
      </c>
    </row>
    <row r="15348" spans="1:1">
      <c r="A15348" s="27">
        <v>5.3</v>
      </c>
    </row>
    <row r="15349" spans="1:1">
      <c r="A15349" s="29">
        <v>0.4458333333333333</v>
      </c>
    </row>
    <row r="15350" spans="1:1">
      <c r="A15350" s="27">
        <v>14.5</v>
      </c>
    </row>
    <row r="15351" spans="1:1">
      <c r="A15351" s="28">
        <v>47.7</v>
      </c>
    </row>
    <row r="15352" spans="1:1">
      <c r="A15352" s="25">
        <v>732</v>
      </c>
    </row>
    <row r="15353" spans="1:1" ht="45">
      <c r="A15353" s="26" t="s">
        <v>333</v>
      </c>
    </row>
    <row r="15354" spans="1:1">
      <c r="A15354" s="27" t="s">
        <v>653</v>
      </c>
    </row>
    <row r="15355" spans="1:1">
      <c r="A15355" s="27">
        <v>43</v>
      </c>
    </row>
    <row r="15356" spans="1:1">
      <c r="A15356" s="27">
        <v>3</v>
      </c>
    </row>
    <row r="15357" spans="1:1">
      <c r="A15357" s="27">
        <v>6</v>
      </c>
    </row>
    <row r="15358" spans="1:1">
      <c r="A15358" s="27">
        <v>9</v>
      </c>
    </row>
    <row r="15359" spans="1:1">
      <c r="A15359" s="27">
        <v>-4</v>
      </c>
    </row>
    <row r="15360" spans="1:1">
      <c r="A15360" s="27">
        <v>16</v>
      </c>
    </row>
    <row r="15361" spans="1:1">
      <c r="A15361" s="27">
        <v>0.21</v>
      </c>
    </row>
    <row r="15362" spans="1:1">
      <c r="A15362" s="27">
        <v>1</v>
      </c>
    </row>
    <row r="15363" spans="1:1">
      <c r="A15363" s="27">
        <v>2</v>
      </c>
    </row>
    <row r="15364" spans="1:1">
      <c r="A15364" s="27">
        <v>1</v>
      </c>
    </row>
    <row r="15365" spans="1:1">
      <c r="A15365" s="27">
        <v>1</v>
      </c>
    </row>
    <row r="15366" spans="1:1">
      <c r="A15366" s="27">
        <v>1</v>
      </c>
    </row>
    <row r="15367" spans="1:1">
      <c r="A15367" s="27">
        <v>0</v>
      </c>
    </row>
    <row r="15368" spans="1:1">
      <c r="A15368" s="27">
        <v>39</v>
      </c>
    </row>
    <row r="15369" spans="1:1">
      <c r="A15369" s="27">
        <v>7.7</v>
      </c>
    </row>
    <row r="15370" spans="1:1">
      <c r="A15370" s="29">
        <v>0.38541666666666669</v>
      </c>
    </row>
    <row r="15371" spans="1:1">
      <c r="A15371" s="27">
        <v>13.1</v>
      </c>
    </row>
    <row r="15372" spans="1:1">
      <c r="A15372" s="28">
        <v>49.5</v>
      </c>
    </row>
    <row r="15373" spans="1:1">
      <c r="A15373" s="25">
        <v>733</v>
      </c>
    </row>
    <row r="15374" spans="1:1" ht="45">
      <c r="A15374" s="26" t="s">
        <v>672</v>
      </c>
    </row>
    <row r="15375" spans="1:1">
      <c r="A15375" s="27" t="s">
        <v>43</v>
      </c>
    </row>
    <row r="15376" spans="1:1">
      <c r="A15376" s="27">
        <v>22</v>
      </c>
    </row>
    <row r="15377" spans="1:1">
      <c r="A15377" s="27">
        <v>3</v>
      </c>
    </row>
    <row r="15378" spans="1:1">
      <c r="A15378" s="27">
        <v>6</v>
      </c>
    </row>
    <row r="15379" spans="1:1">
      <c r="A15379" s="27">
        <v>9</v>
      </c>
    </row>
    <row r="15380" spans="1:1">
      <c r="A15380" s="27">
        <v>-6</v>
      </c>
    </row>
    <row r="15381" spans="1:1">
      <c r="A15381" s="27">
        <v>8</v>
      </c>
    </row>
    <row r="15382" spans="1:1">
      <c r="A15382" s="27">
        <v>0.41</v>
      </c>
    </row>
    <row r="15383" spans="1:1">
      <c r="A15383" s="27">
        <v>2</v>
      </c>
    </row>
    <row r="15384" spans="1:1">
      <c r="A15384" s="27">
        <v>3</v>
      </c>
    </row>
    <row r="15385" spans="1:1">
      <c r="A15385" s="27">
        <v>0</v>
      </c>
    </row>
    <row r="15386" spans="1:1">
      <c r="A15386" s="27">
        <v>0</v>
      </c>
    </row>
    <row r="15387" spans="1:1">
      <c r="A15387" s="27">
        <v>2</v>
      </c>
    </row>
    <row r="15388" spans="1:1">
      <c r="A15388" s="27">
        <v>0</v>
      </c>
    </row>
    <row r="15389" spans="1:1">
      <c r="A15389" s="27">
        <v>18</v>
      </c>
    </row>
    <row r="15390" spans="1:1">
      <c r="A15390" s="27">
        <v>16.7</v>
      </c>
    </row>
    <row r="15391" spans="1:1">
      <c r="A15391" s="29">
        <v>0.55763888888888891</v>
      </c>
    </row>
    <row r="15392" spans="1:1">
      <c r="A15392" s="27">
        <v>16.899999999999999</v>
      </c>
    </row>
    <row r="15393" spans="1:1">
      <c r="A15393" s="28">
        <v>80</v>
      </c>
    </row>
    <row r="15394" spans="1:1">
      <c r="A15394" s="25">
        <v>734</v>
      </c>
    </row>
    <row r="15395" spans="1:1" ht="30">
      <c r="A15395" s="26" t="s">
        <v>814</v>
      </c>
    </row>
    <row r="15396" spans="1:1">
      <c r="A15396" s="27" t="s">
        <v>653</v>
      </c>
    </row>
    <row r="15397" spans="1:1">
      <c r="A15397" s="27">
        <v>32</v>
      </c>
    </row>
    <row r="15398" spans="1:1">
      <c r="A15398" s="27">
        <v>3</v>
      </c>
    </row>
    <row r="15399" spans="1:1">
      <c r="A15399" s="27">
        <v>6</v>
      </c>
    </row>
    <row r="15400" spans="1:1">
      <c r="A15400" s="27">
        <v>9</v>
      </c>
    </row>
    <row r="15401" spans="1:1">
      <c r="A15401" s="27">
        <v>2</v>
      </c>
    </row>
    <row r="15402" spans="1:1">
      <c r="A15402" s="27">
        <v>4</v>
      </c>
    </row>
    <row r="15403" spans="1:1">
      <c r="A15403" s="27">
        <v>0.28000000000000003</v>
      </c>
    </row>
    <row r="15404" spans="1:1">
      <c r="A15404" s="27">
        <v>0</v>
      </c>
    </row>
    <row r="15405" spans="1:1">
      <c r="A15405" s="27">
        <v>0</v>
      </c>
    </row>
    <row r="15406" spans="1:1">
      <c r="A15406" s="27">
        <v>0</v>
      </c>
    </row>
    <row r="15407" spans="1:1">
      <c r="A15407" s="27">
        <v>0</v>
      </c>
    </row>
    <row r="15408" spans="1:1">
      <c r="A15408" s="27">
        <v>0</v>
      </c>
    </row>
    <row r="15409" spans="1:1">
      <c r="A15409" s="27">
        <v>0</v>
      </c>
    </row>
    <row r="15410" spans="1:1">
      <c r="A15410" s="27">
        <v>44</v>
      </c>
    </row>
    <row r="15411" spans="1:1">
      <c r="A15411" s="27">
        <v>6.8</v>
      </c>
    </row>
    <row r="15412" spans="1:1">
      <c r="A15412" s="29">
        <v>0.45416666666666666</v>
      </c>
    </row>
    <row r="15413" spans="1:1">
      <c r="A15413" s="27">
        <v>15.8</v>
      </c>
    </row>
    <row r="15414" spans="1:1">
      <c r="A15414" s="28">
        <v>44.8</v>
      </c>
    </row>
    <row r="15415" spans="1:1">
      <c r="A15415" s="25">
        <v>735</v>
      </c>
    </row>
    <row r="15416" spans="1:1" ht="45">
      <c r="A15416" s="26" t="s">
        <v>253</v>
      </c>
    </row>
    <row r="15417" spans="1:1">
      <c r="A15417" s="27" t="s">
        <v>653</v>
      </c>
    </row>
    <row r="15418" spans="1:1">
      <c r="A15418" s="27">
        <v>26</v>
      </c>
    </row>
    <row r="15419" spans="1:1">
      <c r="A15419" s="27">
        <v>3</v>
      </c>
    </row>
    <row r="15420" spans="1:1">
      <c r="A15420" s="27">
        <v>6</v>
      </c>
    </row>
    <row r="15421" spans="1:1">
      <c r="A15421" s="27">
        <v>9</v>
      </c>
    </row>
    <row r="15422" spans="1:1">
      <c r="A15422" s="27">
        <v>-2</v>
      </c>
    </row>
    <row r="15423" spans="1:1">
      <c r="A15423" s="27">
        <v>0</v>
      </c>
    </row>
    <row r="15424" spans="1:1">
      <c r="A15424" s="27">
        <v>0.35</v>
      </c>
    </row>
    <row r="15425" spans="1:1">
      <c r="A15425" s="27">
        <v>2</v>
      </c>
    </row>
    <row r="15426" spans="1:1">
      <c r="A15426" s="27">
        <v>3</v>
      </c>
    </row>
    <row r="15427" spans="1:1">
      <c r="A15427" s="27">
        <v>0</v>
      </c>
    </row>
    <row r="15428" spans="1:1">
      <c r="A15428" s="27">
        <v>0</v>
      </c>
    </row>
    <row r="15429" spans="1:1">
      <c r="A15429" s="27">
        <v>1</v>
      </c>
    </row>
    <row r="15430" spans="1:1">
      <c r="A15430" s="27">
        <v>0</v>
      </c>
    </row>
    <row r="15431" spans="1:1">
      <c r="A15431" s="27">
        <v>35</v>
      </c>
    </row>
    <row r="15432" spans="1:1">
      <c r="A15432" s="27">
        <v>8.6</v>
      </c>
    </row>
    <row r="15433" spans="1:1">
      <c r="A15433" s="29">
        <v>0.44722222222222219</v>
      </c>
    </row>
    <row r="15434" spans="1:1">
      <c r="A15434" s="27">
        <v>14.4</v>
      </c>
    </row>
    <row r="15435" spans="1:1">
      <c r="A15435" s="28">
        <v>20</v>
      </c>
    </row>
    <row r="15436" spans="1:1">
      <c r="A15436" s="25">
        <v>736</v>
      </c>
    </row>
    <row r="15437" spans="1:1" ht="45">
      <c r="A15437" s="26" t="s">
        <v>267</v>
      </c>
    </row>
    <row r="15438" spans="1:1">
      <c r="A15438" s="27" t="s">
        <v>653</v>
      </c>
    </row>
    <row r="15439" spans="1:1">
      <c r="A15439" s="27">
        <v>66</v>
      </c>
    </row>
    <row r="15440" spans="1:1">
      <c r="A15440" s="27">
        <v>3</v>
      </c>
    </row>
    <row r="15441" spans="1:1">
      <c r="A15441" s="27">
        <v>6</v>
      </c>
    </row>
    <row r="15442" spans="1:1">
      <c r="A15442" s="27">
        <v>9</v>
      </c>
    </row>
    <row r="15443" spans="1:1">
      <c r="A15443" s="27">
        <v>-20</v>
      </c>
    </row>
    <row r="15444" spans="1:1">
      <c r="A15444" s="27">
        <v>33</v>
      </c>
    </row>
    <row r="15445" spans="1:1">
      <c r="A15445" s="27">
        <v>0.14000000000000001</v>
      </c>
    </row>
    <row r="15446" spans="1:1">
      <c r="A15446" s="27">
        <v>0</v>
      </c>
    </row>
    <row r="15447" spans="1:1">
      <c r="A15447" s="27">
        <v>0</v>
      </c>
    </row>
    <row r="15448" spans="1:1">
      <c r="A15448" s="27">
        <v>1</v>
      </c>
    </row>
    <row r="15449" spans="1:1">
      <c r="A15449" s="27">
        <v>1</v>
      </c>
    </row>
    <row r="15450" spans="1:1">
      <c r="A15450" s="27">
        <v>0</v>
      </c>
    </row>
    <row r="15451" spans="1:1">
      <c r="A15451" s="27">
        <v>0</v>
      </c>
    </row>
    <row r="15452" spans="1:1">
      <c r="A15452" s="27">
        <v>59</v>
      </c>
    </row>
    <row r="15453" spans="1:1">
      <c r="A15453" s="27">
        <v>5.0999999999999996</v>
      </c>
    </row>
    <row r="15454" spans="1:1">
      <c r="A15454" s="29">
        <v>0.43958333333333338</v>
      </c>
    </row>
    <row r="15455" spans="1:1">
      <c r="A15455" s="27">
        <v>15.7</v>
      </c>
    </row>
    <row r="15456" spans="1:1">
      <c r="A15456" s="28">
        <v>44.3</v>
      </c>
    </row>
    <row r="15457" spans="1:1">
      <c r="A15457" s="25">
        <v>737</v>
      </c>
    </row>
    <row r="15458" spans="1:1" ht="60">
      <c r="A15458" s="26" t="s">
        <v>844</v>
      </c>
    </row>
    <row r="15459" spans="1:1">
      <c r="A15459" s="27" t="s">
        <v>653</v>
      </c>
    </row>
    <row r="15460" spans="1:1">
      <c r="A15460" s="27">
        <v>29</v>
      </c>
    </row>
    <row r="15461" spans="1:1">
      <c r="A15461" s="27">
        <v>3</v>
      </c>
    </row>
    <row r="15462" spans="1:1">
      <c r="A15462" s="27">
        <v>6</v>
      </c>
    </row>
    <row r="15463" spans="1:1">
      <c r="A15463" s="27">
        <v>9</v>
      </c>
    </row>
    <row r="15464" spans="1:1">
      <c r="A15464" s="27">
        <v>1</v>
      </c>
    </row>
    <row r="15465" spans="1:1">
      <c r="A15465" s="27">
        <v>2</v>
      </c>
    </row>
    <row r="15466" spans="1:1">
      <c r="A15466" s="27">
        <v>0.31</v>
      </c>
    </row>
    <row r="15467" spans="1:1">
      <c r="A15467" s="27">
        <v>0</v>
      </c>
    </row>
    <row r="15468" spans="1:1">
      <c r="A15468" s="27">
        <v>1</v>
      </c>
    </row>
    <row r="15469" spans="1:1">
      <c r="A15469" s="27">
        <v>0</v>
      </c>
    </row>
    <row r="15470" spans="1:1">
      <c r="A15470" s="27">
        <v>0</v>
      </c>
    </row>
    <row r="15471" spans="1:1">
      <c r="A15471" s="27">
        <v>0</v>
      </c>
    </row>
    <row r="15472" spans="1:1">
      <c r="A15472" s="27">
        <v>0</v>
      </c>
    </row>
    <row r="15473" spans="1:1">
      <c r="A15473" s="27">
        <v>21</v>
      </c>
    </row>
    <row r="15474" spans="1:1">
      <c r="A15474" s="27">
        <v>14.3</v>
      </c>
    </row>
    <row r="15475" spans="1:1">
      <c r="A15475" s="29">
        <v>0.48680555555555555</v>
      </c>
    </row>
    <row r="15476" spans="1:1">
      <c r="A15476" s="27">
        <v>15.3</v>
      </c>
    </row>
    <row r="15477" spans="1:1">
      <c r="A15477" s="28">
        <v>42.1</v>
      </c>
    </row>
    <row r="15478" spans="1:1">
      <c r="A15478" s="25">
        <v>738</v>
      </c>
    </row>
    <row r="15479" spans="1:1" ht="30">
      <c r="A15479" s="26" t="s">
        <v>568</v>
      </c>
    </row>
    <row r="15480" spans="1:1">
      <c r="A15480" s="27" t="s">
        <v>42</v>
      </c>
    </row>
    <row r="15481" spans="1:1">
      <c r="A15481" s="27">
        <v>25</v>
      </c>
    </row>
    <row r="15482" spans="1:1">
      <c r="A15482" s="27">
        <v>2</v>
      </c>
    </row>
    <row r="15483" spans="1:1">
      <c r="A15483" s="27">
        <v>7</v>
      </c>
    </row>
    <row r="15484" spans="1:1">
      <c r="A15484" s="27">
        <v>9</v>
      </c>
    </row>
    <row r="15485" spans="1:1">
      <c r="A15485" s="27">
        <v>-1</v>
      </c>
    </row>
    <row r="15486" spans="1:1">
      <c r="A15486" s="27">
        <v>6</v>
      </c>
    </row>
    <row r="15487" spans="1:1">
      <c r="A15487" s="27">
        <v>0.36</v>
      </c>
    </row>
    <row r="15488" spans="1:1">
      <c r="A15488" s="27">
        <v>0</v>
      </c>
    </row>
    <row r="15489" spans="1:1">
      <c r="A15489" s="27">
        <v>3</v>
      </c>
    </row>
    <row r="15490" spans="1:1">
      <c r="A15490" s="27">
        <v>0</v>
      </c>
    </row>
    <row r="15491" spans="1:1">
      <c r="A15491" s="27">
        <v>0</v>
      </c>
    </row>
    <row r="15492" spans="1:1">
      <c r="A15492" s="27">
        <v>0</v>
      </c>
    </row>
    <row r="15493" spans="1:1">
      <c r="A15493" s="27">
        <v>0</v>
      </c>
    </row>
    <row r="15494" spans="1:1">
      <c r="A15494" s="27">
        <v>26</v>
      </c>
    </row>
    <row r="15495" spans="1:1">
      <c r="A15495" s="27">
        <v>7.7</v>
      </c>
    </row>
    <row r="15496" spans="1:1">
      <c r="A15496" s="29">
        <v>0.62638888888888888</v>
      </c>
    </row>
    <row r="15497" spans="1:1">
      <c r="A15497" s="27">
        <v>20.6</v>
      </c>
    </row>
    <row r="15498" spans="1:1">
      <c r="A15498" s="28">
        <v>0</v>
      </c>
    </row>
    <row r="15499" spans="1:1">
      <c r="A15499" s="25">
        <v>739</v>
      </c>
    </row>
    <row r="15500" spans="1:1" ht="45">
      <c r="A15500" s="26" t="s">
        <v>183</v>
      </c>
    </row>
    <row r="15501" spans="1:1">
      <c r="A15501" s="27" t="s">
        <v>42</v>
      </c>
    </row>
    <row r="15502" spans="1:1">
      <c r="A15502" s="27">
        <v>56</v>
      </c>
    </row>
    <row r="15503" spans="1:1">
      <c r="A15503" s="27">
        <v>1</v>
      </c>
    </row>
    <row r="15504" spans="1:1">
      <c r="A15504" s="27">
        <v>8</v>
      </c>
    </row>
    <row r="15505" spans="1:1">
      <c r="A15505" s="27">
        <v>9</v>
      </c>
    </row>
    <row r="15506" spans="1:1">
      <c r="A15506" s="27">
        <v>10</v>
      </c>
    </row>
    <row r="15507" spans="1:1">
      <c r="A15507" s="27">
        <v>28</v>
      </c>
    </row>
    <row r="15508" spans="1:1">
      <c r="A15508" s="27">
        <v>0.16</v>
      </c>
    </row>
    <row r="15509" spans="1:1">
      <c r="A15509" s="27">
        <v>0</v>
      </c>
    </row>
    <row r="15510" spans="1:1">
      <c r="A15510" s="27">
        <v>0</v>
      </c>
    </row>
    <row r="15511" spans="1:1">
      <c r="A15511" s="27">
        <v>0</v>
      </c>
    </row>
    <row r="15512" spans="1:1">
      <c r="A15512" s="27">
        <v>0</v>
      </c>
    </row>
    <row r="15513" spans="1:1">
      <c r="A15513" s="27">
        <v>1</v>
      </c>
    </row>
    <row r="15514" spans="1:1">
      <c r="A15514" s="27">
        <v>0</v>
      </c>
    </row>
    <row r="15515" spans="1:1">
      <c r="A15515" s="27">
        <v>33</v>
      </c>
    </row>
    <row r="15516" spans="1:1">
      <c r="A15516" s="27">
        <v>3</v>
      </c>
    </row>
    <row r="15517" spans="1:1">
      <c r="A15517" s="29">
        <v>0.65</v>
      </c>
    </row>
    <row r="15518" spans="1:1">
      <c r="A15518" s="27">
        <v>19.600000000000001</v>
      </c>
    </row>
    <row r="15519" spans="1:1">
      <c r="A15519" s="28">
        <v>0</v>
      </c>
    </row>
    <row r="15520" spans="1:1">
      <c r="A15520" s="25">
        <v>740</v>
      </c>
    </row>
    <row r="15521" spans="1:1" ht="45">
      <c r="A15521" s="26" t="s">
        <v>416</v>
      </c>
    </row>
    <row r="15522" spans="1:1">
      <c r="A15522" s="27" t="s">
        <v>42</v>
      </c>
    </row>
    <row r="15523" spans="1:1">
      <c r="A15523" s="27">
        <v>61</v>
      </c>
    </row>
    <row r="15524" spans="1:1">
      <c r="A15524" s="27">
        <v>0</v>
      </c>
    </row>
    <row r="15525" spans="1:1">
      <c r="A15525" s="27">
        <v>9</v>
      </c>
    </row>
    <row r="15526" spans="1:1">
      <c r="A15526" s="27">
        <v>9</v>
      </c>
    </row>
    <row r="15527" spans="1:1">
      <c r="A15527" s="27">
        <v>4</v>
      </c>
    </row>
    <row r="15528" spans="1:1">
      <c r="A15528" s="27">
        <v>10</v>
      </c>
    </row>
    <row r="15529" spans="1:1">
      <c r="A15529" s="27">
        <v>0.15</v>
      </c>
    </row>
    <row r="15530" spans="1:1">
      <c r="A15530" s="27">
        <v>0</v>
      </c>
    </row>
    <row r="15531" spans="1:1">
      <c r="A15531" s="27">
        <v>0</v>
      </c>
    </row>
    <row r="15532" spans="1:1">
      <c r="A15532" s="27">
        <v>0</v>
      </c>
    </row>
    <row r="15533" spans="1:1">
      <c r="A15533" s="27">
        <v>1</v>
      </c>
    </row>
    <row r="15534" spans="1:1">
      <c r="A15534" s="27">
        <v>0</v>
      </c>
    </row>
    <row r="15535" spans="1:1">
      <c r="A15535" s="27">
        <v>0</v>
      </c>
    </row>
    <row r="15536" spans="1:1">
      <c r="A15536" s="27">
        <v>62</v>
      </c>
    </row>
    <row r="15537" spans="1:1">
      <c r="A15537" s="27">
        <v>0</v>
      </c>
    </row>
    <row r="15538" spans="1:1">
      <c r="A15538" s="29">
        <v>0.74236111111111114</v>
      </c>
    </row>
    <row r="15539" spans="1:1">
      <c r="A15539" s="27">
        <v>24.1</v>
      </c>
    </row>
    <row r="15540" spans="1:1">
      <c r="A15540" s="28">
        <v>100</v>
      </c>
    </row>
    <row r="15541" spans="1:1">
      <c r="A15541" s="25">
        <v>741</v>
      </c>
    </row>
    <row r="15542" spans="1:1" ht="30">
      <c r="A15542" s="26" t="s">
        <v>688</v>
      </c>
    </row>
    <row r="15543" spans="1:1">
      <c r="A15543" s="27" t="s">
        <v>43</v>
      </c>
    </row>
    <row r="15544" spans="1:1">
      <c r="A15544" s="27">
        <v>60</v>
      </c>
    </row>
    <row r="15545" spans="1:1">
      <c r="A15545" s="27">
        <v>5</v>
      </c>
    </row>
    <row r="15546" spans="1:1">
      <c r="A15546" s="27">
        <v>3</v>
      </c>
    </row>
    <row r="15547" spans="1:1">
      <c r="A15547" s="27">
        <v>8</v>
      </c>
    </row>
    <row r="15548" spans="1:1">
      <c r="A15548" s="27">
        <v>-21</v>
      </c>
    </row>
    <row r="15549" spans="1:1">
      <c r="A15549" s="27">
        <v>21</v>
      </c>
    </row>
    <row r="15550" spans="1:1">
      <c r="A15550" s="27">
        <v>0.13</v>
      </c>
    </row>
    <row r="15551" spans="1:1">
      <c r="A15551" s="27">
        <v>0</v>
      </c>
    </row>
    <row r="15552" spans="1:1">
      <c r="A15552" s="27">
        <v>0</v>
      </c>
    </row>
    <row r="15553" spans="1:1">
      <c r="A15553" s="27">
        <v>0</v>
      </c>
    </row>
    <row r="15554" spans="1:1">
      <c r="A15554" s="27">
        <v>0</v>
      </c>
    </row>
    <row r="15555" spans="1:1">
      <c r="A15555" s="27">
        <v>0</v>
      </c>
    </row>
    <row r="15556" spans="1:1">
      <c r="A15556" s="27">
        <v>0</v>
      </c>
    </row>
    <row r="15557" spans="1:1">
      <c r="A15557" s="27">
        <v>75</v>
      </c>
    </row>
    <row r="15558" spans="1:1">
      <c r="A15558" s="27">
        <v>6.7</v>
      </c>
    </row>
    <row r="15559" spans="1:1">
      <c r="A15559" s="29">
        <v>0.49513888888888885</v>
      </c>
    </row>
    <row r="15560" spans="1:1">
      <c r="A15560" s="27">
        <v>16.2</v>
      </c>
    </row>
    <row r="15561" spans="1:1">
      <c r="A15561" s="28">
        <v>53.8</v>
      </c>
    </row>
    <row r="15562" spans="1:1">
      <c r="A15562" s="25">
        <v>742</v>
      </c>
    </row>
    <row r="15563" spans="1:1" ht="60">
      <c r="A15563" s="26" t="s">
        <v>773</v>
      </c>
    </row>
    <row r="15564" spans="1:1">
      <c r="A15564" s="27" t="s">
        <v>653</v>
      </c>
    </row>
    <row r="15565" spans="1:1">
      <c r="A15565" s="27">
        <v>84</v>
      </c>
    </row>
    <row r="15566" spans="1:1">
      <c r="A15566" s="27">
        <v>3</v>
      </c>
    </row>
    <row r="15567" spans="1:1">
      <c r="A15567" s="27">
        <v>5</v>
      </c>
    </row>
    <row r="15568" spans="1:1">
      <c r="A15568" s="27">
        <v>8</v>
      </c>
    </row>
    <row r="15569" spans="1:1">
      <c r="A15569" s="27">
        <v>2</v>
      </c>
    </row>
    <row r="15570" spans="1:1">
      <c r="A15570" s="27">
        <v>4</v>
      </c>
    </row>
    <row r="15571" spans="1:1">
      <c r="A15571" s="27">
        <v>0.1</v>
      </c>
    </row>
    <row r="15572" spans="1:1">
      <c r="A15572" s="27">
        <v>0</v>
      </c>
    </row>
    <row r="15573" spans="1:1">
      <c r="A15573" s="27">
        <v>0</v>
      </c>
    </row>
    <row r="15574" spans="1:1">
      <c r="A15574" s="27">
        <v>0</v>
      </c>
    </row>
    <row r="15575" spans="1:1">
      <c r="A15575" s="27">
        <v>0</v>
      </c>
    </row>
    <row r="15576" spans="1:1">
      <c r="A15576" s="27">
        <v>1</v>
      </c>
    </row>
    <row r="15577" spans="1:1">
      <c r="A15577" s="27">
        <v>0</v>
      </c>
    </row>
    <row r="15578" spans="1:1">
      <c r="A15578" s="27">
        <v>65</v>
      </c>
    </row>
    <row r="15579" spans="1:1">
      <c r="A15579" s="27">
        <v>4.5999999999999996</v>
      </c>
    </row>
    <row r="15580" spans="1:1">
      <c r="A15580" s="29">
        <v>0.3756944444444445</v>
      </c>
    </row>
    <row r="15581" spans="1:1">
      <c r="A15581" s="27">
        <v>13.4</v>
      </c>
    </row>
    <row r="15582" spans="1:1">
      <c r="A15582" s="28">
        <v>48.3</v>
      </c>
    </row>
    <row r="15583" spans="1:1">
      <c r="A15583" s="25">
        <v>743</v>
      </c>
    </row>
    <row r="15584" spans="1:1" ht="45">
      <c r="A15584" s="26" t="s">
        <v>1105</v>
      </c>
    </row>
    <row r="15585" spans="1:1">
      <c r="A15585" s="27" t="s">
        <v>42</v>
      </c>
    </row>
    <row r="15586" spans="1:1">
      <c r="A15586" s="27">
        <v>60</v>
      </c>
    </row>
    <row r="15587" spans="1:1">
      <c r="A15587" s="27">
        <v>3</v>
      </c>
    </row>
    <row r="15588" spans="1:1">
      <c r="A15588" s="27">
        <v>5</v>
      </c>
    </row>
    <row r="15589" spans="1:1">
      <c r="A15589" s="27">
        <v>8</v>
      </c>
    </row>
    <row r="15590" spans="1:1">
      <c r="A15590" s="27">
        <v>-7</v>
      </c>
    </row>
    <row r="15591" spans="1:1">
      <c r="A15591" s="27">
        <v>83</v>
      </c>
    </row>
    <row r="15592" spans="1:1">
      <c r="A15592" s="27">
        <v>0.13</v>
      </c>
    </row>
    <row r="15593" spans="1:1">
      <c r="A15593" s="27">
        <v>0</v>
      </c>
    </row>
    <row r="15594" spans="1:1">
      <c r="A15594" s="27">
        <v>0</v>
      </c>
    </row>
    <row r="15595" spans="1:1">
      <c r="A15595" s="27">
        <v>0</v>
      </c>
    </row>
    <row r="15596" spans="1:1">
      <c r="A15596" s="27">
        <v>0</v>
      </c>
    </row>
    <row r="15597" spans="1:1">
      <c r="A15597" s="27">
        <v>0</v>
      </c>
    </row>
    <row r="15598" spans="1:1">
      <c r="A15598" s="27">
        <v>0</v>
      </c>
    </row>
    <row r="15599" spans="1:1">
      <c r="A15599" s="27">
        <v>46</v>
      </c>
    </row>
    <row r="15600" spans="1:1">
      <c r="A15600" s="27">
        <v>6.5</v>
      </c>
    </row>
    <row r="15601" spans="1:1">
      <c r="A15601" s="29">
        <v>0.48402777777777778</v>
      </c>
    </row>
    <row r="15602" spans="1:1">
      <c r="A15602" s="27">
        <v>16.3</v>
      </c>
    </row>
    <row r="15603" spans="1:1">
      <c r="A15603" s="28">
        <v>0</v>
      </c>
    </row>
    <row r="15604" spans="1:1">
      <c r="A15604" s="25">
        <v>744</v>
      </c>
    </row>
    <row r="15605" spans="1:1" ht="30">
      <c r="A15605" s="26" t="s">
        <v>784</v>
      </c>
    </row>
    <row r="15606" spans="1:1">
      <c r="A15606" s="27" t="s">
        <v>653</v>
      </c>
    </row>
    <row r="15607" spans="1:1">
      <c r="A15607" s="27">
        <v>56</v>
      </c>
    </row>
    <row r="15608" spans="1:1">
      <c r="A15608" s="27">
        <v>3</v>
      </c>
    </row>
    <row r="15609" spans="1:1">
      <c r="A15609" s="27">
        <v>5</v>
      </c>
    </row>
    <row r="15610" spans="1:1">
      <c r="A15610" s="27">
        <v>8</v>
      </c>
    </row>
    <row r="15611" spans="1:1">
      <c r="A15611" s="27">
        <v>-7</v>
      </c>
    </row>
    <row r="15612" spans="1:1">
      <c r="A15612" s="27">
        <v>10</v>
      </c>
    </row>
    <row r="15613" spans="1:1">
      <c r="A15613" s="27">
        <v>0.14000000000000001</v>
      </c>
    </row>
    <row r="15614" spans="1:1">
      <c r="A15614" s="27">
        <v>0</v>
      </c>
    </row>
    <row r="15615" spans="1:1">
      <c r="A15615" s="27">
        <v>0</v>
      </c>
    </row>
    <row r="15616" spans="1:1">
      <c r="A15616" s="27">
        <v>0</v>
      </c>
    </row>
    <row r="15617" spans="1:1">
      <c r="A15617" s="27">
        <v>1</v>
      </c>
    </row>
    <row r="15618" spans="1:1">
      <c r="A15618" s="27">
        <v>0</v>
      </c>
    </row>
    <row r="15619" spans="1:1">
      <c r="A15619" s="27">
        <v>0</v>
      </c>
    </row>
    <row r="15620" spans="1:1">
      <c r="A15620" s="27">
        <v>69</v>
      </c>
    </row>
    <row r="15621" spans="1:1">
      <c r="A15621" s="27">
        <v>4.3</v>
      </c>
    </row>
    <row r="15622" spans="1:1">
      <c r="A15622" s="29">
        <v>0.45277777777777778</v>
      </c>
    </row>
    <row r="15623" spans="1:1">
      <c r="A15623" s="27">
        <v>16.7</v>
      </c>
    </row>
    <row r="15624" spans="1:1">
      <c r="A15624" s="28">
        <v>47.1</v>
      </c>
    </row>
    <row r="15625" spans="1:1">
      <c r="A15625" s="25">
        <v>745</v>
      </c>
    </row>
    <row r="15626" spans="1:1" ht="30">
      <c r="A15626" s="26" t="s">
        <v>836</v>
      </c>
    </row>
    <row r="15627" spans="1:1">
      <c r="A15627" s="27" t="s">
        <v>653</v>
      </c>
    </row>
    <row r="15628" spans="1:1">
      <c r="A15628" s="27">
        <v>42</v>
      </c>
    </row>
    <row r="15629" spans="1:1">
      <c r="A15629" s="27">
        <v>3</v>
      </c>
    </row>
    <row r="15630" spans="1:1">
      <c r="A15630" s="27">
        <v>5</v>
      </c>
    </row>
    <row r="15631" spans="1:1">
      <c r="A15631" s="27">
        <v>8</v>
      </c>
    </row>
    <row r="15632" spans="1:1">
      <c r="A15632" s="27">
        <v>-6</v>
      </c>
    </row>
    <row r="15633" spans="1:1">
      <c r="A15633" s="27">
        <v>10</v>
      </c>
    </row>
    <row r="15634" spans="1:1">
      <c r="A15634" s="27">
        <v>0.19</v>
      </c>
    </row>
    <row r="15635" spans="1:1">
      <c r="A15635" s="27">
        <v>0</v>
      </c>
    </row>
    <row r="15636" spans="1:1">
      <c r="A15636" s="27">
        <v>0</v>
      </c>
    </row>
    <row r="15637" spans="1:1">
      <c r="A15637" s="27">
        <v>0</v>
      </c>
    </row>
    <row r="15638" spans="1:1">
      <c r="A15638" s="27">
        <v>0</v>
      </c>
    </row>
    <row r="15639" spans="1:1">
      <c r="A15639" s="27">
        <v>0</v>
      </c>
    </row>
    <row r="15640" spans="1:1">
      <c r="A15640" s="27">
        <v>0</v>
      </c>
    </row>
    <row r="15641" spans="1:1">
      <c r="A15641" s="27">
        <v>33</v>
      </c>
    </row>
    <row r="15642" spans="1:1">
      <c r="A15642" s="27">
        <v>9.1</v>
      </c>
    </row>
    <row r="15643" spans="1:1">
      <c r="A15643" s="29">
        <v>0.5083333333333333</v>
      </c>
    </row>
    <row r="15644" spans="1:1">
      <c r="A15644" s="27">
        <v>15.3</v>
      </c>
    </row>
    <row r="15645" spans="1:1">
      <c r="A15645" s="28">
        <v>43</v>
      </c>
    </row>
    <row r="15646" spans="1:1">
      <c r="A15646" s="25">
        <v>746</v>
      </c>
    </row>
    <row r="15647" spans="1:1" ht="45">
      <c r="A15647" s="26" t="s">
        <v>781</v>
      </c>
    </row>
    <row r="15648" spans="1:1">
      <c r="A15648" s="27" t="s">
        <v>43</v>
      </c>
    </row>
    <row r="15649" spans="1:1">
      <c r="A15649" s="27">
        <v>69</v>
      </c>
    </row>
    <row r="15650" spans="1:1">
      <c r="A15650" s="27">
        <v>2</v>
      </c>
    </row>
    <row r="15651" spans="1:1">
      <c r="A15651" s="27">
        <v>6</v>
      </c>
    </row>
    <row r="15652" spans="1:1">
      <c r="A15652" s="27">
        <v>8</v>
      </c>
    </row>
    <row r="15653" spans="1:1">
      <c r="A15653" s="27">
        <v>-15</v>
      </c>
    </row>
    <row r="15654" spans="1:1">
      <c r="A15654" s="27">
        <v>110</v>
      </c>
    </row>
    <row r="15655" spans="1:1">
      <c r="A15655" s="27">
        <v>0.12</v>
      </c>
    </row>
    <row r="15656" spans="1:1">
      <c r="A15656" s="27">
        <v>0</v>
      </c>
    </row>
    <row r="15657" spans="1:1">
      <c r="A15657" s="27">
        <v>0</v>
      </c>
    </row>
    <row r="15658" spans="1:1">
      <c r="A15658" s="27">
        <v>0</v>
      </c>
    </row>
    <row r="15659" spans="1:1">
      <c r="A15659" s="27">
        <v>0</v>
      </c>
    </row>
    <row r="15660" spans="1:1">
      <c r="A15660" s="27">
        <v>0</v>
      </c>
    </row>
    <row r="15661" spans="1:1">
      <c r="A15661" s="27">
        <v>0</v>
      </c>
    </row>
    <row r="15662" spans="1:1">
      <c r="A15662" s="27">
        <v>87</v>
      </c>
    </row>
    <row r="15663" spans="1:1">
      <c r="A15663" s="27">
        <v>2.2999999999999998</v>
      </c>
    </row>
    <row r="15664" spans="1:1">
      <c r="A15664" s="29">
        <v>0.42152777777777778</v>
      </c>
    </row>
    <row r="15665" spans="1:1">
      <c r="A15665" s="27">
        <v>15.1</v>
      </c>
    </row>
    <row r="15666" spans="1:1">
      <c r="A15666" s="28">
        <v>47.3</v>
      </c>
    </row>
    <row r="15667" spans="1:1">
      <c r="A15667" s="25">
        <v>747</v>
      </c>
    </row>
    <row r="15668" spans="1:1" ht="30">
      <c r="A15668" s="26" t="s">
        <v>880</v>
      </c>
    </row>
    <row r="15669" spans="1:1">
      <c r="A15669" s="27" t="s">
        <v>44</v>
      </c>
    </row>
    <row r="15670" spans="1:1">
      <c r="A15670" s="27">
        <v>84</v>
      </c>
    </row>
    <row r="15671" spans="1:1">
      <c r="A15671" s="27">
        <v>2</v>
      </c>
    </row>
    <row r="15672" spans="1:1">
      <c r="A15672" s="27">
        <v>6</v>
      </c>
    </row>
    <row r="15673" spans="1:1">
      <c r="A15673" s="27">
        <v>8</v>
      </c>
    </row>
    <row r="15674" spans="1:1">
      <c r="A15674" s="27">
        <v>-4</v>
      </c>
    </row>
    <row r="15675" spans="1:1">
      <c r="A15675" s="27">
        <v>42</v>
      </c>
    </row>
    <row r="15676" spans="1:1">
      <c r="A15676" s="27">
        <v>0.1</v>
      </c>
    </row>
    <row r="15677" spans="1:1">
      <c r="A15677" s="27">
        <v>0</v>
      </c>
    </row>
    <row r="15678" spans="1:1">
      <c r="A15678" s="27">
        <v>0</v>
      </c>
    </row>
    <row r="15679" spans="1:1">
      <c r="A15679" s="27">
        <v>0</v>
      </c>
    </row>
    <row r="15680" spans="1:1">
      <c r="A15680" s="27">
        <v>0</v>
      </c>
    </row>
    <row r="15681" spans="1:1">
      <c r="A15681" s="27">
        <v>0</v>
      </c>
    </row>
    <row r="15682" spans="1:1">
      <c r="A15682" s="27">
        <v>0</v>
      </c>
    </row>
    <row r="15683" spans="1:1">
      <c r="A15683" s="27">
        <v>91</v>
      </c>
    </row>
    <row r="15684" spans="1:1">
      <c r="A15684" s="27">
        <v>2.2000000000000002</v>
      </c>
    </row>
    <row r="15685" spans="1:1">
      <c r="A15685" s="29">
        <v>0.34791666666666665</v>
      </c>
    </row>
    <row r="15686" spans="1:1">
      <c r="A15686" s="27">
        <v>12.3</v>
      </c>
    </row>
    <row r="15687" spans="1:1">
      <c r="A15687" s="28">
        <v>37.5</v>
      </c>
    </row>
    <row r="15688" spans="1:1">
      <c r="A15688" s="25">
        <v>748</v>
      </c>
    </row>
    <row r="15689" spans="1:1" ht="30">
      <c r="A15689" s="26" t="s">
        <v>1100</v>
      </c>
    </row>
    <row r="15690" spans="1:1">
      <c r="A15690" s="27" t="s">
        <v>42</v>
      </c>
    </row>
    <row r="15691" spans="1:1">
      <c r="A15691" s="27">
        <v>44</v>
      </c>
    </row>
    <row r="15692" spans="1:1">
      <c r="A15692" s="27">
        <v>2</v>
      </c>
    </row>
    <row r="15693" spans="1:1">
      <c r="A15693" s="27">
        <v>6</v>
      </c>
    </row>
    <row r="15694" spans="1:1">
      <c r="A15694" s="27">
        <v>8</v>
      </c>
    </row>
    <row r="15695" spans="1:1">
      <c r="A15695" s="27">
        <v>6</v>
      </c>
    </row>
    <row r="15696" spans="1:1">
      <c r="A15696" s="27">
        <v>10</v>
      </c>
    </row>
    <row r="15697" spans="1:1">
      <c r="A15697" s="27">
        <v>0.18</v>
      </c>
    </row>
    <row r="15698" spans="1:1">
      <c r="A15698" s="27">
        <v>0</v>
      </c>
    </row>
    <row r="15699" spans="1:1">
      <c r="A15699" s="27">
        <v>0</v>
      </c>
    </row>
    <row r="15700" spans="1:1">
      <c r="A15700" s="27">
        <v>0</v>
      </c>
    </row>
    <row r="15701" spans="1:1">
      <c r="A15701" s="27">
        <v>0</v>
      </c>
    </row>
    <row r="15702" spans="1:1">
      <c r="A15702" s="27">
        <v>0</v>
      </c>
    </row>
    <row r="15703" spans="1:1">
      <c r="A15703" s="27">
        <v>0</v>
      </c>
    </row>
    <row r="15704" spans="1:1">
      <c r="A15704" s="27">
        <v>55</v>
      </c>
    </row>
    <row r="15705" spans="1:1">
      <c r="A15705" s="27">
        <v>3.6</v>
      </c>
    </row>
    <row r="15706" spans="1:1">
      <c r="A15706" s="29">
        <v>0.7631944444444444</v>
      </c>
    </row>
    <row r="15707" spans="1:1">
      <c r="A15707" s="27">
        <v>26</v>
      </c>
    </row>
    <row r="15708" spans="1:1">
      <c r="A15708" s="28">
        <v>0</v>
      </c>
    </row>
    <row r="15709" spans="1:1">
      <c r="A15709" s="25">
        <v>749</v>
      </c>
    </row>
    <row r="15710" spans="1:1" ht="30">
      <c r="A15710" s="26" t="s">
        <v>777</v>
      </c>
    </row>
    <row r="15711" spans="1:1">
      <c r="A15711" s="27" t="s">
        <v>43</v>
      </c>
    </row>
    <row r="15712" spans="1:1">
      <c r="A15712" s="27">
        <v>46</v>
      </c>
    </row>
    <row r="15713" spans="1:1">
      <c r="A15713" s="27">
        <v>2</v>
      </c>
    </row>
    <row r="15714" spans="1:1">
      <c r="A15714" s="27">
        <v>6</v>
      </c>
    </row>
    <row r="15715" spans="1:1">
      <c r="A15715" s="27">
        <v>8</v>
      </c>
    </row>
    <row r="15716" spans="1:1">
      <c r="A15716" s="27">
        <v>-19</v>
      </c>
    </row>
    <row r="15717" spans="1:1">
      <c r="A15717" s="27">
        <v>14</v>
      </c>
    </row>
    <row r="15718" spans="1:1">
      <c r="A15718" s="27">
        <v>0.17</v>
      </c>
    </row>
    <row r="15719" spans="1:1">
      <c r="A15719" s="27">
        <v>1</v>
      </c>
    </row>
    <row r="15720" spans="1:1">
      <c r="A15720" s="27">
        <v>3</v>
      </c>
    </row>
    <row r="15721" spans="1:1">
      <c r="A15721" s="27">
        <v>0</v>
      </c>
    </row>
    <row r="15722" spans="1:1">
      <c r="A15722" s="27">
        <v>0</v>
      </c>
    </row>
    <row r="15723" spans="1:1">
      <c r="A15723" s="27">
        <v>0</v>
      </c>
    </row>
    <row r="15724" spans="1:1">
      <c r="A15724" s="27">
        <v>0</v>
      </c>
    </row>
    <row r="15725" spans="1:1">
      <c r="A15725" s="27">
        <v>68</v>
      </c>
    </row>
    <row r="15726" spans="1:1">
      <c r="A15726" s="27">
        <v>2.9</v>
      </c>
    </row>
    <row r="15727" spans="1:1">
      <c r="A15727" s="29">
        <v>0.45555555555555555</v>
      </c>
    </row>
    <row r="15728" spans="1:1">
      <c r="A15728" s="27">
        <v>14.9</v>
      </c>
    </row>
    <row r="15729" spans="1:1">
      <c r="A15729" s="28">
        <v>48</v>
      </c>
    </row>
    <row r="15730" spans="1:1">
      <c r="A15730" s="25">
        <v>750</v>
      </c>
    </row>
    <row r="15731" spans="1:1" ht="30">
      <c r="A15731" s="26" t="s">
        <v>575</v>
      </c>
    </row>
    <row r="15732" spans="1:1">
      <c r="A15732" s="27" t="s">
        <v>42</v>
      </c>
    </row>
    <row r="15733" spans="1:1">
      <c r="A15733" s="27">
        <v>78</v>
      </c>
    </row>
    <row r="15734" spans="1:1">
      <c r="A15734" s="27">
        <v>1</v>
      </c>
    </row>
    <row r="15735" spans="1:1">
      <c r="A15735" s="27">
        <v>7</v>
      </c>
    </row>
    <row r="15736" spans="1:1">
      <c r="A15736" s="27">
        <v>8</v>
      </c>
    </row>
    <row r="15737" spans="1:1">
      <c r="A15737" s="27">
        <v>-8</v>
      </c>
    </row>
    <row r="15738" spans="1:1">
      <c r="A15738" s="27">
        <v>26</v>
      </c>
    </row>
    <row r="15739" spans="1:1">
      <c r="A15739" s="27">
        <v>0.1</v>
      </c>
    </row>
    <row r="15740" spans="1:1">
      <c r="A15740" s="27">
        <v>0</v>
      </c>
    </row>
    <row r="15741" spans="1:1">
      <c r="A15741" s="27">
        <v>0</v>
      </c>
    </row>
    <row r="15742" spans="1:1">
      <c r="A15742" s="27">
        <v>0</v>
      </c>
    </row>
    <row r="15743" spans="1:1">
      <c r="A15743" s="27">
        <v>0</v>
      </c>
    </row>
    <row r="15744" spans="1:1">
      <c r="A15744" s="27">
        <v>0</v>
      </c>
    </row>
    <row r="15745" spans="1:1">
      <c r="A15745" s="27">
        <v>0</v>
      </c>
    </row>
    <row r="15746" spans="1:1">
      <c r="A15746" s="27">
        <v>86</v>
      </c>
    </row>
    <row r="15747" spans="1:1">
      <c r="A15747" s="27">
        <v>1.2</v>
      </c>
    </row>
    <row r="15748" spans="1:1">
      <c r="A15748" s="29">
        <v>0.71666666666666667</v>
      </c>
    </row>
    <row r="15749" spans="1:1">
      <c r="A15749" s="27">
        <v>24.1</v>
      </c>
    </row>
    <row r="15750" spans="1:1">
      <c r="A15750" s="28">
        <v>0</v>
      </c>
    </row>
    <row r="15751" spans="1:1">
      <c r="A15751" s="25">
        <v>751</v>
      </c>
    </row>
    <row r="15752" spans="1:1" ht="30">
      <c r="A15752" s="26" t="s">
        <v>1066</v>
      </c>
    </row>
    <row r="15753" spans="1:1">
      <c r="A15753" s="27" t="s">
        <v>42</v>
      </c>
    </row>
    <row r="15754" spans="1:1">
      <c r="A15754" s="27">
        <v>46</v>
      </c>
    </row>
    <row r="15755" spans="1:1">
      <c r="A15755" s="27">
        <v>0</v>
      </c>
    </row>
    <row r="15756" spans="1:1">
      <c r="A15756" s="27">
        <v>8</v>
      </c>
    </row>
    <row r="15757" spans="1:1">
      <c r="A15757" s="27">
        <v>8</v>
      </c>
    </row>
    <row r="15758" spans="1:1">
      <c r="A15758" s="27">
        <v>-3</v>
      </c>
    </row>
    <row r="15759" spans="1:1">
      <c r="A15759" s="27">
        <v>12</v>
      </c>
    </row>
    <row r="15760" spans="1:1">
      <c r="A15760" s="27">
        <v>0.17</v>
      </c>
    </row>
    <row r="15761" spans="1:1">
      <c r="A15761" s="27">
        <v>0</v>
      </c>
    </row>
    <row r="15762" spans="1:1">
      <c r="A15762" s="27">
        <v>0</v>
      </c>
    </row>
    <row r="15763" spans="1:1">
      <c r="A15763" s="27">
        <v>0</v>
      </c>
    </row>
    <row r="15764" spans="1:1">
      <c r="A15764" s="27">
        <v>0</v>
      </c>
    </row>
    <row r="15765" spans="1:1">
      <c r="A15765" s="27">
        <v>0</v>
      </c>
    </row>
    <row r="15766" spans="1:1">
      <c r="A15766" s="27">
        <v>0</v>
      </c>
    </row>
    <row r="15767" spans="1:1">
      <c r="A15767" s="27">
        <v>30</v>
      </c>
    </row>
    <row r="15768" spans="1:1">
      <c r="A15768" s="27">
        <v>0</v>
      </c>
    </row>
    <row r="15769" spans="1:1">
      <c r="A15769" s="29">
        <v>0.54027777777777775</v>
      </c>
    </row>
    <row r="15770" spans="1:1">
      <c r="A15770" s="27">
        <v>18.8</v>
      </c>
    </row>
    <row r="15771" spans="1:1">
      <c r="A15771" s="28">
        <v>0</v>
      </c>
    </row>
    <row r="15772" spans="1:1">
      <c r="A15772" s="25">
        <v>752</v>
      </c>
    </row>
    <row r="15773" spans="1:1" ht="30">
      <c r="A15773" s="26" t="s">
        <v>1027</v>
      </c>
    </row>
    <row r="15774" spans="1:1">
      <c r="A15774" s="27" t="s">
        <v>653</v>
      </c>
    </row>
    <row r="15775" spans="1:1">
      <c r="A15775" s="27">
        <v>28</v>
      </c>
    </row>
    <row r="15776" spans="1:1">
      <c r="A15776" s="27">
        <v>6</v>
      </c>
    </row>
    <row r="15777" spans="1:1">
      <c r="A15777" s="27">
        <v>1</v>
      </c>
    </row>
    <row r="15778" spans="1:1">
      <c r="A15778" s="27">
        <v>7</v>
      </c>
    </row>
    <row r="15779" spans="1:1">
      <c r="A15779" s="27">
        <v>2</v>
      </c>
    </row>
    <row r="15780" spans="1:1">
      <c r="A15780" s="27">
        <v>6</v>
      </c>
    </row>
    <row r="15781" spans="1:1">
      <c r="A15781" s="27">
        <v>0.25</v>
      </c>
    </row>
    <row r="15782" spans="1:1">
      <c r="A15782" s="27">
        <v>1</v>
      </c>
    </row>
    <row r="15783" spans="1:1">
      <c r="A15783" s="27">
        <v>1</v>
      </c>
    </row>
    <row r="15784" spans="1:1">
      <c r="A15784" s="27">
        <v>0</v>
      </c>
    </row>
    <row r="15785" spans="1:1">
      <c r="A15785" s="27">
        <v>0</v>
      </c>
    </row>
    <row r="15786" spans="1:1">
      <c r="A15786" s="27">
        <v>1</v>
      </c>
    </row>
    <row r="15787" spans="1:1">
      <c r="A15787" s="27">
        <v>0</v>
      </c>
    </row>
    <row r="15788" spans="1:1">
      <c r="A15788" s="27">
        <v>28</v>
      </c>
    </row>
    <row r="15789" spans="1:1">
      <c r="A15789" s="27">
        <v>21.4</v>
      </c>
    </row>
    <row r="15790" spans="1:1">
      <c r="A15790" s="29">
        <v>0.56597222222222221</v>
      </c>
    </row>
    <row r="15791" spans="1:1">
      <c r="A15791" s="27">
        <v>18.3</v>
      </c>
    </row>
    <row r="15792" spans="1:1">
      <c r="A15792" s="28">
        <v>0</v>
      </c>
    </row>
    <row r="15793" spans="1:1">
      <c r="A15793" s="25">
        <v>753</v>
      </c>
    </row>
    <row r="15794" spans="1:1" ht="45">
      <c r="A15794" s="26" t="s">
        <v>725</v>
      </c>
    </row>
    <row r="15795" spans="1:1">
      <c r="A15795" s="27" t="s">
        <v>653</v>
      </c>
    </row>
    <row r="15796" spans="1:1">
      <c r="A15796" s="27">
        <v>30</v>
      </c>
    </row>
    <row r="15797" spans="1:1">
      <c r="A15797" s="27">
        <v>5</v>
      </c>
    </row>
    <row r="15798" spans="1:1">
      <c r="A15798" s="27">
        <v>2</v>
      </c>
    </row>
    <row r="15799" spans="1:1">
      <c r="A15799" s="27">
        <v>7</v>
      </c>
    </row>
    <row r="15800" spans="1:1">
      <c r="A15800" s="27">
        <v>1</v>
      </c>
    </row>
    <row r="15801" spans="1:1">
      <c r="A15801" s="27">
        <v>12</v>
      </c>
    </row>
    <row r="15802" spans="1:1">
      <c r="A15802" s="27">
        <v>0.23</v>
      </c>
    </row>
    <row r="15803" spans="1:1">
      <c r="A15803" s="27">
        <v>0</v>
      </c>
    </row>
    <row r="15804" spans="1:1">
      <c r="A15804" s="27">
        <v>0</v>
      </c>
    </row>
    <row r="15805" spans="1:1">
      <c r="A15805" s="27">
        <v>0</v>
      </c>
    </row>
    <row r="15806" spans="1:1">
      <c r="A15806" s="27">
        <v>0</v>
      </c>
    </row>
    <row r="15807" spans="1:1">
      <c r="A15807" s="27">
        <v>2</v>
      </c>
    </row>
    <row r="15808" spans="1:1">
      <c r="A15808" s="27">
        <v>0</v>
      </c>
    </row>
    <row r="15809" spans="1:1">
      <c r="A15809" s="27">
        <v>31</v>
      </c>
    </row>
    <row r="15810" spans="1:1">
      <c r="A15810" s="27">
        <v>16.100000000000001</v>
      </c>
    </row>
    <row r="15811" spans="1:1">
      <c r="A15811" s="29">
        <v>0.38958333333333334</v>
      </c>
    </row>
    <row r="15812" spans="1:1">
      <c r="A15812" s="27">
        <v>13.6</v>
      </c>
    </row>
    <row r="15813" spans="1:1">
      <c r="A15813" s="28">
        <v>50.4</v>
      </c>
    </row>
    <row r="15814" spans="1:1">
      <c r="A15814" s="25">
        <v>754</v>
      </c>
    </row>
    <row r="15815" spans="1:1" ht="30">
      <c r="A15815" s="26" t="s">
        <v>855</v>
      </c>
    </row>
    <row r="15816" spans="1:1">
      <c r="A15816" s="27" t="s">
        <v>653</v>
      </c>
    </row>
    <row r="15817" spans="1:1">
      <c r="A15817" s="27">
        <v>50</v>
      </c>
    </row>
    <row r="15818" spans="1:1">
      <c r="A15818" s="27">
        <v>4</v>
      </c>
    </row>
    <row r="15819" spans="1:1">
      <c r="A15819" s="27">
        <v>3</v>
      </c>
    </row>
    <row r="15820" spans="1:1">
      <c r="A15820" s="27">
        <v>7</v>
      </c>
    </row>
    <row r="15821" spans="1:1">
      <c r="A15821" s="27">
        <v>-12</v>
      </c>
    </row>
    <row r="15822" spans="1:1">
      <c r="A15822" s="27">
        <v>25</v>
      </c>
    </row>
    <row r="15823" spans="1:1">
      <c r="A15823" s="27">
        <v>0.14000000000000001</v>
      </c>
    </row>
    <row r="15824" spans="1:1">
      <c r="A15824" s="27">
        <v>0</v>
      </c>
    </row>
    <row r="15825" spans="1:1">
      <c r="A15825" s="27">
        <v>1</v>
      </c>
    </row>
    <row r="15826" spans="1:1">
      <c r="A15826" s="27">
        <v>0</v>
      </c>
    </row>
    <row r="15827" spans="1:1">
      <c r="A15827" s="27">
        <v>0</v>
      </c>
    </row>
    <row r="15828" spans="1:1">
      <c r="A15828" s="27">
        <v>1</v>
      </c>
    </row>
    <row r="15829" spans="1:1">
      <c r="A15829" s="27">
        <v>0</v>
      </c>
    </row>
    <row r="15830" spans="1:1">
      <c r="A15830" s="27">
        <v>54</v>
      </c>
    </row>
    <row r="15831" spans="1:1">
      <c r="A15831" s="27">
        <v>7.4</v>
      </c>
    </row>
    <row r="15832" spans="1:1">
      <c r="A15832" s="29">
        <v>0.41597222222222219</v>
      </c>
    </row>
    <row r="15833" spans="1:1">
      <c r="A15833" s="27">
        <v>14.8</v>
      </c>
    </row>
    <row r="15834" spans="1:1">
      <c r="A15834" s="28">
        <v>40.200000000000003</v>
      </c>
    </row>
    <row r="15835" spans="1:1">
      <c r="A15835" s="25">
        <v>755</v>
      </c>
    </row>
    <row r="15836" spans="1:1" ht="45">
      <c r="A15836" s="26" t="s">
        <v>695</v>
      </c>
    </row>
    <row r="15837" spans="1:1">
      <c r="A15837" s="27" t="s">
        <v>43</v>
      </c>
    </row>
    <row r="15838" spans="1:1">
      <c r="A15838" s="27">
        <v>34</v>
      </c>
    </row>
    <row r="15839" spans="1:1">
      <c r="A15839" s="27">
        <v>4</v>
      </c>
    </row>
    <row r="15840" spans="1:1">
      <c r="A15840" s="27">
        <v>3</v>
      </c>
    </row>
    <row r="15841" spans="1:1">
      <c r="A15841" s="27">
        <v>7</v>
      </c>
    </row>
    <row r="15842" spans="1:1">
      <c r="A15842" s="27">
        <v>-7</v>
      </c>
    </row>
    <row r="15843" spans="1:1">
      <c r="A15843" s="27">
        <v>6</v>
      </c>
    </row>
    <row r="15844" spans="1:1">
      <c r="A15844" s="27">
        <v>0.21</v>
      </c>
    </row>
    <row r="15845" spans="1:1">
      <c r="A15845" s="27">
        <v>0</v>
      </c>
    </row>
    <row r="15846" spans="1:1">
      <c r="A15846" s="27">
        <v>0</v>
      </c>
    </row>
    <row r="15847" spans="1:1">
      <c r="A15847" s="27">
        <v>1</v>
      </c>
    </row>
    <row r="15848" spans="1:1">
      <c r="A15848" s="27">
        <v>1</v>
      </c>
    </row>
    <row r="15849" spans="1:1">
      <c r="A15849" s="27">
        <v>1</v>
      </c>
    </row>
    <row r="15850" spans="1:1">
      <c r="A15850" s="27">
        <v>0</v>
      </c>
    </row>
    <row r="15851" spans="1:1">
      <c r="A15851" s="27">
        <v>49</v>
      </c>
    </row>
    <row r="15852" spans="1:1">
      <c r="A15852" s="27">
        <v>8.1999999999999993</v>
      </c>
    </row>
    <row r="15853" spans="1:1">
      <c r="A15853" s="29">
        <v>0.53749999999999998</v>
      </c>
    </row>
    <row r="15854" spans="1:1">
      <c r="A15854" s="27">
        <v>17.100000000000001</v>
      </c>
    </row>
    <row r="15855" spans="1:1">
      <c r="A15855" s="28">
        <v>52.9</v>
      </c>
    </row>
    <row r="15856" spans="1:1">
      <c r="A15856" s="25">
        <v>756</v>
      </c>
    </row>
    <row r="15857" spans="1:1" ht="45">
      <c r="A15857" s="26" t="s">
        <v>1097</v>
      </c>
    </row>
    <row r="15858" spans="1:1">
      <c r="A15858" s="27" t="s">
        <v>42</v>
      </c>
    </row>
    <row r="15859" spans="1:1">
      <c r="A15859" s="27">
        <v>60</v>
      </c>
    </row>
    <row r="15860" spans="1:1">
      <c r="A15860" s="27">
        <v>4</v>
      </c>
    </row>
    <row r="15861" spans="1:1">
      <c r="A15861" s="27">
        <v>3</v>
      </c>
    </row>
    <row r="15862" spans="1:1">
      <c r="A15862" s="27">
        <v>7</v>
      </c>
    </row>
    <row r="15863" spans="1:1">
      <c r="A15863" s="27">
        <v>-12</v>
      </c>
    </row>
    <row r="15864" spans="1:1">
      <c r="A15864" s="27">
        <v>33</v>
      </c>
    </row>
    <row r="15865" spans="1:1">
      <c r="A15865" s="27">
        <v>0.12</v>
      </c>
    </row>
    <row r="15866" spans="1:1">
      <c r="A15866" s="27">
        <v>0</v>
      </c>
    </row>
    <row r="15867" spans="1:1">
      <c r="A15867" s="27">
        <v>0</v>
      </c>
    </row>
    <row r="15868" spans="1:1">
      <c r="A15868" s="27">
        <v>0</v>
      </c>
    </row>
    <row r="15869" spans="1:1">
      <c r="A15869" s="27">
        <v>0</v>
      </c>
    </row>
    <row r="15870" spans="1:1">
      <c r="A15870" s="27">
        <v>1</v>
      </c>
    </row>
    <row r="15871" spans="1:1">
      <c r="A15871" s="27">
        <v>0</v>
      </c>
    </row>
    <row r="15872" spans="1:1">
      <c r="A15872" s="27">
        <v>41</v>
      </c>
    </row>
    <row r="15873" spans="1:1">
      <c r="A15873" s="27">
        <v>9.8000000000000007</v>
      </c>
    </row>
    <row r="15874" spans="1:1">
      <c r="A15874" s="29">
        <v>0.60138888888888886</v>
      </c>
    </row>
    <row r="15875" spans="1:1">
      <c r="A15875" s="27">
        <v>19.399999999999999</v>
      </c>
    </row>
    <row r="15876" spans="1:1">
      <c r="A15876" s="28">
        <v>0</v>
      </c>
    </row>
    <row r="15877" spans="1:1">
      <c r="A15877" s="25">
        <v>757</v>
      </c>
    </row>
    <row r="15878" spans="1:1" ht="30">
      <c r="A15878" s="26" t="s">
        <v>528</v>
      </c>
    </row>
    <row r="15879" spans="1:1">
      <c r="A15879" s="27" t="s">
        <v>653</v>
      </c>
    </row>
    <row r="15880" spans="1:1">
      <c r="A15880" s="27">
        <v>32</v>
      </c>
    </row>
    <row r="15881" spans="1:1">
      <c r="A15881" s="27">
        <v>3</v>
      </c>
    </row>
    <row r="15882" spans="1:1">
      <c r="A15882" s="27">
        <v>4</v>
      </c>
    </row>
    <row r="15883" spans="1:1">
      <c r="A15883" s="27">
        <v>7</v>
      </c>
    </row>
    <row r="15884" spans="1:1">
      <c r="A15884" s="27">
        <v>2</v>
      </c>
    </row>
    <row r="15885" spans="1:1">
      <c r="A15885" s="27">
        <v>6</v>
      </c>
    </row>
    <row r="15886" spans="1:1">
      <c r="A15886" s="27">
        <v>0.22</v>
      </c>
    </row>
    <row r="15887" spans="1:1">
      <c r="A15887" s="27">
        <v>0</v>
      </c>
    </row>
    <row r="15888" spans="1:1">
      <c r="A15888" s="27">
        <v>0</v>
      </c>
    </row>
    <row r="15889" spans="1:1">
      <c r="A15889" s="27">
        <v>0</v>
      </c>
    </row>
    <row r="15890" spans="1:1">
      <c r="A15890" s="27">
        <v>0</v>
      </c>
    </row>
    <row r="15891" spans="1:1">
      <c r="A15891" s="27">
        <v>0</v>
      </c>
    </row>
    <row r="15892" spans="1:1">
      <c r="A15892" s="27">
        <v>0</v>
      </c>
    </row>
    <row r="15893" spans="1:1">
      <c r="A15893" s="27">
        <v>31</v>
      </c>
    </row>
    <row r="15894" spans="1:1">
      <c r="A15894" s="27">
        <v>9.6999999999999993</v>
      </c>
    </row>
    <row r="15895" spans="1:1">
      <c r="A15895" s="29">
        <v>0.44305555555555554</v>
      </c>
    </row>
    <row r="15896" spans="1:1">
      <c r="A15896" s="27">
        <v>14.6</v>
      </c>
    </row>
    <row r="15897" spans="1:1">
      <c r="A15897" s="28">
        <v>39</v>
      </c>
    </row>
    <row r="15898" spans="1:1">
      <c r="A15898" s="25">
        <v>758</v>
      </c>
    </row>
    <row r="15899" spans="1:1" ht="30">
      <c r="A15899" s="26" t="s">
        <v>1054</v>
      </c>
    </row>
    <row r="15900" spans="1:1">
      <c r="A15900" s="27" t="s">
        <v>42</v>
      </c>
    </row>
    <row r="15901" spans="1:1">
      <c r="A15901" s="27">
        <v>31</v>
      </c>
    </row>
    <row r="15902" spans="1:1">
      <c r="A15902" s="27">
        <v>3</v>
      </c>
    </row>
    <row r="15903" spans="1:1">
      <c r="A15903" s="27">
        <v>4</v>
      </c>
    </row>
    <row r="15904" spans="1:1">
      <c r="A15904" s="27">
        <v>7</v>
      </c>
    </row>
    <row r="15905" spans="1:1">
      <c r="A15905" s="27">
        <v>2</v>
      </c>
    </row>
    <row r="15906" spans="1:1">
      <c r="A15906" s="27">
        <v>16</v>
      </c>
    </row>
    <row r="15907" spans="1:1">
      <c r="A15907" s="27">
        <v>0.23</v>
      </c>
    </row>
    <row r="15908" spans="1:1">
      <c r="A15908" s="27">
        <v>0</v>
      </c>
    </row>
    <row r="15909" spans="1:1">
      <c r="A15909" s="27">
        <v>0</v>
      </c>
    </row>
    <row r="15910" spans="1:1">
      <c r="A15910" s="27">
        <v>0</v>
      </c>
    </row>
    <row r="15911" spans="1:1">
      <c r="A15911" s="27">
        <v>0</v>
      </c>
    </row>
    <row r="15912" spans="1:1">
      <c r="A15912" s="27">
        <v>0</v>
      </c>
    </row>
    <row r="15913" spans="1:1">
      <c r="A15913" s="27">
        <v>0</v>
      </c>
    </row>
    <row r="15914" spans="1:1">
      <c r="A15914" s="27">
        <v>40</v>
      </c>
    </row>
    <row r="15915" spans="1:1">
      <c r="A15915" s="27">
        <v>7.5</v>
      </c>
    </row>
    <row r="15916" spans="1:1">
      <c r="A15916" s="29">
        <v>0.75902777777777775</v>
      </c>
    </row>
    <row r="15917" spans="1:1">
      <c r="A15917" s="27">
        <v>23.1</v>
      </c>
    </row>
    <row r="15918" spans="1:1">
      <c r="A15918" s="28">
        <v>0</v>
      </c>
    </row>
    <row r="15919" spans="1:1">
      <c r="A15919" s="25">
        <v>759</v>
      </c>
    </row>
    <row r="15920" spans="1:1" ht="30">
      <c r="A15920" s="26" t="s">
        <v>717</v>
      </c>
    </row>
    <row r="15921" spans="1:1">
      <c r="A15921" s="27" t="s">
        <v>653</v>
      </c>
    </row>
    <row r="15922" spans="1:1">
      <c r="A15922" s="27">
        <v>40</v>
      </c>
    </row>
    <row r="15923" spans="1:1">
      <c r="A15923" s="27">
        <v>3</v>
      </c>
    </row>
    <row r="15924" spans="1:1">
      <c r="A15924" s="27">
        <v>4</v>
      </c>
    </row>
    <row r="15925" spans="1:1">
      <c r="A15925" s="27">
        <v>7</v>
      </c>
    </row>
    <row r="15926" spans="1:1">
      <c r="A15926" s="27">
        <v>-3</v>
      </c>
    </row>
    <row r="15927" spans="1:1">
      <c r="A15927" s="27">
        <v>10</v>
      </c>
    </row>
    <row r="15928" spans="1:1">
      <c r="A15928" s="27">
        <v>0.17</v>
      </c>
    </row>
    <row r="15929" spans="1:1">
      <c r="A15929" s="27">
        <v>0</v>
      </c>
    </row>
    <row r="15930" spans="1:1">
      <c r="A15930" s="27">
        <v>1</v>
      </c>
    </row>
    <row r="15931" spans="1:1">
      <c r="A15931" s="27">
        <v>0</v>
      </c>
    </row>
    <row r="15932" spans="1:1">
      <c r="A15932" s="27">
        <v>0</v>
      </c>
    </row>
    <row r="15933" spans="1:1">
      <c r="A15933" s="27">
        <v>1</v>
      </c>
    </row>
    <row r="15934" spans="1:1">
      <c r="A15934" s="27">
        <v>0</v>
      </c>
    </row>
    <row r="15935" spans="1:1">
      <c r="A15935" s="27">
        <v>43</v>
      </c>
    </row>
    <row r="15936" spans="1:1">
      <c r="A15936" s="27">
        <v>7</v>
      </c>
    </row>
    <row r="15937" spans="1:1">
      <c r="A15937" s="29">
        <v>0.47500000000000003</v>
      </c>
    </row>
    <row r="15938" spans="1:1">
      <c r="A15938" s="27">
        <v>17.2</v>
      </c>
    </row>
    <row r="15939" spans="1:1">
      <c r="A15939" s="28">
        <v>50.8</v>
      </c>
    </row>
    <row r="15940" spans="1:1">
      <c r="A15940" s="25">
        <v>760</v>
      </c>
    </row>
    <row r="15941" spans="1:1" ht="30">
      <c r="A15941" s="26" t="s">
        <v>492</v>
      </c>
    </row>
    <row r="15942" spans="1:1">
      <c r="A15942" s="27" t="s">
        <v>42</v>
      </c>
    </row>
    <row r="15943" spans="1:1">
      <c r="A15943" s="27">
        <v>59</v>
      </c>
    </row>
    <row r="15944" spans="1:1">
      <c r="A15944" s="27">
        <v>1</v>
      </c>
    </row>
    <row r="15945" spans="1:1">
      <c r="A15945" s="27">
        <v>6</v>
      </c>
    </row>
    <row r="15946" spans="1:1">
      <c r="A15946" s="27">
        <v>7</v>
      </c>
    </row>
    <row r="15947" spans="1:1">
      <c r="A15947" s="27">
        <v>-2</v>
      </c>
    </row>
    <row r="15948" spans="1:1">
      <c r="A15948" s="27">
        <v>22</v>
      </c>
    </row>
    <row r="15949" spans="1:1">
      <c r="A15949" s="27">
        <v>0.12</v>
      </c>
    </row>
    <row r="15950" spans="1:1">
      <c r="A15950" s="27">
        <v>0</v>
      </c>
    </row>
    <row r="15951" spans="1:1">
      <c r="A15951" s="27">
        <v>0</v>
      </c>
    </row>
    <row r="15952" spans="1:1">
      <c r="A15952" s="27">
        <v>0</v>
      </c>
    </row>
    <row r="15953" spans="1:1">
      <c r="A15953" s="27">
        <v>0</v>
      </c>
    </row>
    <row r="15954" spans="1:1">
      <c r="A15954" s="27">
        <v>0</v>
      </c>
    </row>
    <row r="15955" spans="1:1">
      <c r="A15955" s="27">
        <v>0</v>
      </c>
    </row>
    <row r="15956" spans="1:1">
      <c r="A15956" s="27">
        <v>46</v>
      </c>
    </row>
    <row r="15957" spans="1:1">
      <c r="A15957" s="27">
        <v>2.2000000000000002</v>
      </c>
    </row>
    <row r="15958" spans="1:1">
      <c r="A15958" s="29">
        <v>0.58333333333333337</v>
      </c>
    </row>
    <row r="15959" spans="1:1">
      <c r="A15959" s="27">
        <v>19.7</v>
      </c>
    </row>
    <row r="15960" spans="1:1">
      <c r="A15960" s="28">
        <v>0</v>
      </c>
    </row>
    <row r="15961" spans="1:1">
      <c r="A15961" s="25">
        <v>761</v>
      </c>
    </row>
    <row r="15962" spans="1:1" ht="30">
      <c r="A15962" s="26" t="s">
        <v>1116</v>
      </c>
    </row>
    <row r="15963" spans="1:1">
      <c r="A15963" s="27" t="s">
        <v>42</v>
      </c>
    </row>
    <row r="15964" spans="1:1">
      <c r="A15964" s="27">
        <v>103</v>
      </c>
    </row>
    <row r="15965" spans="1:1">
      <c r="A15965" s="27">
        <v>1</v>
      </c>
    </row>
    <row r="15966" spans="1:1">
      <c r="A15966" s="27">
        <v>6</v>
      </c>
    </row>
    <row r="15967" spans="1:1">
      <c r="A15967" s="27">
        <v>7</v>
      </c>
    </row>
    <row r="15968" spans="1:1">
      <c r="A15968" s="27">
        <v>-34</v>
      </c>
    </row>
    <row r="15969" spans="1:1">
      <c r="A15969" s="27">
        <v>79</v>
      </c>
    </row>
    <row r="15970" spans="1:1">
      <c r="A15970" s="27">
        <v>7.0000000000000007E-2</v>
      </c>
    </row>
    <row r="15971" spans="1:1">
      <c r="A15971" s="27">
        <v>0</v>
      </c>
    </row>
    <row r="15972" spans="1:1">
      <c r="A15972" s="27">
        <v>0</v>
      </c>
    </row>
    <row r="15973" spans="1:1">
      <c r="A15973" s="27">
        <v>0</v>
      </c>
    </row>
    <row r="15974" spans="1:1">
      <c r="A15974" s="27">
        <v>0</v>
      </c>
    </row>
    <row r="15975" spans="1:1">
      <c r="A15975" s="27">
        <v>0</v>
      </c>
    </row>
    <row r="15976" spans="1:1">
      <c r="A15976" s="27">
        <v>0</v>
      </c>
    </row>
    <row r="15977" spans="1:1">
      <c r="A15977" s="27">
        <v>82</v>
      </c>
    </row>
    <row r="15978" spans="1:1">
      <c r="A15978" s="27">
        <v>1.2</v>
      </c>
    </row>
    <row r="15979" spans="1:1">
      <c r="A15979" s="29">
        <v>0.68125000000000002</v>
      </c>
    </row>
    <row r="15980" spans="1:1">
      <c r="A15980" s="27">
        <v>22.2</v>
      </c>
    </row>
    <row r="15981" spans="1:1">
      <c r="A15981" s="28">
        <v>0</v>
      </c>
    </row>
    <row r="15982" spans="1:1">
      <c r="A15982" s="25">
        <v>762</v>
      </c>
    </row>
    <row r="15983" spans="1:1" ht="30">
      <c r="A15983" s="26" t="s">
        <v>857</v>
      </c>
    </row>
    <row r="15984" spans="1:1">
      <c r="A15984" s="27" t="s">
        <v>653</v>
      </c>
    </row>
    <row r="15985" spans="1:1">
      <c r="A15985" s="27">
        <v>20</v>
      </c>
    </row>
    <row r="15986" spans="1:1">
      <c r="A15986" s="27">
        <v>1</v>
      </c>
    </row>
    <row r="15987" spans="1:1">
      <c r="A15987" s="27">
        <v>6</v>
      </c>
    </row>
    <row r="15988" spans="1:1">
      <c r="A15988" s="27">
        <v>7</v>
      </c>
    </row>
    <row r="15989" spans="1:1">
      <c r="A15989" s="27">
        <v>-5</v>
      </c>
    </row>
    <row r="15990" spans="1:1">
      <c r="A15990" s="27">
        <v>4</v>
      </c>
    </row>
    <row r="15991" spans="1:1">
      <c r="A15991" s="27">
        <v>0.35</v>
      </c>
    </row>
    <row r="15992" spans="1:1">
      <c r="A15992" s="27">
        <v>1</v>
      </c>
    </row>
    <row r="15993" spans="1:1">
      <c r="A15993" s="27">
        <v>3</v>
      </c>
    </row>
    <row r="15994" spans="1:1">
      <c r="A15994" s="27">
        <v>0</v>
      </c>
    </row>
    <row r="15995" spans="1:1">
      <c r="A15995" s="27">
        <v>0</v>
      </c>
    </row>
    <row r="15996" spans="1:1">
      <c r="A15996" s="27">
        <v>1</v>
      </c>
    </row>
    <row r="15997" spans="1:1">
      <c r="A15997" s="27">
        <v>0</v>
      </c>
    </row>
    <row r="15998" spans="1:1">
      <c r="A15998" s="27">
        <v>22</v>
      </c>
    </row>
    <row r="15999" spans="1:1">
      <c r="A15999" s="27">
        <v>4.5</v>
      </c>
    </row>
    <row r="16000" spans="1:1">
      <c r="A16000" s="29">
        <v>0.47847222222222219</v>
      </c>
    </row>
    <row r="16001" spans="1:1">
      <c r="A16001" s="27">
        <v>17</v>
      </c>
    </row>
    <row r="16002" spans="1:1">
      <c r="A16002" s="28">
        <v>40</v>
      </c>
    </row>
    <row r="16003" spans="1:1">
      <c r="A16003" s="25">
        <v>763</v>
      </c>
    </row>
    <row r="16004" spans="1:1" ht="30">
      <c r="A16004" s="26" t="s">
        <v>894</v>
      </c>
    </row>
    <row r="16005" spans="1:1">
      <c r="A16005" s="27" t="s">
        <v>653</v>
      </c>
    </row>
    <row r="16006" spans="1:1">
      <c r="A16006" s="27">
        <v>25</v>
      </c>
    </row>
    <row r="16007" spans="1:1">
      <c r="A16007" s="27">
        <v>5</v>
      </c>
    </row>
    <row r="16008" spans="1:1">
      <c r="A16008" s="27">
        <v>1</v>
      </c>
    </row>
    <row r="16009" spans="1:1">
      <c r="A16009" s="27">
        <v>6</v>
      </c>
    </row>
    <row r="16010" spans="1:1">
      <c r="A16010" s="27">
        <v>0</v>
      </c>
    </row>
    <row r="16011" spans="1:1">
      <c r="A16011" s="27">
        <v>6</v>
      </c>
    </row>
    <row r="16012" spans="1:1">
      <c r="A16012" s="27">
        <v>0.24</v>
      </c>
    </row>
    <row r="16013" spans="1:1">
      <c r="A16013" s="27">
        <v>0</v>
      </c>
    </row>
    <row r="16014" spans="1:1">
      <c r="A16014" s="27">
        <v>1</v>
      </c>
    </row>
    <row r="16015" spans="1:1">
      <c r="A16015" s="27">
        <v>0</v>
      </c>
    </row>
    <row r="16016" spans="1:1">
      <c r="A16016" s="27">
        <v>0</v>
      </c>
    </row>
    <row r="16017" spans="1:1">
      <c r="A16017" s="27">
        <v>1</v>
      </c>
    </row>
    <row r="16018" spans="1:1">
      <c r="A16018" s="27">
        <v>1</v>
      </c>
    </row>
    <row r="16019" spans="1:1">
      <c r="A16019" s="27">
        <v>38</v>
      </c>
    </row>
    <row r="16020" spans="1:1">
      <c r="A16020" s="27">
        <v>13.2</v>
      </c>
    </row>
    <row r="16021" spans="1:1">
      <c r="A16021" s="29">
        <v>0.5395833333333333</v>
      </c>
    </row>
    <row r="16022" spans="1:1">
      <c r="A16022" s="27">
        <v>16.399999999999999</v>
      </c>
    </row>
    <row r="16023" spans="1:1">
      <c r="A16023" s="28">
        <v>35.5</v>
      </c>
    </row>
    <row r="16024" spans="1:1">
      <c r="A16024" s="25">
        <v>764</v>
      </c>
    </row>
    <row r="16025" spans="1:1" ht="30">
      <c r="A16025" s="26" t="s">
        <v>677</v>
      </c>
    </row>
    <row r="16026" spans="1:1">
      <c r="A16026" s="27" t="s">
        <v>44</v>
      </c>
    </row>
    <row r="16027" spans="1:1">
      <c r="A16027" s="27">
        <v>24</v>
      </c>
    </row>
    <row r="16028" spans="1:1">
      <c r="A16028" s="27">
        <v>3</v>
      </c>
    </row>
    <row r="16029" spans="1:1">
      <c r="A16029" s="27">
        <v>3</v>
      </c>
    </row>
    <row r="16030" spans="1:1">
      <c r="A16030" s="27">
        <v>6</v>
      </c>
    </row>
    <row r="16031" spans="1:1">
      <c r="A16031" s="27">
        <v>-6</v>
      </c>
    </row>
    <row r="16032" spans="1:1">
      <c r="A16032" s="27">
        <v>2</v>
      </c>
    </row>
    <row r="16033" spans="1:1">
      <c r="A16033" s="27">
        <v>0.25</v>
      </c>
    </row>
    <row r="16034" spans="1:1">
      <c r="A16034" s="27">
        <v>0</v>
      </c>
    </row>
    <row r="16035" spans="1:1">
      <c r="A16035" s="27">
        <v>0</v>
      </c>
    </row>
    <row r="16036" spans="1:1">
      <c r="A16036" s="27">
        <v>1</v>
      </c>
    </row>
    <row r="16037" spans="1:1">
      <c r="A16037" s="27">
        <v>1</v>
      </c>
    </row>
    <row r="16038" spans="1:1">
      <c r="A16038" s="27">
        <v>1</v>
      </c>
    </row>
    <row r="16039" spans="1:1">
      <c r="A16039" s="27">
        <v>0</v>
      </c>
    </row>
    <row r="16040" spans="1:1">
      <c r="A16040" s="27">
        <v>29</v>
      </c>
    </row>
    <row r="16041" spans="1:1">
      <c r="A16041" s="27">
        <v>10.3</v>
      </c>
    </row>
    <row r="16042" spans="1:1">
      <c r="A16042" s="29">
        <v>0.44097222222222227</v>
      </c>
    </row>
    <row r="16043" spans="1:1">
      <c r="A16043" s="27">
        <v>14.5</v>
      </c>
    </row>
    <row r="16044" spans="1:1">
      <c r="A16044" s="28">
        <v>64.7</v>
      </c>
    </row>
    <row r="16045" spans="1:1">
      <c r="A16045" s="25">
        <v>765</v>
      </c>
    </row>
    <row r="16046" spans="1:1" ht="30">
      <c r="A16046" s="26" t="s">
        <v>726</v>
      </c>
    </row>
    <row r="16047" spans="1:1">
      <c r="A16047" s="27" t="s">
        <v>653</v>
      </c>
    </row>
    <row r="16048" spans="1:1">
      <c r="A16048" s="27">
        <v>41</v>
      </c>
    </row>
    <row r="16049" spans="1:1">
      <c r="A16049" s="27">
        <v>3</v>
      </c>
    </row>
    <row r="16050" spans="1:1">
      <c r="A16050" s="27">
        <v>3</v>
      </c>
    </row>
    <row r="16051" spans="1:1">
      <c r="A16051" s="27">
        <v>6</v>
      </c>
    </row>
    <row r="16052" spans="1:1">
      <c r="A16052" s="27">
        <v>-8</v>
      </c>
    </row>
    <row r="16053" spans="1:1">
      <c r="A16053" s="27">
        <v>26</v>
      </c>
    </row>
    <row r="16054" spans="1:1">
      <c r="A16054" s="27">
        <v>0.15</v>
      </c>
    </row>
    <row r="16055" spans="1:1">
      <c r="A16055" s="27">
        <v>0</v>
      </c>
    </row>
    <row r="16056" spans="1:1">
      <c r="A16056" s="27">
        <v>0</v>
      </c>
    </row>
    <row r="16057" spans="1:1">
      <c r="A16057" s="27">
        <v>1</v>
      </c>
    </row>
    <row r="16058" spans="1:1">
      <c r="A16058" s="27">
        <v>1</v>
      </c>
    </row>
    <row r="16059" spans="1:1">
      <c r="A16059" s="27">
        <v>0</v>
      </c>
    </row>
    <row r="16060" spans="1:1">
      <c r="A16060" s="27">
        <v>0</v>
      </c>
    </row>
    <row r="16061" spans="1:1">
      <c r="A16061" s="27">
        <v>44</v>
      </c>
    </row>
    <row r="16062" spans="1:1">
      <c r="A16062" s="27">
        <v>6.8</v>
      </c>
    </row>
    <row r="16063" spans="1:1">
      <c r="A16063" s="29">
        <v>0.37916666666666665</v>
      </c>
    </row>
    <row r="16064" spans="1:1">
      <c r="A16064" s="27">
        <v>13</v>
      </c>
    </row>
    <row r="16065" spans="1:1">
      <c r="A16065" s="28">
        <v>50.4</v>
      </c>
    </row>
    <row r="16066" spans="1:1">
      <c r="A16066" s="25">
        <v>766</v>
      </c>
    </row>
    <row r="16067" spans="1:1" ht="30">
      <c r="A16067" s="26" t="s">
        <v>1096</v>
      </c>
    </row>
    <row r="16068" spans="1:1">
      <c r="A16068" s="27" t="s">
        <v>42</v>
      </c>
    </row>
    <row r="16069" spans="1:1">
      <c r="A16069" s="27">
        <v>49</v>
      </c>
    </row>
    <row r="16070" spans="1:1">
      <c r="A16070" s="27">
        <v>2</v>
      </c>
    </row>
    <row r="16071" spans="1:1">
      <c r="A16071" s="27">
        <v>4</v>
      </c>
    </row>
    <row r="16072" spans="1:1">
      <c r="A16072" s="27">
        <v>6</v>
      </c>
    </row>
    <row r="16073" spans="1:1">
      <c r="A16073" s="27">
        <v>3</v>
      </c>
    </row>
    <row r="16074" spans="1:1">
      <c r="A16074" s="27">
        <v>12</v>
      </c>
    </row>
    <row r="16075" spans="1:1">
      <c r="A16075" s="27">
        <v>0.12</v>
      </c>
    </row>
    <row r="16076" spans="1:1">
      <c r="A16076" s="27">
        <v>2</v>
      </c>
    </row>
    <row r="16077" spans="1:1">
      <c r="A16077" s="27">
        <v>2</v>
      </c>
    </row>
    <row r="16078" spans="1:1">
      <c r="A16078" s="27">
        <v>0</v>
      </c>
    </row>
    <row r="16079" spans="1:1">
      <c r="A16079" s="27">
        <v>0</v>
      </c>
    </row>
    <row r="16080" spans="1:1">
      <c r="A16080" s="27">
        <v>1</v>
      </c>
    </row>
    <row r="16081" spans="1:1">
      <c r="A16081" s="27">
        <v>0</v>
      </c>
    </row>
    <row r="16082" spans="1:1">
      <c r="A16082" s="27">
        <v>60</v>
      </c>
    </row>
    <row r="16083" spans="1:1">
      <c r="A16083" s="27">
        <v>3.3</v>
      </c>
    </row>
    <row r="16084" spans="1:1">
      <c r="A16084" s="29">
        <v>0.66180555555555554</v>
      </c>
    </row>
    <row r="16085" spans="1:1">
      <c r="A16085" s="27">
        <v>22.1</v>
      </c>
    </row>
    <row r="16086" spans="1:1">
      <c r="A16086" s="28">
        <v>0</v>
      </c>
    </row>
    <row r="16087" spans="1:1">
      <c r="A16087" s="25">
        <v>767</v>
      </c>
    </row>
    <row r="16088" spans="1:1" ht="45">
      <c r="A16088" s="26" t="s">
        <v>63</v>
      </c>
    </row>
    <row r="16089" spans="1:1">
      <c r="A16089" s="27" t="s">
        <v>44</v>
      </c>
    </row>
    <row r="16090" spans="1:1">
      <c r="A16090" s="27">
        <v>21</v>
      </c>
    </row>
    <row r="16091" spans="1:1">
      <c r="A16091" s="27">
        <v>2</v>
      </c>
    </row>
    <row r="16092" spans="1:1">
      <c r="A16092" s="27">
        <v>4</v>
      </c>
    </row>
    <row r="16093" spans="1:1">
      <c r="A16093" s="27">
        <v>6</v>
      </c>
    </row>
    <row r="16094" spans="1:1">
      <c r="A16094" s="27">
        <v>1</v>
      </c>
    </row>
    <row r="16095" spans="1:1">
      <c r="A16095" s="27">
        <v>8</v>
      </c>
    </row>
    <row r="16096" spans="1:1">
      <c r="A16096" s="27">
        <v>0.28999999999999998</v>
      </c>
    </row>
    <row r="16097" spans="1:1">
      <c r="A16097" s="27">
        <v>0</v>
      </c>
    </row>
    <row r="16098" spans="1:1">
      <c r="A16098" s="27">
        <v>0</v>
      </c>
    </row>
    <row r="16099" spans="1:1">
      <c r="A16099" s="27">
        <v>0</v>
      </c>
    </row>
    <row r="16100" spans="1:1">
      <c r="A16100" s="27">
        <v>0</v>
      </c>
    </row>
    <row r="16101" spans="1:1">
      <c r="A16101" s="27">
        <v>0</v>
      </c>
    </row>
    <row r="16102" spans="1:1">
      <c r="A16102" s="27">
        <v>0</v>
      </c>
    </row>
    <row r="16103" spans="1:1">
      <c r="A16103" s="27">
        <v>17</v>
      </c>
    </row>
    <row r="16104" spans="1:1">
      <c r="A16104" s="27">
        <v>11.8</v>
      </c>
    </row>
    <row r="16105" spans="1:1">
      <c r="A16105" s="29">
        <v>0.35694444444444445</v>
      </c>
    </row>
    <row r="16106" spans="1:1">
      <c r="A16106" s="27">
        <v>13.9</v>
      </c>
    </row>
    <row r="16107" spans="1:1">
      <c r="A16107" s="28">
        <v>0</v>
      </c>
    </row>
    <row r="16108" spans="1:1">
      <c r="A16108" s="25">
        <v>768</v>
      </c>
    </row>
    <row r="16109" spans="1:1" ht="30">
      <c r="A16109" s="26" t="s">
        <v>543</v>
      </c>
    </row>
    <row r="16110" spans="1:1">
      <c r="A16110" s="27" t="s">
        <v>653</v>
      </c>
    </row>
    <row r="16111" spans="1:1">
      <c r="A16111" s="27">
        <v>35</v>
      </c>
    </row>
    <row r="16112" spans="1:1">
      <c r="A16112" s="27">
        <v>2</v>
      </c>
    </row>
    <row r="16113" spans="1:1">
      <c r="A16113" s="27">
        <v>4</v>
      </c>
    </row>
    <row r="16114" spans="1:1">
      <c r="A16114" s="27">
        <v>6</v>
      </c>
    </row>
    <row r="16115" spans="1:1">
      <c r="A16115" s="27">
        <v>-6</v>
      </c>
    </row>
    <row r="16116" spans="1:1">
      <c r="A16116" s="27">
        <v>15</v>
      </c>
    </row>
    <row r="16117" spans="1:1">
      <c r="A16117" s="27">
        <v>0.17</v>
      </c>
    </row>
    <row r="16118" spans="1:1">
      <c r="A16118" s="27">
        <v>0</v>
      </c>
    </row>
    <row r="16119" spans="1:1">
      <c r="A16119" s="27">
        <v>1</v>
      </c>
    </row>
    <row r="16120" spans="1:1">
      <c r="A16120" s="27">
        <v>0</v>
      </c>
    </row>
    <row r="16121" spans="1:1">
      <c r="A16121" s="27">
        <v>0</v>
      </c>
    </row>
    <row r="16122" spans="1:1">
      <c r="A16122" s="27">
        <v>0</v>
      </c>
    </row>
    <row r="16123" spans="1:1">
      <c r="A16123" s="27">
        <v>0</v>
      </c>
    </row>
    <row r="16124" spans="1:1">
      <c r="A16124" s="27">
        <v>24</v>
      </c>
    </row>
    <row r="16125" spans="1:1">
      <c r="A16125" s="27">
        <v>8.3000000000000007</v>
      </c>
    </row>
    <row r="16126" spans="1:1">
      <c r="A16126" s="29">
        <v>0.43124999999999997</v>
      </c>
    </row>
    <row r="16127" spans="1:1">
      <c r="A16127" s="27">
        <v>14.1</v>
      </c>
    </row>
    <row r="16128" spans="1:1">
      <c r="A16128" s="28">
        <v>49.8</v>
      </c>
    </row>
    <row r="16129" spans="1:1">
      <c r="A16129" s="25">
        <v>769</v>
      </c>
    </row>
    <row r="16130" spans="1:1" ht="30">
      <c r="A16130" s="26" t="s">
        <v>468</v>
      </c>
    </row>
    <row r="16131" spans="1:1">
      <c r="A16131" s="27" t="s">
        <v>42</v>
      </c>
    </row>
    <row r="16132" spans="1:1">
      <c r="A16132" s="27">
        <v>26</v>
      </c>
    </row>
    <row r="16133" spans="1:1">
      <c r="A16133" s="27">
        <v>1</v>
      </c>
    </row>
    <row r="16134" spans="1:1">
      <c r="A16134" s="27">
        <v>5</v>
      </c>
    </row>
    <row r="16135" spans="1:1">
      <c r="A16135" s="27">
        <v>6</v>
      </c>
    </row>
    <row r="16136" spans="1:1">
      <c r="A16136" s="27">
        <v>-12</v>
      </c>
    </row>
    <row r="16137" spans="1:1">
      <c r="A16137" s="27">
        <v>6</v>
      </c>
    </row>
    <row r="16138" spans="1:1">
      <c r="A16138" s="27">
        <v>0.23</v>
      </c>
    </row>
    <row r="16139" spans="1:1">
      <c r="A16139" s="27">
        <v>0</v>
      </c>
    </row>
    <row r="16140" spans="1:1">
      <c r="A16140" s="27">
        <v>1</v>
      </c>
    </row>
    <row r="16141" spans="1:1">
      <c r="A16141" s="27">
        <v>0</v>
      </c>
    </row>
    <row r="16142" spans="1:1">
      <c r="A16142" s="27">
        <v>0</v>
      </c>
    </row>
    <row r="16143" spans="1:1">
      <c r="A16143" s="27">
        <v>0</v>
      </c>
    </row>
    <row r="16144" spans="1:1">
      <c r="A16144" s="27">
        <v>0</v>
      </c>
    </row>
    <row r="16145" spans="1:1">
      <c r="A16145" s="27">
        <v>25</v>
      </c>
    </row>
    <row r="16146" spans="1:1">
      <c r="A16146" s="27">
        <v>4</v>
      </c>
    </row>
    <row r="16147" spans="1:1">
      <c r="A16147" s="29">
        <v>0.76250000000000007</v>
      </c>
    </row>
    <row r="16148" spans="1:1">
      <c r="A16148" s="27">
        <v>23.2</v>
      </c>
    </row>
    <row r="16149" spans="1:1">
      <c r="A16149" s="28">
        <v>0</v>
      </c>
    </row>
    <row r="16150" spans="1:1">
      <c r="A16150" s="25">
        <v>770</v>
      </c>
    </row>
    <row r="16151" spans="1:1" ht="30">
      <c r="A16151" s="26" t="s">
        <v>879</v>
      </c>
    </row>
    <row r="16152" spans="1:1">
      <c r="A16152" s="27" t="s">
        <v>44</v>
      </c>
    </row>
    <row r="16153" spans="1:1">
      <c r="A16153" s="27">
        <v>37</v>
      </c>
    </row>
    <row r="16154" spans="1:1">
      <c r="A16154" s="27">
        <v>1</v>
      </c>
    </row>
    <row r="16155" spans="1:1">
      <c r="A16155" s="27">
        <v>5</v>
      </c>
    </row>
    <row r="16156" spans="1:1">
      <c r="A16156" s="27">
        <v>6</v>
      </c>
    </row>
    <row r="16157" spans="1:1">
      <c r="A16157" s="27">
        <v>-2</v>
      </c>
    </row>
    <row r="16158" spans="1:1">
      <c r="A16158" s="27">
        <v>47</v>
      </c>
    </row>
    <row r="16159" spans="1:1">
      <c r="A16159" s="27">
        <v>0.16</v>
      </c>
    </row>
    <row r="16160" spans="1:1">
      <c r="A16160" s="27">
        <v>0</v>
      </c>
    </row>
    <row r="16161" spans="1:1">
      <c r="A16161" s="27">
        <v>0</v>
      </c>
    </row>
    <row r="16162" spans="1:1">
      <c r="A16162" s="27">
        <v>0</v>
      </c>
    </row>
    <row r="16163" spans="1:1">
      <c r="A16163" s="27">
        <v>0</v>
      </c>
    </row>
    <row r="16164" spans="1:1">
      <c r="A16164" s="27">
        <v>0</v>
      </c>
    </row>
    <row r="16165" spans="1:1">
      <c r="A16165" s="27">
        <v>0</v>
      </c>
    </row>
    <row r="16166" spans="1:1">
      <c r="A16166" s="27">
        <v>30</v>
      </c>
    </row>
    <row r="16167" spans="1:1">
      <c r="A16167" s="27">
        <v>3.3</v>
      </c>
    </row>
    <row r="16168" spans="1:1">
      <c r="A16168" s="29">
        <v>0.32430555555555557</v>
      </c>
    </row>
    <row r="16169" spans="1:1">
      <c r="A16169" s="27">
        <v>11.7</v>
      </c>
    </row>
    <row r="16170" spans="1:1">
      <c r="A16170" s="28">
        <v>37.5</v>
      </c>
    </row>
    <row r="16171" spans="1:1">
      <c r="A16171" s="25">
        <v>771</v>
      </c>
    </row>
    <row r="16172" spans="1:1" ht="30">
      <c r="A16172" s="26" t="s">
        <v>1079</v>
      </c>
    </row>
    <row r="16173" spans="1:1">
      <c r="A16173" s="27" t="s">
        <v>42</v>
      </c>
    </row>
    <row r="16174" spans="1:1">
      <c r="A16174" s="27">
        <v>33</v>
      </c>
    </row>
    <row r="16175" spans="1:1">
      <c r="A16175" s="27">
        <v>1</v>
      </c>
    </row>
    <row r="16176" spans="1:1">
      <c r="A16176" s="27">
        <v>5</v>
      </c>
    </row>
    <row r="16177" spans="1:1">
      <c r="A16177" s="27">
        <v>6</v>
      </c>
    </row>
    <row r="16178" spans="1:1">
      <c r="A16178" s="27">
        <v>-6</v>
      </c>
    </row>
    <row r="16179" spans="1:1">
      <c r="A16179" s="27">
        <v>8</v>
      </c>
    </row>
    <row r="16180" spans="1:1">
      <c r="A16180" s="27">
        <v>0.18</v>
      </c>
    </row>
    <row r="16181" spans="1:1">
      <c r="A16181" s="27">
        <v>0</v>
      </c>
    </row>
    <row r="16182" spans="1:1">
      <c r="A16182" s="27">
        <v>0</v>
      </c>
    </row>
    <row r="16183" spans="1:1">
      <c r="A16183" s="27">
        <v>0</v>
      </c>
    </row>
    <row r="16184" spans="1:1">
      <c r="A16184" s="27">
        <v>0</v>
      </c>
    </row>
    <row r="16185" spans="1:1">
      <c r="A16185" s="27">
        <v>0</v>
      </c>
    </row>
    <row r="16186" spans="1:1">
      <c r="A16186" s="27">
        <v>0</v>
      </c>
    </row>
    <row r="16187" spans="1:1">
      <c r="A16187" s="27">
        <v>38</v>
      </c>
    </row>
    <row r="16188" spans="1:1">
      <c r="A16188" s="27">
        <v>2.6</v>
      </c>
    </row>
    <row r="16189" spans="1:1">
      <c r="A16189" s="29">
        <v>0.6694444444444444</v>
      </c>
    </row>
    <row r="16190" spans="1:1">
      <c r="A16190" s="27">
        <v>20.6</v>
      </c>
    </row>
    <row r="16191" spans="1:1">
      <c r="A16191" s="28">
        <v>0</v>
      </c>
    </row>
    <row r="16192" spans="1:1">
      <c r="A16192" s="25">
        <v>772</v>
      </c>
    </row>
    <row r="16193" spans="1:1" ht="30">
      <c r="A16193" s="26" t="s">
        <v>1047</v>
      </c>
    </row>
    <row r="16194" spans="1:1">
      <c r="A16194" s="27" t="s">
        <v>42</v>
      </c>
    </row>
    <row r="16195" spans="1:1">
      <c r="A16195" s="27">
        <v>33</v>
      </c>
    </row>
    <row r="16196" spans="1:1">
      <c r="A16196" s="27">
        <v>1</v>
      </c>
    </row>
    <row r="16197" spans="1:1">
      <c r="A16197" s="27">
        <v>5</v>
      </c>
    </row>
    <row r="16198" spans="1:1">
      <c r="A16198" s="27">
        <v>6</v>
      </c>
    </row>
    <row r="16199" spans="1:1">
      <c r="A16199" s="27">
        <v>-8</v>
      </c>
    </row>
    <row r="16200" spans="1:1">
      <c r="A16200" s="27">
        <v>20</v>
      </c>
    </row>
    <row r="16201" spans="1:1">
      <c r="A16201" s="27">
        <v>0.18</v>
      </c>
    </row>
    <row r="16202" spans="1:1">
      <c r="A16202" s="27">
        <v>0</v>
      </c>
    </row>
    <row r="16203" spans="1:1">
      <c r="A16203" s="27">
        <v>0</v>
      </c>
    </row>
    <row r="16204" spans="1:1">
      <c r="A16204" s="27">
        <v>0</v>
      </c>
    </row>
    <row r="16205" spans="1:1">
      <c r="A16205" s="27">
        <v>0</v>
      </c>
    </row>
    <row r="16206" spans="1:1">
      <c r="A16206" s="27">
        <v>0</v>
      </c>
    </row>
    <row r="16207" spans="1:1">
      <c r="A16207" s="27">
        <v>0</v>
      </c>
    </row>
    <row r="16208" spans="1:1">
      <c r="A16208" s="27">
        <v>37</v>
      </c>
    </row>
    <row r="16209" spans="1:1">
      <c r="A16209" s="27">
        <v>2.7</v>
      </c>
    </row>
    <row r="16210" spans="1:1">
      <c r="A16210" s="29">
        <v>0.72569444444444453</v>
      </c>
    </row>
    <row r="16211" spans="1:1">
      <c r="A16211" s="27">
        <v>21.6</v>
      </c>
    </row>
    <row r="16212" spans="1:1">
      <c r="A16212" s="28">
        <v>0</v>
      </c>
    </row>
    <row r="16213" spans="1:1">
      <c r="A16213" s="25">
        <v>773</v>
      </c>
    </row>
    <row r="16214" spans="1:1" ht="30">
      <c r="A16214" s="26" t="s">
        <v>278</v>
      </c>
    </row>
    <row r="16215" spans="1:1">
      <c r="A16215" s="27" t="s">
        <v>42</v>
      </c>
    </row>
    <row r="16216" spans="1:1">
      <c r="A16216" s="27">
        <v>21</v>
      </c>
    </row>
    <row r="16217" spans="1:1">
      <c r="A16217" s="27">
        <v>1</v>
      </c>
    </row>
    <row r="16218" spans="1:1">
      <c r="A16218" s="27">
        <v>5</v>
      </c>
    </row>
    <row r="16219" spans="1:1">
      <c r="A16219" s="27">
        <v>6</v>
      </c>
    </row>
    <row r="16220" spans="1:1">
      <c r="A16220" s="27">
        <v>-2</v>
      </c>
    </row>
    <row r="16221" spans="1:1">
      <c r="A16221" s="27">
        <v>20</v>
      </c>
    </row>
    <row r="16222" spans="1:1">
      <c r="A16222" s="27">
        <v>0.28999999999999998</v>
      </c>
    </row>
    <row r="16223" spans="1:1">
      <c r="A16223" s="27">
        <v>0</v>
      </c>
    </row>
    <row r="16224" spans="1:1">
      <c r="A16224" s="27">
        <v>0</v>
      </c>
    </row>
    <row r="16225" spans="1:1">
      <c r="A16225" s="27">
        <v>0</v>
      </c>
    </row>
    <row r="16226" spans="1:1">
      <c r="A16226" s="27">
        <v>0</v>
      </c>
    </row>
    <row r="16227" spans="1:1">
      <c r="A16227" s="27">
        <v>0</v>
      </c>
    </row>
    <row r="16228" spans="1:1">
      <c r="A16228" s="27">
        <v>0</v>
      </c>
    </row>
    <row r="16229" spans="1:1">
      <c r="A16229" s="27">
        <v>23</v>
      </c>
    </row>
    <row r="16230" spans="1:1">
      <c r="A16230" s="27">
        <v>4.3</v>
      </c>
    </row>
    <row r="16231" spans="1:1">
      <c r="A16231" s="29">
        <v>0.66111111111111109</v>
      </c>
    </row>
    <row r="16232" spans="1:1">
      <c r="A16232" s="27">
        <v>22.5</v>
      </c>
    </row>
    <row r="16233" spans="1:1">
      <c r="A16233" s="28">
        <v>0</v>
      </c>
    </row>
    <row r="16234" spans="1:1">
      <c r="A16234" s="25">
        <v>774</v>
      </c>
    </row>
    <row r="16235" spans="1:1" ht="30">
      <c r="A16235" s="26" t="s">
        <v>273</v>
      </c>
    </row>
    <row r="16236" spans="1:1">
      <c r="A16236" s="27" t="s">
        <v>42</v>
      </c>
    </row>
    <row r="16237" spans="1:1">
      <c r="A16237" s="27">
        <v>31</v>
      </c>
    </row>
    <row r="16238" spans="1:1">
      <c r="A16238" s="27">
        <v>1</v>
      </c>
    </row>
    <row r="16239" spans="1:1">
      <c r="A16239" s="27">
        <v>5</v>
      </c>
    </row>
    <row r="16240" spans="1:1">
      <c r="A16240" s="27">
        <v>6</v>
      </c>
    </row>
    <row r="16241" spans="1:1">
      <c r="A16241" s="27">
        <v>-1</v>
      </c>
    </row>
    <row r="16242" spans="1:1">
      <c r="A16242" s="27">
        <v>18</v>
      </c>
    </row>
    <row r="16243" spans="1:1">
      <c r="A16243" s="27">
        <v>0.19</v>
      </c>
    </row>
    <row r="16244" spans="1:1">
      <c r="A16244" s="27">
        <v>0</v>
      </c>
    </row>
    <row r="16245" spans="1:1">
      <c r="A16245" s="27">
        <v>0</v>
      </c>
    </row>
    <row r="16246" spans="1:1">
      <c r="A16246" s="27">
        <v>0</v>
      </c>
    </row>
    <row r="16247" spans="1:1">
      <c r="A16247" s="27">
        <v>0</v>
      </c>
    </row>
    <row r="16248" spans="1:1">
      <c r="A16248" s="27">
        <v>0</v>
      </c>
    </row>
    <row r="16249" spans="1:1">
      <c r="A16249" s="27">
        <v>0</v>
      </c>
    </row>
    <row r="16250" spans="1:1">
      <c r="A16250" s="27">
        <v>32</v>
      </c>
    </row>
    <row r="16251" spans="1:1">
      <c r="A16251" s="27">
        <v>3.1</v>
      </c>
    </row>
    <row r="16252" spans="1:1">
      <c r="A16252" s="29">
        <v>0.68611111111111101</v>
      </c>
    </row>
    <row r="16253" spans="1:1">
      <c r="A16253" s="27">
        <v>21.7</v>
      </c>
    </row>
    <row r="16254" spans="1:1">
      <c r="A16254" s="28">
        <v>0</v>
      </c>
    </row>
    <row r="16255" spans="1:1">
      <c r="A16255" s="25">
        <v>775</v>
      </c>
    </row>
    <row r="16256" spans="1:1" ht="30">
      <c r="A16256" s="26" t="s">
        <v>1092</v>
      </c>
    </row>
    <row r="16257" spans="1:1">
      <c r="A16257" s="27" t="s">
        <v>42</v>
      </c>
    </row>
    <row r="16258" spans="1:1">
      <c r="A16258" s="27">
        <v>53</v>
      </c>
    </row>
    <row r="16259" spans="1:1">
      <c r="A16259" s="27">
        <v>0</v>
      </c>
    </row>
    <row r="16260" spans="1:1">
      <c r="A16260" s="27">
        <v>6</v>
      </c>
    </row>
    <row r="16261" spans="1:1">
      <c r="A16261" s="27">
        <v>6</v>
      </c>
    </row>
    <row r="16262" spans="1:1">
      <c r="A16262" s="27">
        <v>-7</v>
      </c>
    </row>
    <row r="16263" spans="1:1">
      <c r="A16263" s="27">
        <v>78</v>
      </c>
    </row>
    <row r="16264" spans="1:1">
      <c r="A16264" s="27">
        <v>0.11</v>
      </c>
    </row>
    <row r="16265" spans="1:1">
      <c r="A16265" s="27">
        <v>0</v>
      </c>
    </row>
    <row r="16266" spans="1:1">
      <c r="A16266" s="27">
        <v>0</v>
      </c>
    </row>
    <row r="16267" spans="1:1">
      <c r="A16267" s="27">
        <v>0</v>
      </c>
    </row>
    <row r="16268" spans="1:1">
      <c r="A16268" s="27">
        <v>0</v>
      </c>
    </row>
    <row r="16269" spans="1:1">
      <c r="A16269" s="27">
        <v>0</v>
      </c>
    </row>
    <row r="16270" spans="1:1">
      <c r="A16270" s="27">
        <v>0</v>
      </c>
    </row>
    <row r="16271" spans="1:1">
      <c r="A16271" s="27">
        <v>23</v>
      </c>
    </row>
    <row r="16272" spans="1:1">
      <c r="A16272" s="27">
        <v>0</v>
      </c>
    </row>
    <row r="16273" spans="1:1">
      <c r="A16273" s="29">
        <v>0.56041666666666667</v>
      </c>
    </row>
    <row r="16274" spans="1:1">
      <c r="A16274" s="27">
        <v>18.399999999999999</v>
      </c>
    </row>
    <row r="16275" spans="1:1">
      <c r="A16275" s="28">
        <v>0</v>
      </c>
    </row>
    <row r="16276" spans="1:1">
      <c r="A16276" s="25">
        <v>776</v>
      </c>
    </row>
    <row r="16277" spans="1:1" ht="45">
      <c r="A16277" s="26" t="s">
        <v>629</v>
      </c>
    </row>
    <row r="16278" spans="1:1">
      <c r="A16278" s="27" t="s">
        <v>44</v>
      </c>
    </row>
    <row r="16279" spans="1:1">
      <c r="A16279" s="27">
        <v>12</v>
      </c>
    </row>
    <row r="16280" spans="1:1">
      <c r="A16280" s="27">
        <v>4</v>
      </c>
    </row>
    <row r="16281" spans="1:1">
      <c r="A16281" s="27">
        <v>1</v>
      </c>
    </row>
    <row r="16282" spans="1:1">
      <c r="A16282" s="27">
        <v>5</v>
      </c>
    </row>
    <row r="16283" spans="1:1">
      <c r="A16283" s="27">
        <v>2</v>
      </c>
    </row>
    <row r="16284" spans="1:1">
      <c r="A16284" s="27">
        <v>2</v>
      </c>
    </row>
    <row r="16285" spans="1:1">
      <c r="A16285" s="27">
        <v>0.42</v>
      </c>
    </row>
    <row r="16286" spans="1:1">
      <c r="A16286" s="27">
        <v>0</v>
      </c>
    </row>
    <row r="16287" spans="1:1">
      <c r="A16287" s="27">
        <v>0</v>
      </c>
    </row>
    <row r="16288" spans="1:1">
      <c r="A16288" s="27">
        <v>0</v>
      </c>
    </row>
    <row r="16289" spans="1:1">
      <c r="A16289" s="27">
        <v>0</v>
      </c>
    </row>
    <row r="16290" spans="1:1">
      <c r="A16290" s="27">
        <v>1</v>
      </c>
    </row>
    <row r="16291" spans="1:1">
      <c r="A16291" s="27">
        <v>0</v>
      </c>
    </row>
    <row r="16292" spans="1:1">
      <c r="A16292" s="27">
        <v>15</v>
      </c>
    </row>
    <row r="16293" spans="1:1">
      <c r="A16293" s="27">
        <v>26.7</v>
      </c>
    </row>
    <row r="16294" spans="1:1">
      <c r="A16294" s="29">
        <v>0.46111111111111108</v>
      </c>
    </row>
    <row r="16295" spans="1:1">
      <c r="A16295" s="27">
        <v>15.6</v>
      </c>
    </row>
    <row r="16296" spans="1:1">
      <c r="A16296" s="28">
        <v>49.5</v>
      </c>
    </row>
    <row r="16297" spans="1:1">
      <c r="A16297" s="25">
        <v>777</v>
      </c>
    </row>
    <row r="16298" spans="1:1" ht="30">
      <c r="A16298" s="26" t="s">
        <v>1114</v>
      </c>
    </row>
    <row r="16299" spans="1:1">
      <c r="A16299" s="27" t="s">
        <v>42</v>
      </c>
    </row>
    <row r="16300" spans="1:1">
      <c r="A16300" s="27">
        <v>64</v>
      </c>
    </row>
    <row r="16301" spans="1:1">
      <c r="A16301" s="27">
        <v>3</v>
      </c>
    </row>
    <row r="16302" spans="1:1">
      <c r="A16302" s="27">
        <v>2</v>
      </c>
    </row>
    <row r="16303" spans="1:1">
      <c r="A16303" s="27">
        <v>5</v>
      </c>
    </row>
    <row r="16304" spans="1:1">
      <c r="A16304" s="27">
        <v>4</v>
      </c>
    </row>
    <row r="16305" spans="1:1">
      <c r="A16305" s="27">
        <v>119</v>
      </c>
    </row>
    <row r="16306" spans="1:1">
      <c r="A16306" s="27">
        <v>0.08</v>
      </c>
    </row>
    <row r="16307" spans="1:1">
      <c r="A16307" s="27">
        <v>0</v>
      </c>
    </row>
    <row r="16308" spans="1:1">
      <c r="A16308" s="27">
        <v>0</v>
      </c>
    </row>
    <row r="16309" spans="1:1">
      <c r="A16309" s="27">
        <v>0</v>
      </c>
    </row>
    <row r="16310" spans="1:1">
      <c r="A16310" s="27">
        <v>0</v>
      </c>
    </row>
    <row r="16311" spans="1:1">
      <c r="A16311" s="27">
        <v>0</v>
      </c>
    </row>
    <row r="16312" spans="1:1">
      <c r="A16312" s="27">
        <v>0</v>
      </c>
    </row>
    <row r="16313" spans="1:1">
      <c r="A16313" s="27">
        <v>50</v>
      </c>
    </row>
    <row r="16314" spans="1:1">
      <c r="A16314" s="27">
        <v>6</v>
      </c>
    </row>
    <row r="16315" spans="1:1">
      <c r="A16315" s="29">
        <v>0.56874999999999998</v>
      </c>
    </row>
    <row r="16316" spans="1:1">
      <c r="A16316" s="27">
        <v>19.100000000000001</v>
      </c>
    </row>
    <row r="16317" spans="1:1">
      <c r="A16317" s="28">
        <v>0</v>
      </c>
    </row>
    <row r="16318" spans="1:1">
      <c r="A16318" s="25">
        <v>778</v>
      </c>
    </row>
    <row r="16319" spans="1:1" ht="30">
      <c r="A16319" s="26" t="s">
        <v>115</v>
      </c>
    </row>
    <row r="16320" spans="1:1">
      <c r="A16320" s="27" t="s">
        <v>653</v>
      </c>
    </row>
    <row r="16321" spans="1:1">
      <c r="A16321" s="27">
        <v>49</v>
      </c>
    </row>
    <row r="16322" spans="1:1">
      <c r="A16322" s="27">
        <v>3</v>
      </c>
    </row>
    <row r="16323" spans="1:1">
      <c r="A16323" s="27">
        <v>2</v>
      </c>
    </row>
    <row r="16324" spans="1:1">
      <c r="A16324" s="27">
        <v>5</v>
      </c>
    </row>
    <row r="16325" spans="1:1">
      <c r="A16325" s="27">
        <v>0</v>
      </c>
    </row>
    <row r="16326" spans="1:1">
      <c r="A16326" s="27">
        <v>19</v>
      </c>
    </row>
    <row r="16327" spans="1:1">
      <c r="A16327" s="27">
        <v>0.1</v>
      </c>
    </row>
    <row r="16328" spans="1:1">
      <c r="A16328" s="27">
        <v>0</v>
      </c>
    </row>
    <row r="16329" spans="1:1">
      <c r="A16329" s="27">
        <v>0</v>
      </c>
    </row>
    <row r="16330" spans="1:1">
      <c r="A16330" s="27">
        <v>0</v>
      </c>
    </row>
    <row r="16331" spans="1:1">
      <c r="A16331" s="27">
        <v>0</v>
      </c>
    </row>
    <row r="16332" spans="1:1">
      <c r="A16332" s="27">
        <v>0</v>
      </c>
    </row>
    <row r="16333" spans="1:1">
      <c r="A16333" s="27">
        <v>0</v>
      </c>
    </row>
    <row r="16334" spans="1:1">
      <c r="A16334" s="27">
        <v>36</v>
      </c>
    </row>
    <row r="16335" spans="1:1">
      <c r="A16335" s="27">
        <v>8.3000000000000007</v>
      </c>
    </row>
    <row r="16336" spans="1:1">
      <c r="A16336" s="29">
        <v>0.35069444444444442</v>
      </c>
    </row>
    <row r="16337" spans="1:1">
      <c r="A16337" s="27">
        <v>12.1</v>
      </c>
    </row>
    <row r="16338" spans="1:1">
      <c r="A16338" s="28">
        <v>42.4</v>
      </c>
    </row>
    <row r="16339" spans="1:1">
      <c r="A16339" s="25">
        <v>779</v>
      </c>
    </row>
    <row r="16340" spans="1:1" ht="30">
      <c r="A16340" s="26" t="s">
        <v>740</v>
      </c>
    </row>
    <row r="16341" spans="1:1">
      <c r="A16341" s="27" t="s">
        <v>653</v>
      </c>
    </row>
    <row r="16342" spans="1:1">
      <c r="A16342" s="27">
        <v>19</v>
      </c>
    </row>
    <row r="16343" spans="1:1">
      <c r="A16343" s="27">
        <v>3</v>
      </c>
    </row>
    <row r="16344" spans="1:1">
      <c r="A16344" s="27">
        <v>2</v>
      </c>
    </row>
    <row r="16345" spans="1:1">
      <c r="A16345" s="27">
        <v>5</v>
      </c>
    </row>
    <row r="16346" spans="1:1">
      <c r="A16346" s="27">
        <v>3</v>
      </c>
    </row>
    <row r="16347" spans="1:1">
      <c r="A16347" s="27">
        <v>4</v>
      </c>
    </row>
    <row r="16348" spans="1:1">
      <c r="A16348" s="27">
        <v>0.26</v>
      </c>
    </row>
    <row r="16349" spans="1:1">
      <c r="A16349" s="27">
        <v>0</v>
      </c>
    </row>
    <row r="16350" spans="1:1">
      <c r="A16350" s="27">
        <v>0</v>
      </c>
    </row>
    <row r="16351" spans="1:1">
      <c r="A16351" s="27">
        <v>0</v>
      </c>
    </row>
    <row r="16352" spans="1:1">
      <c r="A16352" s="27">
        <v>0</v>
      </c>
    </row>
    <row r="16353" spans="1:1">
      <c r="A16353" s="27">
        <v>1</v>
      </c>
    </row>
    <row r="16354" spans="1:1">
      <c r="A16354" s="27">
        <v>0</v>
      </c>
    </row>
    <row r="16355" spans="1:1">
      <c r="A16355" s="27">
        <v>28</v>
      </c>
    </row>
    <row r="16356" spans="1:1">
      <c r="A16356" s="27">
        <v>10.7</v>
      </c>
    </row>
    <row r="16357" spans="1:1">
      <c r="A16357" s="29">
        <v>0.51874999999999993</v>
      </c>
    </row>
    <row r="16358" spans="1:1">
      <c r="A16358" s="27">
        <v>16.8</v>
      </c>
    </row>
    <row r="16359" spans="1:1">
      <c r="A16359" s="28">
        <v>50</v>
      </c>
    </row>
    <row r="16360" spans="1:1">
      <c r="A16360" s="25">
        <v>780</v>
      </c>
    </row>
    <row r="16361" spans="1:1" ht="30">
      <c r="A16361" s="26" t="s">
        <v>1095</v>
      </c>
    </row>
    <row r="16362" spans="1:1">
      <c r="A16362" s="27" t="s">
        <v>43</v>
      </c>
    </row>
    <row r="16363" spans="1:1">
      <c r="A16363" s="27">
        <v>38</v>
      </c>
    </row>
    <row r="16364" spans="1:1">
      <c r="A16364" s="27">
        <v>2</v>
      </c>
    </row>
    <row r="16365" spans="1:1">
      <c r="A16365" s="27">
        <v>3</v>
      </c>
    </row>
    <row r="16366" spans="1:1">
      <c r="A16366" s="27">
        <v>5</v>
      </c>
    </row>
    <row r="16367" spans="1:1">
      <c r="A16367" s="27">
        <v>1</v>
      </c>
    </row>
    <row r="16368" spans="1:1">
      <c r="A16368" s="27">
        <v>98</v>
      </c>
    </row>
    <row r="16369" spans="1:1">
      <c r="A16369" s="27">
        <v>0.13</v>
      </c>
    </row>
    <row r="16370" spans="1:1">
      <c r="A16370" s="27">
        <v>0</v>
      </c>
    </row>
    <row r="16371" spans="1:1">
      <c r="A16371" s="27">
        <v>0</v>
      </c>
    </row>
    <row r="16372" spans="1:1">
      <c r="A16372" s="27">
        <v>0</v>
      </c>
    </row>
    <row r="16373" spans="1:1">
      <c r="A16373" s="27">
        <v>0</v>
      </c>
    </row>
    <row r="16374" spans="1:1">
      <c r="A16374" s="27">
        <v>1</v>
      </c>
    </row>
    <row r="16375" spans="1:1">
      <c r="A16375" s="27">
        <v>0</v>
      </c>
    </row>
    <row r="16376" spans="1:1">
      <c r="A16376" s="27">
        <v>11</v>
      </c>
    </row>
    <row r="16377" spans="1:1">
      <c r="A16377" s="27">
        <v>18.2</v>
      </c>
    </row>
    <row r="16378" spans="1:1">
      <c r="A16378" s="29">
        <v>0.27569444444444446</v>
      </c>
    </row>
    <row r="16379" spans="1:1">
      <c r="A16379" s="27">
        <v>10.3</v>
      </c>
    </row>
    <row r="16380" spans="1:1">
      <c r="A16380" s="28">
        <v>0</v>
      </c>
    </row>
    <row r="16381" spans="1:1">
      <c r="A16381" s="25">
        <v>781</v>
      </c>
    </row>
    <row r="16382" spans="1:1">
      <c r="A16382" s="26" t="s">
        <v>674</v>
      </c>
    </row>
    <row r="16383" spans="1:1">
      <c r="A16383" s="27" t="s">
        <v>653</v>
      </c>
    </row>
    <row r="16384" spans="1:1">
      <c r="A16384" s="27">
        <v>42</v>
      </c>
    </row>
    <row r="16385" spans="1:1">
      <c r="A16385" s="27">
        <v>2</v>
      </c>
    </row>
    <row r="16386" spans="1:1">
      <c r="A16386" s="27">
        <v>3</v>
      </c>
    </row>
    <row r="16387" spans="1:1">
      <c r="A16387" s="27">
        <v>5</v>
      </c>
    </row>
    <row r="16388" spans="1:1">
      <c r="A16388" s="27">
        <v>-4</v>
      </c>
    </row>
    <row r="16389" spans="1:1">
      <c r="A16389" s="27">
        <v>6</v>
      </c>
    </row>
    <row r="16390" spans="1:1">
      <c r="A16390" s="27">
        <v>0.12</v>
      </c>
    </row>
    <row r="16391" spans="1:1">
      <c r="A16391" s="27">
        <v>0</v>
      </c>
    </row>
    <row r="16392" spans="1:1">
      <c r="A16392" s="27">
        <v>0</v>
      </c>
    </row>
    <row r="16393" spans="1:1">
      <c r="A16393" s="27">
        <v>0</v>
      </c>
    </row>
    <row r="16394" spans="1:1">
      <c r="A16394" s="27">
        <v>0</v>
      </c>
    </row>
    <row r="16395" spans="1:1">
      <c r="A16395" s="27">
        <v>0</v>
      </c>
    </row>
    <row r="16396" spans="1:1">
      <c r="A16396" s="27">
        <v>0</v>
      </c>
    </row>
    <row r="16397" spans="1:1">
      <c r="A16397" s="27">
        <v>46</v>
      </c>
    </row>
    <row r="16398" spans="1:1">
      <c r="A16398" s="27">
        <v>4.3</v>
      </c>
    </row>
    <row r="16399" spans="1:1">
      <c r="A16399" s="29">
        <v>0.4152777777777778</v>
      </c>
    </row>
    <row r="16400" spans="1:1">
      <c r="A16400" s="27">
        <v>14.1</v>
      </c>
    </row>
    <row r="16401" spans="1:1">
      <c r="A16401" s="28">
        <v>71.400000000000006</v>
      </c>
    </row>
    <row r="16402" spans="1:1">
      <c r="A16402" s="25">
        <v>782</v>
      </c>
    </row>
    <row r="16403" spans="1:1" ht="30">
      <c r="A16403" s="26" t="s">
        <v>849</v>
      </c>
    </row>
    <row r="16404" spans="1:1">
      <c r="A16404" s="27" t="s">
        <v>653</v>
      </c>
    </row>
    <row r="16405" spans="1:1">
      <c r="A16405" s="27">
        <v>22</v>
      </c>
    </row>
    <row r="16406" spans="1:1">
      <c r="A16406" s="27">
        <v>2</v>
      </c>
    </row>
    <row r="16407" spans="1:1">
      <c r="A16407" s="27">
        <v>3</v>
      </c>
    </row>
    <row r="16408" spans="1:1">
      <c r="A16408" s="27">
        <v>5</v>
      </c>
    </row>
    <row r="16409" spans="1:1">
      <c r="A16409" s="27">
        <v>-1</v>
      </c>
    </row>
    <row r="16410" spans="1:1">
      <c r="A16410" s="27">
        <v>0</v>
      </c>
    </row>
    <row r="16411" spans="1:1">
      <c r="A16411" s="27">
        <v>0.23</v>
      </c>
    </row>
    <row r="16412" spans="1:1">
      <c r="A16412" s="27">
        <v>0</v>
      </c>
    </row>
    <row r="16413" spans="1:1">
      <c r="A16413" s="27">
        <v>0</v>
      </c>
    </row>
    <row r="16414" spans="1:1">
      <c r="A16414" s="27">
        <v>0</v>
      </c>
    </row>
    <row r="16415" spans="1:1">
      <c r="A16415" s="27">
        <v>0</v>
      </c>
    </row>
    <row r="16416" spans="1:1">
      <c r="A16416" s="27">
        <v>0</v>
      </c>
    </row>
    <row r="16417" spans="1:1">
      <c r="A16417" s="27">
        <v>0</v>
      </c>
    </row>
    <row r="16418" spans="1:1">
      <c r="A16418" s="27">
        <v>19</v>
      </c>
    </row>
    <row r="16419" spans="1:1">
      <c r="A16419" s="27">
        <v>10.5</v>
      </c>
    </row>
    <row r="16420" spans="1:1">
      <c r="A16420" s="29">
        <v>0.39166666666666666</v>
      </c>
    </row>
    <row r="16421" spans="1:1">
      <c r="A16421" s="27">
        <v>13.4</v>
      </c>
    </row>
    <row r="16422" spans="1:1">
      <c r="A16422" s="28">
        <v>41.5</v>
      </c>
    </row>
    <row r="16423" spans="1:1">
      <c r="A16423" s="25">
        <v>783</v>
      </c>
    </row>
    <row r="16424" spans="1:1" ht="30">
      <c r="A16424" s="26" t="s">
        <v>858</v>
      </c>
    </row>
    <row r="16425" spans="1:1">
      <c r="A16425" s="27" t="s">
        <v>43</v>
      </c>
    </row>
    <row r="16426" spans="1:1">
      <c r="A16426" s="27">
        <v>21</v>
      </c>
    </row>
    <row r="16427" spans="1:1">
      <c r="A16427" s="27">
        <v>2</v>
      </c>
    </row>
    <row r="16428" spans="1:1">
      <c r="A16428" s="27">
        <v>3</v>
      </c>
    </row>
    <row r="16429" spans="1:1">
      <c r="A16429" s="27">
        <v>5</v>
      </c>
    </row>
    <row r="16430" spans="1:1">
      <c r="A16430" s="27">
        <v>2</v>
      </c>
    </row>
    <row r="16431" spans="1:1">
      <c r="A16431" s="27">
        <v>2</v>
      </c>
    </row>
    <row r="16432" spans="1:1">
      <c r="A16432" s="27">
        <v>0.24</v>
      </c>
    </row>
    <row r="16433" spans="1:1">
      <c r="A16433" s="27">
        <v>0</v>
      </c>
    </row>
    <row r="16434" spans="1:1">
      <c r="A16434" s="27">
        <v>0</v>
      </c>
    </row>
    <row r="16435" spans="1:1">
      <c r="A16435" s="27">
        <v>0</v>
      </c>
    </row>
    <row r="16436" spans="1:1">
      <c r="A16436" s="27">
        <v>0</v>
      </c>
    </row>
    <row r="16437" spans="1:1">
      <c r="A16437" s="27">
        <v>0</v>
      </c>
    </row>
    <row r="16438" spans="1:1">
      <c r="A16438" s="27">
        <v>0</v>
      </c>
    </row>
    <row r="16439" spans="1:1">
      <c r="A16439" s="27">
        <v>19</v>
      </c>
    </row>
    <row r="16440" spans="1:1">
      <c r="A16440" s="27">
        <v>10.5</v>
      </c>
    </row>
    <row r="16441" spans="1:1">
      <c r="A16441" s="29">
        <v>0.36319444444444443</v>
      </c>
    </row>
    <row r="16442" spans="1:1">
      <c r="A16442" s="27">
        <v>12.3</v>
      </c>
    </row>
    <row r="16443" spans="1:1">
      <c r="A16443" s="28">
        <v>40</v>
      </c>
    </row>
    <row r="16444" spans="1:1">
      <c r="A16444" s="25">
        <v>784</v>
      </c>
    </row>
    <row r="16445" spans="1:1" ht="30">
      <c r="A16445" s="26" t="s">
        <v>104</v>
      </c>
    </row>
    <row r="16446" spans="1:1">
      <c r="A16446" s="27" t="s">
        <v>42</v>
      </c>
    </row>
    <row r="16447" spans="1:1">
      <c r="A16447" s="27">
        <v>59</v>
      </c>
    </row>
    <row r="16448" spans="1:1">
      <c r="A16448" s="27">
        <v>2</v>
      </c>
    </row>
    <row r="16449" spans="1:1">
      <c r="A16449" s="27">
        <v>3</v>
      </c>
    </row>
    <row r="16450" spans="1:1">
      <c r="A16450" s="27">
        <v>5</v>
      </c>
    </row>
    <row r="16451" spans="1:1">
      <c r="A16451" s="27">
        <v>-9</v>
      </c>
    </row>
    <row r="16452" spans="1:1">
      <c r="A16452" s="27">
        <v>39</v>
      </c>
    </row>
    <row r="16453" spans="1:1">
      <c r="A16453" s="27">
        <v>0.08</v>
      </c>
    </row>
    <row r="16454" spans="1:1">
      <c r="A16454" s="27">
        <v>0</v>
      </c>
    </row>
    <row r="16455" spans="1:1">
      <c r="A16455" s="27">
        <v>0</v>
      </c>
    </row>
    <row r="16456" spans="1:1">
      <c r="A16456" s="27">
        <v>0</v>
      </c>
    </row>
    <row r="16457" spans="1:1">
      <c r="A16457" s="27">
        <v>0</v>
      </c>
    </row>
    <row r="16458" spans="1:1">
      <c r="A16458" s="27">
        <v>0</v>
      </c>
    </row>
    <row r="16459" spans="1:1">
      <c r="A16459" s="27">
        <v>0</v>
      </c>
    </row>
    <row r="16460" spans="1:1">
      <c r="A16460" s="27">
        <v>37</v>
      </c>
    </row>
    <row r="16461" spans="1:1">
      <c r="A16461" s="27">
        <v>5.4</v>
      </c>
    </row>
    <row r="16462" spans="1:1">
      <c r="A16462" s="29">
        <v>0.54652777777777783</v>
      </c>
    </row>
    <row r="16463" spans="1:1">
      <c r="A16463" s="27">
        <v>18.3</v>
      </c>
    </row>
    <row r="16464" spans="1:1">
      <c r="A16464" s="28">
        <v>0</v>
      </c>
    </row>
    <row r="16465" spans="1:1">
      <c r="A16465" s="25">
        <v>785</v>
      </c>
    </row>
    <row r="16466" spans="1:1" ht="30">
      <c r="A16466" s="26" t="s">
        <v>72</v>
      </c>
    </row>
    <row r="16467" spans="1:1">
      <c r="A16467" s="27" t="s">
        <v>42</v>
      </c>
    </row>
    <row r="16468" spans="1:1">
      <c r="A16468" s="27">
        <v>37</v>
      </c>
    </row>
    <row r="16469" spans="1:1">
      <c r="A16469" s="27">
        <v>2</v>
      </c>
    </row>
    <row r="16470" spans="1:1">
      <c r="A16470" s="27">
        <v>3</v>
      </c>
    </row>
    <row r="16471" spans="1:1">
      <c r="A16471" s="27">
        <v>5</v>
      </c>
    </row>
    <row r="16472" spans="1:1">
      <c r="A16472" s="27">
        <v>-16</v>
      </c>
    </row>
    <row r="16473" spans="1:1">
      <c r="A16473" s="27">
        <v>18</v>
      </c>
    </row>
    <row r="16474" spans="1:1">
      <c r="A16474" s="27">
        <v>0.14000000000000001</v>
      </c>
    </row>
    <row r="16475" spans="1:1">
      <c r="A16475" s="27">
        <v>1</v>
      </c>
    </row>
    <row r="16476" spans="1:1">
      <c r="A16476" s="27">
        <v>1</v>
      </c>
    </row>
    <row r="16477" spans="1:1">
      <c r="A16477" s="27">
        <v>0</v>
      </c>
    </row>
    <row r="16478" spans="1:1">
      <c r="A16478" s="27">
        <v>0</v>
      </c>
    </row>
    <row r="16479" spans="1:1">
      <c r="A16479" s="27">
        <v>1</v>
      </c>
    </row>
    <row r="16480" spans="1:1">
      <c r="A16480" s="27">
        <v>1</v>
      </c>
    </row>
    <row r="16481" spans="1:1">
      <c r="A16481" s="27">
        <v>75</v>
      </c>
    </row>
    <row r="16482" spans="1:1">
      <c r="A16482" s="27">
        <v>2.7</v>
      </c>
    </row>
    <row r="16483" spans="1:1">
      <c r="A16483" s="29">
        <v>0.7090277777777777</v>
      </c>
    </row>
    <row r="16484" spans="1:1">
      <c r="A16484" s="27">
        <v>23.5</v>
      </c>
    </row>
    <row r="16485" spans="1:1">
      <c r="A16485" s="28">
        <v>0</v>
      </c>
    </row>
    <row r="16486" spans="1:1">
      <c r="A16486" s="25">
        <v>786</v>
      </c>
    </row>
    <row r="16487" spans="1:1" ht="30">
      <c r="A16487" s="26" t="s">
        <v>1076</v>
      </c>
    </row>
    <row r="16488" spans="1:1">
      <c r="A16488" s="27" t="s">
        <v>42</v>
      </c>
    </row>
    <row r="16489" spans="1:1">
      <c r="A16489" s="27">
        <v>34</v>
      </c>
    </row>
    <row r="16490" spans="1:1">
      <c r="A16490" s="27">
        <v>2</v>
      </c>
    </row>
    <row r="16491" spans="1:1">
      <c r="A16491" s="27">
        <v>3</v>
      </c>
    </row>
    <row r="16492" spans="1:1">
      <c r="A16492" s="27">
        <v>5</v>
      </c>
    </row>
    <row r="16493" spans="1:1">
      <c r="A16493" s="27">
        <v>2</v>
      </c>
    </row>
    <row r="16494" spans="1:1">
      <c r="A16494" s="27">
        <v>43</v>
      </c>
    </row>
    <row r="16495" spans="1:1">
      <c r="A16495" s="27">
        <v>0.15</v>
      </c>
    </row>
    <row r="16496" spans="1:1">
      <c r="A16496" s="27">
        <v>0</v>
      </c>
    </row>
    <row r="16497" spans="1:1">
      <c r="A16497" s="27">
        <v>0</v>
      </c>
    </row>
    <row r="16498" spans="1:1">
      <c r="A16498" s="27">
        <v>0</v>
      </c>
    </row>
    <row r="16499" spans="1:1">
      <c r="A16499" s="27">
        <v>0</v>
      </c>
    </row>
    <row r="16500" spans="1:1">
      <c r="A16500" s="27">
        <v>0</v>
      </c>
    </row>
    <row r="16501" spans="1:1">
      <c r="A16501" s="27">
        <v>0</v>
      </c>
    </row>
    <row r="16502" spans="1:1">
      <c r="A16502" s="27">
        <v>23</v>
      </c>
    </row>
    <row r="16503" spans="1:1">
      <c r="A16503" s="27">
        <v>8.6999999999999993</v>
      </c>
    </row>
    <row r="16504" spans="1:1">
      <c r="A16504" s="29">
        <v>0.54652777777777783</v>
      </c>
    </row>
    <row r="16505" spans="1:1">
      <c r="A16505" s="27">
        <v>18.399999999999999</v>
      </c>
    </row>
    <row r="16506" spans="1:1">
      <c r="A16506" s="28">
        <v>0</v>
      </c>
    </row>
    <row r="16507" spans="1:1">
      <c r="A16507" s="25">
        <v>787</v>
      </c>
    </row>
    <row r="16508" spans="1:1" ht="45">
      <c r="A16508" s="26" t="s">
        <v>902</v>
      </c>
    </row>
    <row r="16509" spans="1:1">
      <c r="A16509" s="27" t="s">
        <v>653</v>
      </c>
    </row>
    <row r="16510" spans="1:1">
      <c r="A16510" s="27">
        <v>33</v>
      </c>
    </row>
    <row r="16511" spans="1:1">
      <c r="A16511" s="27">
        <v>2</v>
      </c>
    </row>
    <row r="16512" spans="1:1">
      <c r="A16512" s="27">
        <v>3</v>
      </c>
    </row>
    <row r="16513" spans="1:1">
      <c r="A16513" s="27">
        <v>5</v>
      </c>
    </row>
    <row r="16514" spans="1:1">
      <c r="A16514" s="27">
        <v>-3</v>
      </c>
    </row>
    <row r="16515" spans="1:1">
      <c r="A16515" s="27">
        <v>6</v>
      </c>
    </row>
    <row r="16516" spans="1:1">
      <c r="A16516" s="27">
        <v>0.15</v>
      </c>
    </row>
    <row r="16517" spans="1:1">
      <c r="A16517" s="27">
        <v>1</v>
      </c>
    </row>
    <row r="16518" spans="1:1">
      <c r="A16518" s="27">
        <v>2</v>
      </c>
    </row>
    <row r="16519" spans="1:1">
      <c r="A16519" s="27">
        <v>0</v>
      </c>
    </row>
    <row r="16520" spans="1:1">
      <c r="A16520" s="27">
        <v>0</v>
      </c>
    </row>
    <row r="16521" spans="1:1">
      <c r="A16521" s="27">
        <v>1</v>
      </c>
    </row>
    <row r="16522" spans="1:1">
      <c r="A16522" s="27">
        <v>0</v>
      </c>
    </row>
    <row r="16523" spans="1:1">
      <c r="A16523" s="27">
        <v>42</v>
      </c>
    </row>
    <row r="16524" spans="1:1">
      <c r="A16524" s="27">
        <v>4.8</v>
      </c>
    </row>
    <row r="16525" spans="1:1">
      <c r="A16525" s="29">
        <v>0.51250000000000007</v>
      </c>
    </row>
    <row r="16526" spans="1:1">
      <c r="A16526" s="27">
        <v>16.5</v>
      </c>
    </row>
    <row r="16527" spans="1:1">
      <c r="A16527" s="28">
        <v>33.299999999999997</v>
      </c>
    </row>
    <row r="16528" spans="1:1">
      <c r="A16528" s="25">
        <v>788</v>
      </c>
    </row>
    <row r="16529" spans="1:1" ht="30">
      <c r="A16529" s="26" t="s">
        <v>1028</v>
      </c>
    </row>
    <row r="16530" spans="1:1">
      <c r="A16530" s="27" t="s">
        <v>42</v>
      </c>
    </row>
    <row r="16531" spans="1:1">
      <c r="A16531" s="27">
        <v>32</v>
      </c>
    </row>
    <row r="16532" spans="1:1">
      <c r="A16532" s="27">
        <v>2</v>
      </c>
    </row>
    <row r="16533" spans="1:1">
      <c r="A16533" s="27">
        <v>3</v>
      </c>
    </row>
    <row r="16534" spans="1:1">
      <c r="A16534" s="27">
        <v>5</v>
      </c>
    </row>
    <row r="16535" spans="1:1">
      <c r="A16535" s="27">
        <v>0</v>
      </c>
    </row>
    <row r="16536" spans="1:1">
      <c r="A16536" s="27">
        <v>2</v>
      </c>
    </row>
    <row r="16537" spans="1:1">
      <c r="A16537" s="27">
        <v>0.16</v>
      </c>
    </row>
    <row r="16538" spans="1:1">
      <c r="A16538" s="27">
        <v>0</v>
      </c>
    </row>
    <row r="16539" spans="1:1">
      <c r="A16539" s="27">
        <v>0</v>
      </c>
    </row>
    <row r="16540" spans="1:1">
      <c r="A16540" s="27">
        <v>0</v>
      </c>
    </row>
    <row r="16541" spans="1:1">
      <c r="A16541" s="27">
        <v>0</v>
      </c>
    </row>
    <row r="16542" spans="1:1">
      <c r="A16542" s="27">
        <v>0</v>
      </c>
    </row>
    <row r="16543" spans="1:1">
      <c r="A16543" s="27">
        <v>0</v>
      </c>
    </row>
    <row r="16544" spans="1:1">
      <c r="A16544" s="27">
        <v>22</v>
      </c>
    </row>
    <row r="16545" spans="1:1">
      <c r="A16545" s="27">
        <v>9.1</v>
      </c>
    </row>
    <row r="16546" spans="1:1">
      <c r="A16546" s="29">
        <v>0.5854166666666667</v>
      </c>
    </row>
    <row r="16547" spans="1:1">
      <c r="A16547" s="27">
        <v>16.399999999999999</v>
      </c>
    </row>
    <row r="16548" spans="1:1">
      <c r="A16548" s="28">
        <v>0</v>
      </c>
    </row>
    <row r="16549" spans="1:1">
      <c r="A16549" s="25">
        <v>789</v>
      </c>
    </row>
    <row r="16550" spans="1:1" ht="45">
      <c r="A16550" s="26" t="s">
        <v>1025</v>
      </c>
    </row>
    <row r="16551" spans="1:1">
      <c r="A16551" s="27" t="s">
        <v>42</v>
      </c>
    </row>
    <row r="16552" spans="1:1">
      <c r="A16552" s="27">
        <v>19</v>
      </c>
    </row>
    <row r="16553" spans="1:1">
      <c r="A16553" s="27">
        <v>2</v>
      </c>
    </row>
    <row r="16554" spans="1:1">
      <c r="A16554" s="27">
        <v>3</v>
      </c>
    </row>
    <row r="16555" spans="1:1">
      <c r="A16555" s="27">
        <v>5</v>
      </c>
    </row>
    <row r="16556" spans="1:1">
      <c r="A16556" s="27">
        <v>2</v>
      </c>
    </row>
    <row r="16557" spans="1:1">
      <c r="A16557" s="27">
        <v>10</v>
      </c>
    </row>
    <row r="16558" spans="1:1">
      <c r="A16558" s="27">
        <v>0.26</v>
      </c>
    </row>
    <row r="16559" spans="1:1">
      <c r="A16559" s="27">
        <v>0</v>
      </c>
    </row>
    <row r="16560" spans="1:1">
      <c r="A16560" s="27">
        <v>2</v>
      </c>
    </row>
    <row r="16561" spans="1:1">
      <c r="A16561" s="27">
        <v>0</v>
      </c>
    </row>
    <row r="16562" spans="1:1">
      <c r="A16562" s="27">
        <v>0</v>
      </c>
    </row>
    <row r="16563" spans="1:1">
      <c r="A16563" s="27">
        <v>0</v>
      </c>
    </row>
    <row r="16564" spans="1:1">
      <c r="A16564" s="27">
        <v>0</v>
      </c>
    </row>
    <row r="16565" spans="1:1">
      <c r="A16565" s="27">
        <v>25</v>
      </c>
    </row>
    <row r="16566" spans="1:1">
      <c r="A16566" s="27">
        <v>8</v>
      </c>
    </row>
    <row r="16567" spans="1:1">
      <c r="A16567" s="29">
        <v>0.75763888888888886</v>
      </c>
    </row>
    <row r="16568" spans="1:1">
      <c r="A16568" s="27">
        <v>24.3</v>
      </c>
    </row>
    <row r="16569" spans="1:1">
      <c r="A16569" s="28">
        <v>0</v>
      </c>
    </row>
    <row r="16570" spans="1:1">
      <c r="A16570" s="25">
        <v>790</v>
      </c>
    </row>
    <row r="16571" spans="1:1" ht="30">
      <c r="A16571" s="26" t="s">
        <v>792</v>
      </c>
    </row>
    <row r="16572" spans="1:1">
      <c r="A16572" s="27" t="s">
        <v>44</v>
      </c>
    </row>
    <row r="16573" spans="1:1">
      <c r="A16573" s="27">
        <v>22</v>
      </c>
    </row>
    <row r="16574" spans="1:1">
      <c r="A16574" s="27">
        <v>1</v>
      </c>
    </row>
    <row r="16575" spans="1:1">
      <c r="A16575" s="27">
        <v>4</v>
      </c>
    </row>
    <row r="16576" spans="1:1">
      <c r="A16576" s="27">
        <v>5</v>
      </c>
    </row>
    <row r="16577" spans="1:1">
      <c r="A16577" s="27">
        <v>1</v>
      </c>
    </row>
    <row r="16578" spans="1:1">
      <c r="A16578" s="27">
        <v>0</v>
      </c>
    </row>
    <row r="16579" spans="1:1">
      <c r="A16579" s="27">
        <v>0.23</v>
      </c>
    </row>
    <row r="16580" spans="1:1">
      <c r="A16580" s="27">
        <v>0</v>
      </c>
    </row>
    <row r="16581" spans="1:1">
      <c r="A16581" s="27">
        <v>1</v>
      </c>
    </row>
    <row r="16582" spans="1:1">
      <c r="A16582" s="27">
        <v>0</v>
      </c>
    </row>
    <row r="16583" spans="1:1">
      <c r="A16583" s="27">
        <v>0</v>
      </c>
    </row>
    <row r="16584" spans="1:1">
      <c r="A16584" s="27">
        <v>0</v>
      </c>
    </row>
    <row r="16585" spans="1:1">
      <c r="A16585" s="27">
        <v>0</v>
      </c>
    </row>
    <row r="16586" spans="1:1">
      <c r="A16586" s="27">
        <v>15</v>
      </c>
    </row>
    <row r="16587" spans="1:1">
      <c r="A16587" s="27">
        <v>6.7</v>
      </c>
    </row>
    <row r="16588" spans="1:1">
      <c r="A16588" s="29">
        <v>0.33055555555555555</v>
      </c>
    </row>
    <row r="16589" spans="1:1">
      <c r="A16589" s="27">
        <v>10.9</v>
      </c>
    </row>
    <row r="16590" spans="1:1">
      <c r="A16590" s="28">
        <v>46.5</v>
      </c>
    </row>
    <row r="16591" spans="1:1">
      <c r="A16591" s="25">
        <v>791</v>
      </c>
    </row>
    <row r="16592" spans="1:1" ht="30">
      <c r="A16592" s="26" t="s">
        <v>993</v>
      </c>
    </row>
    <row r="16593" spans="1:1">
      <c r="A16593" s="27" t="s">
        <v>42</v>
      </c>
    </row>
    <row r="16594" spans="1:1">
      <c r="A16594" s="27">
        <v>8</v>
      </c>
    </row>
    <row r="16595" spans="1:1">
      <c r="A16595" s="27">
        <v>1</v>
      </c>
    </row>
    <row r="16596" spans="1:1">
      <c r="A16596" s="27">
        <v>4</v>
      </c>
    </row>
    <row r="16597" spans="1:1">
      <c r="A16597" s="27">
        <v>5</v>
      </c>
    </row>
    <row r="16598" spans="1:1">
      <c r="A16598" s="27">
        <v>3</v>
      </c>
    </row>
    <row r="16599" spans="1:1">
      <c r="A16599" s="27">
        <v>4</v>
      </c>
    </row>
    <row r="16600" spans="1:1">
      <c r="A16600" s="27">
        <v>0.63</v>
      </c>
    </row>
    <row r="16601" spans="1:1">
      <c r="A16601" s="27">
        <v>0</v>
      </c>
    </row>
    <row r="16602" spans="1:1">
      <c r="A16602" s="27">
        <v>1</v>
      </c>
    </row>
    <row r="16603" spans="1:1">
      <c r="A16603" s="27">
        <v>0</v>
      </c>
    </row>
    <row r="16604" spans="1:1">
      <c r="A16604" s="27">
        <v>0</v>
      </c>
    </row>
    <row r="16605" spans="1:1">
      <c r="A16605" s="27">
        <v>0</v>
      </c>
    </row>
    <row r="16606" spans="1:1">
      <c r="A16606" s="27">
        <v>0</v>
      </c>
    </row>
    <row r="16607" spans="1:1">
      <c r="A16607" s="27">
        <v>10</v>
      </c>
    </row>
    <row r="16608" spans="1:1">
      <c r="A16608" s="27">
        <v>10</v>
      </c>
    </row>
    <row r="16609" spans="1:1">
      <c r="A16609" s="29">
        <v>0.75277777777777777</v>
      </c>
    </row>
    <row r="16610" spans="1:1">
      <c r="A16610" s="27">
        <v>22.1</v>
      </c>
    </row>
    <row r="16611" spans="1:1">
      <c r="A16611" s="28">
        <v>0</v>
      </c>
    </row>
    <row r="16612" spans="1:1">
      <c r="A16612" s="25">
        <v>792</v>
      </c>
    </row>
    <row r="16613" spans="1:1" ht="30">
      <c r="A16613" s="26" t="s">
        <v>1071</v>
      </c>
    </row>
    <row r="16614" spans="1:1">
      <c r="A16614" s="27" t="s">
        <v>42</v>
      </c>
    </row>
    <row r="16615" spans="1:1">
      <c r="A16615" s="27">
        <v>43</v>
      </c>
    </row>
    <row r="16616" spans="1:1">
      <c r="A16616" s="27">
        <v>1</v>
      </c>
    </row>
    <row r="16617" spans="1:1">
      <c r="A16617" s="27">
        <v>4</v>
      </c>
    </row>
    <row r="16618" spans="1:1">
      <c r="A16618" s="27">
        <v>5</v>
      </c>
    </row>
    <row r="16619" spans="1:1">
      <c r="A16619" s="27">
        <v>-4</v>
      </c>
    </row>
    <row r="16620" spans="1:1">
      <c r="A16620" s="27">
        <v>14</v>
      </c>
    </row>
    <row r="16621" spans="1:1">
      <c r="A16621" s="27">
        <v>0.12</v>
      </c>
    </row>
    <row r="16622" spans="1:1">
      <c r="A16622" s="27">
        <v>0</v>
      </c>
    </row>
    <row r="16623" spans="1:1">
      <c r="A16623" s="27">
        <v>0</v>
      </c>
    </row>
    <row r="16624" spans="1:1">
      <c r="A16624" s="27">
        <v>0</v>
      </c>
    </row>
    <row r="16625" spans="1:1">
      <c r="A16625" s="27">
        <v>0</v>
      </c>
    </row>
    <row r="16626" spans="1:1">
      <c r="A16626" s="27">
        <v>0</v>
      </c>
    </row>
    <row r="16627" spans="1:1">
      <c r="A16627" s="27">
        <v>0</v>
      </c>
    </row>
    <row r="16628" spans="1:1">
      <c r="A16628" s="27">
        <v>38</v>
      </c>
    </row>
    <row r="16629" spans="1:1">
      <c r="A16629" s="27">
        <v>2.6</v>
      </c>
    </row>
    <row r="16630" spans="1:1">
      <c r="A16630" s="29">
        <v>0.62222222222222223</v>
      </c>
    </row>
    <row r="16631" spans="1:1">
      <c r="A16631" s="27">
        <v>21</v>
      </c>
    </row>
    <row r="16632" spans="1:1">
      <c r="A16632" s="28">
        <v>0</v>
      </c>
    </row>
    <row r="16633" spans="1:1">
      <c r="A16633" s="25">
        <v>793</v>
      </c>
    </row>
    <row r="16634" spans="1:1" ht="30">
      <c r="A16634" s="26" t="s">
        <v>736</v>
      </c>
    </row>
    <row r="16635" spans="1:1">
      <c r="A16635" s="27" t="s">
        <v>43</v>
      </c>
    </row>
    <row r="16636" spans="1:1">
      <c r="A16636" s="27">
        <v>14</v>
      </c>
    </row>
    <row r="16637" spans="1:1">
      <c r="A16637" s="27">
        <v>1</v>
      </c>
    </row>
    <row r="16638" spans="1:1">
      <c r="A16638" s="27">
        <v>4</v>
      </c>
    </row>
    <row r="16639" spans="1:1">
      <c r="A16639" s="27">
        <v>5</v>
      </c>
    </row>
    <row r="16640" spans="1:1">
      <c r="A16640" s="27">
        <v>-6</v>
      </c>
    </row>
    <row r="16641" spans="1:1">
      <c r="A16641" s="27">
        <v>0</v>
      </c>
    </row>
    <row r="16642" spans="1:1">
      <c r="A16642" s="27">
        <v>0.36</v>
      </c>
    </row>
    <row r="16643" spans="1:1">
      <c r="A16643" s="27">
        <v>1</v>
      </c>
    </row>
    <row r="16644" spans="1:1">
      <c r="A16644" s="27">
        <v>4</v>
      </c>
    </row>
    <row r="16645" spans="1:1">
      <c r="A16645" s="27">
        <v>0</v>
      </c>
    </row>
    <row r="16646" spans="1:1">
      <c r="A16646" s="27">
        <v>0</v>
      </c>
    </row>
    <row r="16647" spans="1:1">
      <c r="A16647" s="27">
        <v>0</v>
      </c>
    </row>
    <row r="16648" spans="1:1">
      <c r="A16648" s="27">
        <v>0</v>
      </c>
    </row>
    <row r="16649" spans="1:1">
      <c r="A16649" s="27">
        <v>27</v>
      </c>
    </row>
    <row r="16650" spans="1:1">
      <c r="A16650" s="27">
        <v>3.7</v>
      </c>
    </row>
    <row r="16651" spans="1:1">
      <c r="A16651" s="29">
        <v>0.61944444444444446</v>
      </c>
    </row>
    <row r="16652" spans="1:1">
      <c r="A16652" s="27">
        <v>19</v>
      </c>
    </row>
    <row r="16653" spans="1:1">
      <c r="A16653" s="28">
        <v>50</v>
      </c>
    </row>
    <row r="16654" spans="1:1">
      <c r="A16654" s="25">
        <v>794</v>
      </c>
    </row>
    <row r="16655" spans="1:1" ht="30">
      <c r="A16655" s="26" t="s">
        <v>772</v>
      </c>
    </row>
    <row r="16656" spans="1:1">
      <c r="A16656" s="27" t="s">
        <v>653</v>
      </c>
    </row>
    <row r="16657" spans="1:1">
      <c r="A16657" s="27">
        <v>25</v>
      </c>
    </row>
    <row r="16658" spans="1:1">
      <c r="A16658" s="27">
        <v>1</v>
      </c>
    </row>
    <row r="16659" spans="1:1">
      <c r="A16659" s="27">
        <v>4</v>
      </c>
    </row>
    <row r="16660" spans="1:1">
      <c r="A16660" s="27">
        <v>5</v>
      </c>
    </row>
    <row r="16661" spans="1:1">
      <c r="A16661" s="27">
        <v>-4</v>
      </c>
    </row>
    <row r="16662" spans="1:1">
      <c r="A16662" s="27">
        <v>2</v>
      </c>
    </row>
    <row r="16663" spans="1:1">
      <c r="A16663" s="27">
        <v>0.2</v>
      </c>
    </row>
    <row r="16664" spans="1:1">
      <c r="A16664" s="27">
        <v>1</v>
      </c>
    </row>
    <row r="16665" spans="1:1">
      <c r="A16665" s="27">
        <v>2</v>
      </c>
    </row>
    <row r="16666" spans="1:1">
      <c r="A16666" s="27">
        <v>0</v>
      </c>
    </row>
    <row r="16667" spans="1:1">
      <c r="A16667" s="27">
        <v>0</v>
      </c>
    </row>
    <row r="16668" spans="1:1">
      <c r="A16668" s="27">
        <v>0</v>
      </c>
    </row>
    <row r="16669" spans="1:1">
      <c r="A16669" s="27">
        <v>0</v>
      </c>
    </row>
    <row r="16670" spans="1:1">
      <c r="A16670" s="27">
        <v>24</v>
      </c>
    </row>
    <row r="16671" spans="1:1">
      <c r="A16671" s="27">
        <v>4.2</v>
      </c>
    </row>
    <row r="16672" spans="1:1">
      <c r="A16672" s="29">
        <v>0.42638888888888887</v>
      </c>
    </row>
    <row r="16673" spans="1:1">
      <c r="A16673" s="27">
        <v>14.6</v>
      </c>
    </row>
    <row r="16674" spans="1:1">
      <c r="A16674" s="28">
        <v>48.4</v>
      </c>
    </row>
    <row r="16675" spans="1:1">
      <c r="A16675" s="25">
        <v>795</v>
      </c>
    </row>
    <row r="16676" spans="1:1" ht="45">
      <c r="A16676" s="26" t="s">
        <v>1052</v>
      </c>
    </row>
    <row r="16677" spans="1:1">
      <c r="A16677" s="27" t="s">
        <v>43</v>
      </c>
    </row>
    <row r="16678" spans="1:1">
      <c r="A16678" s="27">
        <v>26</v>
      </c>
    </row>
    <row r="16679" spans="1:1">
      <c r="A16679" s="27">
        <v>1</v>
      </c>
    </row>
    <row r="16680" spans="1:1">
      <c r="A16680" s="27">
        <v>4</v>
      </c>
    </row>
    <row r="16681" spans="1:1">
      <c r="A16681" s="27">
        <v>5</v>
      </c>
    </row>
    <row r="16682" spans="1:1">
      <c r="A16682" s="27">
        <v>-8</v>
      </c>
    </row>
    <row r="16683" spans="1:1">
      <c r="A16683" s="27">
        <v>4</v>
      </c>
    </row>
    <row r="16684" spans="1:1">
      <c r="A16684" s="27">
        <v>0.19</v>
      </c>
    </row>
    <row r="16685" spans="1:1">
      <c r="A16685" s="27">
        <v>0</v>
      </c>
    </row>
    <row r="16686" spans="1:1">
      <c r="A16686" s="27">
        <v>2</v>
      </c>
    </row>
    <row r="16687" spans="1:1">
      <c r="A16687" s="27">
        <v>0</v>
      </c>
    </row>
    <row r="16688" spans="1:1">
      <c r="A16688" s="27">
        <v>0</v>
      </c>
    </row>
    <row r="16689" spans="1:1">
      <c r="A16689" s="27">
        <v>0</v>
      </c>
    </row>
    <row r="16690" spans="1:1">
      <c r="A16690" s="27">
        <v>0</v>
      </c>
    </row>
    <row r="16691" spans="1:1">
      <c r="A16691" s="27">
        <v>36</v>
      </c>
    </row>
    <row r="16692" spans="1:1">
      <c r="A16692" s="27">
        <v>2.8</v>
      </c>
    </row>
    <row r="16693" spans="1:1">
      <c r="A16693" s="29">
        <v>0.57430555555555551</v>
      </c>
    </row>
    <row r="16694" spans="1:1">
      <c r="A16694" s="27">
        <v>17.8</v>
      </c>
    </row>
    <row r="16695" spans="1:1">
      <c r="A16695" s="28">
        <v>0</v>
      </c>
    </row>
    <row r="16696" spans="1:1">
      <c r="A16696" s="25">
        <v>796</v>
      </c>
    </row>
    <row r="16697" spans="1:1" ht="30">
      <c r="A16697" s="26" t="s">
        <v>1042</v>
      </c>
    </row>
    <row r="16698" spans="1:1">
      <c r="A16698" s="27" t="s">
        <v>42</v>
      </c>
    </row>
    <row r="16699" spans="1:1">
      <c r="A16699" s="27">
        <v>42</v>
      </c>
    </row>
    <row r="16700" spans="1:1">
      <c r="A16700" s="27">
        <v>0</v>
      </c>
    </row>
    <row r="16701" spans="1:1">
      <c r="A16701" s="27">
        <v>5</v>
      </c>
    </row>
    <row r="16702" spans="1:1">
      <c r="A16702" s="27">
        <v>5</v>
      </c>
    </row>
    <row r="16703" spans="1:1">
      <c r="A16703" s="27">
        <v>-7</v>
      </c>
    </row>
    <row r="16704" spans="1:1">
      <c r="A16704" s="27">
        <v>12</v>
      </c>
    </row>
    <row r="16705" spans="1:1">
      <c r="A16705" s="27">
        <v>0.12</v>
      </c>
    </row>
    <row r="16706" spans="1:1">
      <c r="A16706" s="27">
        <v>0</v>
      </c>
    </row>
    <row r="16707" spans="1:1">
      <c r="A16707" s="27">
        <v>1</v>
      </c>
    </row>
    <row r="16708" spans="1:1">
      <c r="A16708" s="27">
        <v>0</v>
      </c>
    </row>
    <row r="16709" spans="1:1">
      <c r="A16709" s="27">
        <v>0</v>
      </c>
    </row>
    <row r="16710" spans="1:1">
      <c r="A16710" s="27">
        <v>0</v>
      </c>
    </row>
    <row r="16711" spans="1:1">
      <c r="A16711" s="27">
        <v>0</v>
      </c>
    </row>
    <row r="16712" spans="1:1">
      <c r="A16712" s="27">
        <v>21</v>
      </c>
    </row>
    <row r="16713" spans="1:1">
      <c r="A16713" s="27">
        <v>0</v>
      </c>
    </row>
    <row r="16714" spans="1:1">
      <c r="A16714" s="29">
        <v>0.49722222222222223</v>
      </c>
    </row>
    <row r="16715" spans="1:1">
      <c r="A16715" s="27">
        <v>17.899999999999999</v>
      </c>
    </row>
    <row r="16716" spans="1:1">
      <c r="A16716" s="28">
        <v>0</v>
      </c>
    </row>
    <row r="16717" spans="1:1">
      <c r="A16717" s="25">
        <v>797</v>
      </c>
    </row>
    <row r="16718" spans="1:1" ht="30">
      <c r="A16718" s="26" t="s">
        <v>1072</v>
      </c>
    </row>
    <row r="16719" spans="1:1">
      <c r="A16719" s="27" t="s">
        <v>42</v>
      </c>
    </row>
    <row r="16720" spans="1:1">
      <c r="A16720" s="27">
        <v>22</v>
      </c>
    </row>
    <row r="16721" spans="1:1">
      <c r="A16721" s="27">
        <v>0</v>
      </c>
    </row>
    <row r="16722" spans="1:1">
      <c r="A16722" s="27">
        <v>5</v>
      </c>
    </row>
    <row r="16723" spans="1:1">
      <c r="A16723" s="27">
        <v>5</v>
      </c>
    </row>
    <row r="16724" spans="1:1">
      <c r="A16724" s="27">
        <v>-9</v>
      </c>
    </row>
    <row r="16725" spans="1:1">
      <c r="A16725" s="27">
        <v>4</v>
      </c>
    </row>
    <row r="16726" spans="1:1">
      <c r="A16726" s="27">
        <v>0.23</v>
      </c>
    </row>
    <row r="16727" spans="1:1">
      <c r="A16727" s="27">
        <v>0</v>
      </c>
    </row>
    <row r="16728" spans="1:1">
      <c r="A16728" s="27">
        <v>1</v>
      </c>
    </row>
    <row r="16729" spans="1:1">
      <c r="A16729" s="27">
        <v>0</v>
      </c>
    </row>
    <row r="16730" spans="1:1">
      <c r="A16730" s="27">
        <v>0</v>
      </c>
    </row>
    <row r="16731" spans="1:1">
      <c r="A16731" s="27">
        <v>0</v>
      </c>
    </row>
    <row r="16732" spans="1:1">
      <c r="A16732" s="27">
        <v>0</v>
      </c>
    </row>
    <row r="16733" spans="1:1">
      <c r="A16733" s="27">
        <v>24</v>
      </c>
    </row>
    <row r="16734" spans="1:1">
      <c r="A16734" s="27">
        <v>0</v>
      </c>
    </row>
    <row r="16735" spans="1:1">
      <c r="A16735" s="29">
        <v>0.75902777777777775</v>
      </c>
    </row>
    <row r="16736" spans="1:1">
      <c r="A16736" s="27">
        <v>22.8</v>
      </c>
    </row>
    <row r="16737" spans="1:1">
      <c r="A16737" s="28">
        <v>0</v>
      </c>
    </row>
    <row r="16738" spans="1:1">
      <c r="A16738" s="25">
        <v>798</v>
      </c>
    </row>
    <row r="16739" spans="1:1" ht="30">
      <c r="A16739" s="26" t="s">
        <v>542</v>
      </c>
    </row>
    <row r="16740" spans="1:1">
      <c r="A16740" s="27" t="s">
        <v>42</v>
      </c>
    </row>
    <row r="16741" spans="1:1">
      <c r="A16741" s="27">
        <v>26</v>
      </c>
    </row>
    <row r="16742" spans="1:1">
      <c r="A16742" s="27">
        <v>0</v>
      </c>
    </row>
    <row r="16743" spans="1:1">
      <c r="A16743" s="27">
        <v>5</v>
      </c>
    </row>
    <row r="16744" spans="1:1">
      <c r="A16744" s="27">
        <v>5</v>
      </c>
    </row>
    <row r="16745" spans="1:1">
      <c r="A16745" s="27">
        <v>-6</v>
      </c>
    </row>
    <row r="16746" spans="1:1">
      <c r="A16746" s="27">
        <v>12</v>
      </c>
    </row>
    <row r="16747" spans="1:1">
      <c r="A16747" s="27">
        <v>0.19</v>
      </c>
    </row>
    <row r="16748" spans="1:1">
      <c r="A16748" s="27">
        <v>0</v>
      </c>
    </row>
    <row r="16749" spans="1:1">
      <c r="A16749" s="27">
        <v>0</v>
      </c>
    </row>
    <row r="16750" spans="1:1">
      <c r="A16750" s="27">
        <v>0</v>
      </c>
    </row>
    <row r="16751" spans="1:1">
      <c r="A16751" s="27">
        <v>1</v>
      </c>
    </row>
    <row r="16752" spans="1:1">
      <c r="A16752" s="27">
        <v>0</v>
      </c>
    </row>
    <row r="16753" spans="1:1">
      <c r="A16753" s="27">
        <v>0</v>
      </c>
    </row>
    <row r="16754" spans="1:1">
      <c r="A16754" s="27">
        <v>23</v>
      </c>
    </row>
    <row r="16755" spans="1:1">
      <c r="A16755" s="27">
        <v>0</v>
      </c>
    </row>
    <row r="16756" spans="1:1">
      <c r="A16756" s="29">
        <v>0.65138888888888891</v>
      </c>
    </row>
    <row r="16757" spans="1:1">
      <c r="A16757" s="27">
        <v>19.899999999999999</v>
      </c>
    </row>
    <row r="16758" spans="1:1">
      <c r="A16758" s="28">
        <v>0</v>
      </c>
    </row>
    <row r="16759" spans="1:1">
      <c r="A16759" s="25">
        <v>799</v>
      </c>
    </row>
    <row r="16760" spans="1:1" ht="45">
      <c r="A16760" s="26" t="s">
        <v>1123</v>
      </c>
    </row>
    <row r="16761" spans="1:1">
      <c r="A16761" s="27" t="s">
        <v>42</v>
      </c>
    </row>
    <row r="16762" spans="1:1">
      <c r="A16762" s="27">
        <v>57</v>
      </c>
    </row>
    <row r="16763" spans="1:1">
      <c r="A16763" s="27">
        <v>0</v>
      </c>
    </row>
    <row r="16764" spans="1:1">
      <c r="A16764" s="27">
        <v>5</v>
      </c>
    </row>
    <row r="16765" spans="1:1">
      <c r="A16765" s="27">
        <v>5</v>
      </c>
    </row>
    <row r="16766" spans="1:1">
      <c r="A16766" s="27">
        <v>-7</v>
      </c>
    </row>
    <row r="16767" spans="1:1">
      <c r="A16767" s="27">
        <v>25</v>
      </c>
    </row>
    <row r="16768" spans="1:1">
      <c r="A16768" s="27">
        <v>0.09</v>
      </c>
    </row>
    <row r="16769" spans="1:1">
      <c r="A16769" s="27">
        <v>0</v>
      </c>
    </row>
    <row r="16770" spans="1:1">
      <c r="A16770" s="27">
        <v>0</v>
      </c>
    </row>
    <row r="16771" spans="1:1">
      <c r="A16771" s="27">
        <v>0</v>
      </c>
    </row>
    <row r="16772" spans="1:1">
      <c r="A16772" s="27">
        <v>0</v>
      </c>
    </row>
    <row r="16773" spans="1:1">
      <c r="A16773" s="27">
        <v>0</v>
      </c>
    </row>
    <row r="16774" spans="1:1">
      <c r="A16774" s="27">
        <v>0</v>
      </c>
    </row>
    <row r="16775" spans="1:1">
      <c r="A16775" s="27">
        <v>43</v>
      </c>
    </row>
    <row r="16776" spans="1:1">
      <c r="A16776" s="27">
        <v>0</v>
      </c>
    </row>
    <row r="16777" spans="1:1">
      <c r="A16777" s="29">
        <v>0.56111111111111112</v>
      </c>
    </row>
    <row r="16778" spans="1:1">
      <c r="A16778" s="27">
        <v>18.7</v>
      </c>
    </row>
    <row r="16779" spans="1:1">
      <c r="A16779" s="28">
        <v>0</v>
      </c>
    </row>
    <row r="16780" spans="1:1">
      <c r="A16780" s="25">
        <v>800</v>
      </c>
    </row>
    <row r="16781" spans="1:1" ht="45">
      <c r="A16781" s="26" t="s">
        <v>1055</v>
      </c>
    </row>
    <row r="16782" spans="1:1">
      <c r="A16782" s="27" t="s">
        <v>42</v>
      </c>
    </row>
    <row r="16783" spans="1:1">
      <c r="A16783" s="27">
        <v>30</v>
      </c>
    </row>
    <row r="16784" spans="1:1">
      <c r="A16784" s="27">
        <v>0</v>
      </c>
    </row>
    <row r="16785" spans="1:1">
      <c r="A16785" s="27">
        <v>5</v>
      </c>
    </row>
    <row r="16786" spans="1:1">
      <c r="A16786" s="27">
        <v>5</v>
      </c>
    </row>
    <row r="16787" spans="1:1">
      <c r="A16787" s="27">
        <v>-8</v>
      </c>
    </row>
    <row r="16788" spans="1:1">
      <c r="A16788" s="27">
        <v>4</v>
      </c>
    </row>
    <row r="16789" spans="1:1">
      <c r="A16789" s="27">
        <v>0.17</v>
      </c>
    </row>
    <row r="16790" spans="1:1">
      <c r="A16790" s="27">
        <v>0</v>
      </c>
    </row>
    <row r="16791" spans="1:1">
      <c r="A16791" s="27">
        <v>0</v>
      </c>
    </row>
    <row r="16792" spans="1:1">
      <c r="A16792" s="27">
        <v>0</v>
      </c>
    </row>
    <row r="16793" spans="1:1">
      <c r="A16793" s="27">
        <v>0</v>
      </c>
    </row>
    <row r="16794" spans="1:1">
      <c r="A16794" s="27">
        <v>0</v>
      </c>
    </row>
    <row r="16795" spans="1:1">
      <c r="A16795" s="27">
        <v>0</v>
      </c>
    </row>
    <row r="16796" spans="1:1">
      <c r="A16796" s="27">
        <v>17</v>
      </c>
    </row>
    <row r="16797" spans="1:1">
      <c r="A16797" s="27">
        <v>0</v>
      </c>
    </row>
    <row r="16798" spans="1:1">
      <c r="A16798" s="29">
        <v>0.56666666666666665</v>
      </c>
    </row>
    <row r="16799" spans="1:1">
      <c r="A16799" s="27">
        <v>18.600000000000001</v>
      </c>
    </row>
    <row r="16800" spans="1:1">
      <c r="A16800" s="28">
        <v>0</v>
      </c>
    </row>
    <row r="16801" spans="1:1">
      <c r="A16801" s="25">
        <v>751</v>
      </c>
    </row>
    <row r="16802" spans="1:1" ht="30">
      <c r="A16802" s="26" t="s">
        <v>1066</v>
      </c>
    </row>
    <row r="16803" spans="1:1">
      <c r="A16803" s="27" t="s">
        <v>42</v>
      </c>
    </row>
    <row r="16804" spans="1:1">
      <c r="A16804" s="27">
        <v>46</v>
      </c>
    </row>
    <row r="16805" spans="1:1">
      <c r="A16805" s="27">
        <v>0</v>
      </c>
    </row>
    <row r="16806" spans="1:1">
      <c r="A16806" s="27">
        <v>8</v>
      </c>
    </row>
    <row r="16807" spans="1:1">
      <c r="A16807" s="27">
        <v>8</v>
      </c>
    </row>
    <row r="16808" spans="1:1">
      <c r="A16808" s="27">
        <v>-3</v>
      </c>
    </row>
    <row r="16809" spans="1:1">
      <c r="A16809" s="27">
        <v>12</v>
      </c>
    </row>
    <row r="16810" spans="1:1">
      <c r="A16810" s="27">
        <v>0.17</v>
      </c>
    </row>
    <row r="16811" spans="1:1">
      <c r="A16811" s="27">
        <v>0</v>
      </c>
    </row>
    <row r="16812" spans="1:1">
      <c r="A16812" s="27">
        <v>0</v>
      </c>
    </row>
    <row r="16813" spans="1:1">
      <c r="A16813" s="27">
        <v>0</v>
      </c>
    </row>
    <row r="16814" spans="1:1">
      <c r="A16814" s="27">
        <v>0</v>
      </c>
    </row>
    <row r="16815" spans="1:1">
      <c r="A16815" s="27">
        <v>0</v>
      </c>
    </row>
    <row r="16816" spans="1:1">
      <c r="A16816" s="27">
        <v>0</v>
      </c>
    </row>
    <row r="16817" spans="1:1">
      <c r="A16817" s="27">
        <v>30</v>
      </c>
    </row>
    <row r="16818" spans="1:1">
      <c r="A16818" s="27">
        <v>0</v>
      </c>
    </row>
    <row r="16819" spans="1:1">
      <c r="A16819" s="29">
        <v>0.54027777777777775</v>
      </c>
    </row>
    <row r="16820" spans="1:1">
      <c r="A16820" s="27">
        <v>18.8</v>
      </c>
    </row>
    <row r="16821" spans="1:1">
      <c r="A16821" s="28">
        <v>0</v>
      </c>
    </row>
    <row r="16822" spans="1:1">
      <c r="A16822" s="25">
        <v>752</v>
      </c>
    </row>
    <row r="16823" spans="1:1" ht="30">
      <c r="A16823" s="26" t="s">
        <v>1027</v>
      </c>
    </row>
    <row r="16824" spans="1:1">
      <c r="A16824" s="27" t="s">
        <v>653</v>
      </c>
    </row>
    <row r="16825" spans="1:1">
      <c r="A16825" s="27">
        <v>28</v>
      </c>
    </row>
    <row r="16826" spans="1:1">
      <c r="A16826" s="27">
        <v>6</v>
      </c>
    </row>
    <row r="16827" spans="1:1">
      <c r="A16827" s="27">
        <v>1</v>
      </c>
    </row>
    <row r="16828" spans="1:1">
      <c r="A16828" s="27">
        <v>7</v>
      </c>
    </row>
    <row r="16829" spans="1:1">
      <c r="A16829" s="27">
        <v>2</v>
      </c>
    </row>
    <row r="16830" spans="1:1">
      <c r="A16830" s="27">
        <v>6</v>
      </c>
    </row>
    <row r="16831" spans="1:1">
      <c r="A16831" s="27">
        <v>0.25</v>
      </c>
    </row>
    <row r="16832" spans="1:1">
      <c r="A16832" s="27">
        <v>1</v>
      </c>
    </row>
    <row r="16833" spans="1:1">
      <c r="A16833" s="27">
        <v>1</v>
      </c>
    </row>
    <row r="16834" spans="1:1">
      <c r="A16834" s="27">
        <v>0</v>
      </c>
    </row>
    <row r="16835" spans="1:1">
      <c r="A16835" s="27">
        <v>0</v>
      </c>
    </row>
    <row r="16836" spans="1:1">
      <c r="A16836" s="27">
        <v>1</v>
      </c>
    </row>
    <row r="16837" spans="1:1">
      <c r="A16837" s="27">
        <v>0</v>
      </c>
    </row>
    <row r="16838" spans="1:1">
      <c r="A16838" s="27">
        <v>28</v>
      </c>
    </row>
    <row r="16839" spans="1:1">
      <c r="A16839" s="27">
        <v>21.4</v>
      </c>
    </row>
    <row r="16840" spans="1:1">
      <c r="A16840" s="29">
        <v>0.56597222222222221</v>
      </c>
    </row>
    <row r="16841" spans="1:1">
      <c r="A16841" s="27">
        <v>18.3</v>
      </c>
    </row>
    <row r="16842" spans="1:1">
      <c r="A16842" s="28">
        <v>0</v>
      </c>
    </row>
    <row r="16843" spans="1:1">
      <c r="A16843" s="25">
        <v>753</v>
      </c>
    </row>
    <row r="16844" spans="1:1" ht="45">
      <c r="A16844" s="26" t="s">
        <v>725</v>
      </c>
    </row>
    <row r="16845" spans="1:1">
      <c r="A16845" s="27" t="s">
        <v>653</v>
      </c>
    </row>
    <row r="16846" spans="1:1">
      <c r="A16846" s="27">
        <v>30</v>
      </c>
    </row>
    <row r="16847" spans="1:1">
      <c r="A16847" s="27">
        <v>5</v>
      </c>
    </row>
    <row r="16848" spans="1:1">
      <c r="A16848" s="27">
        <v>2</v>
      </c>
    </row>
    <row r="16849" spans="1:1">
      <c r="A16849" s="27">
        <v>7</v>
      </c>
    </row>
    <row r="16850" spans="1:1">
      <c r="A16850" s="27">
        <v>1</v>
      </c>
    </row>
    <row r="16851" spans="1:1">
      <c r="A16851" s="27">
        <v>12</v>
      </c>
    </row>
    <row r="16852" spans="1:1">
      <c r="A16852" s="27">
        <v>0.23</v>
      </c>
    </row>
    <row r="16853" spans="1:1">
      <c r="A16853" s="27">
        <v>0</v>
      </c>
    </row>
    <row r="16854" spans="1:1">
      <c r="A16854" s="27">
        <v>0</v>
      </c>
    </row>
    <row r="16855" spans="1:1">
      <c r="A16855" s="27">
        <v>0</v>
      </c>
    </row>
    <row r="16856" spans="1:1">
      <c r="A16856" s="27">
        <v>0</v>
      </c>
    </row>
    <row r="16857" spans="1:1">
      <c r="A16857" s="27">
        <v>2</v>
      </c>
    </row>
    <row r="16858" spans="1:1">
      <c r="A16858" s="27">
        <v>0</v>
      </c>
    </row>
    <row r="16859" spans="1:1">
      <c r="A16859" s="27">
        <v>31</v>
      </c>
    </row>
    <row r="16860" spans="1:1">
      <c r="A16860" s="27">
        <v>16.100000000000001</v>
      </c>
    </row>
    <row r="16861" spans="1:1">
      <c r="A16861" s="29">
        <v>0.38958333333333334</v>
      </c>
    </row>
    <row r="16862" spans="1:1">
      <c r="A16862" s="27">
        <v>13.6</v>
      </c>
    </row>
    <row r="16863" spans="1:1">
      <c r="A16863" s="28">
        <v>50.4</v>
      </c>
    </row>
    <row r="16864" spans="1:1">
      <c r="A16864" s="25">
        <v>754</v>
      </c>
    </row>
    <row r="16865" spans="1:1" ht="30">
      <c r="A16865" s="26" t="s">
        <v>855</v>
      </c>
    </row>
    <row r="16866" spans="1:1">
      <c r="A16866" s="27" t="s">
        <v>653</v>
      </c>
    </row>
    <row r="16867" spans="1:1">
      <c r="A16867" s="27">
        <v>50</v>
      </c>
    </row>
    <row r="16868" spans="1:1">
      <c r="A16868" s="27">
        <v>4</v>
      </c>
    </row>
    <row r="16869" spans="1:1">
      <c r="A16869" s="27">
        <v>3</v>
      </c>
    </row>
    <row r="16870" spans="1:1">
      <c r="A16870" s="27">
        <v>7</v>
      </c>
    </row>
    <row r="16871" spans="1:1">
      <c r="A16871" s="27">
        <v>-12</v>
      </c>
    </row>
    <row r="16872" spans="1:1">
      <c r="A16872" s="27">
        <v>25</v>
      </c>
    </row>
    <row r="16873" spans="1:1">
      <c r="A16873" s="27">
        <v>0.14000000000000001</v>
      </c>
    </row>
    <row r="16874" spans="1:1">
      <c r="A16874" s="27">
        <v>0</v>
      </c>
    </row>
    <row r="16875" spans="1:1">
      <c r="A16875" s="27">
        <v>1</v>
      </c>
    </row>
    <row r="16876" spans="1:1">
      <c r="A16876" s="27">
        <v>0</v>
      </c>
    </row>
    <row r="16877" spans="1:1">
      <c r="A16877" s="27">
        <v>0</v>
      </c>
    </row>
    <row r="16878" spans="1:1">
      <c r="A16878" s="27">
        <v>1</v>
      </c>
    </row>
    <row r="16879" spans="1:1">
      <c r="A16879" s="27">
        <v>0</v>
      </c>
    </row>
    <row r="16880" spans="1:1">
      <c r="A16880" s="27">
        <v>54</v>
      </c>
    </row>
    <row r="16881" spans="1:1">
      <c r="A16881" s="27">
        <v>7.4</v>
      </c>
    </row>
    <row r="16882" spans="1:1">
      <c r="A16882" s="29">
        <v>0.41597222222222219</v>
      </c>
    </row>
    <row r="16883" spans="1:1">
      <c r="A16883" s="27">
        <v>14.8</v>
      </c>
    </row>
    <row r="16884" spans="1:1">
      <c r="A16884" s="28">
        <v>40.200000000000003</v>
      </c>
    </row>
    <row r="16885" spans="1:1">
      <c r="A16885" s="25">
        <v>755</v>
      </c>
    </row>
    <row r="16886" spans="1:1" ht="45">
      <c r="A16886" s="26" t="s">
        <v>695</v>
      </c>
    </row>
    <row r="16887" spans="1:1">
      <c r="A16887" s="27" t="s">
        <v>43</v>
      </c>
    </row>
    <row r="16888" spans="1:1">
      <c r="A16888" s="27">
        <v>34</v>
      </c>
    </row>
    <row r="16889" spans="1:1">
      <c r="A16889" s="27">
        <v>4</v>
      </c>
    </row>
    <row r="16890" spans="1:1">
      <c r="A16890" s="27">
        <v>3</v>
      </c>
    </row>
    <row r="16891" spans="1:1">
      <c r="A16891" s="27">
        <v>7</v>
      </c>
    </row>
    <row r="16892" spans="1:1">
      <c r="A16892" s="27">
        <v>-7</v>
      </c>
    </row>
    <row r="16893" spans="1:1">
      <c r="A16893" s="27">
        <v>6</v>
      </c>
    </row>
    <row r="16894" spans="1:1">
      <c r="A16894" s="27">
        <v>0.21</v>
      </c>
    </row>
    <row r="16895" spans="1:1">
      <c r="A16895" s="27">
        <v>0</v>
      </c>
    </row>
    <row r="16896" spans="1:1">
      <c r="A16896" s="27">
        <v>0</v>
      </c>
    </row>
    <row r="16897" spans="1:1">
      <c r="A16897" s="27">
        <v>1</v>
      </c>
    </row>
    <row r="16898" spans="1:1">
      <c r="A16898" s="27">
        <v>1</v>
      </c>
    </row>
    <row r="16899" spans="1:1">
      <c r="A16899" s="27">
        <v>1</v>
      </c>
    </row>
    <row r="16900" spans="1:1">
      <c r="A16900" s="27">
        <v>0</v>
      </c>
    </row>
    <row r="16901" spans="1:1">
      <c r="A16901" s="27">
        <v>49</v>
      </c>
    </row>
    <row r="16902" spans="1:1">
      <c r="A16902" s="27">
        <v>8.1999999999999993</v>
      </c>
    </row>
    <row r="16903" spans="1:1">
      <c r="A16903" s="29">
        <v>0.53749999999999998</v>
      </c>
    </row>
    <row r="16904" spans="1:1">
      <c r="A16904" s="27">
        <v>17.100000000000001</v>
      </c>
    </row>
    <row r="16905" spans="1:1">
      <c r="A16905" s="28">
        <v>52.9</v>
      </c>
    </row>
    <row r="16906" spans="1:1">
      <c r="A16906" s="25">
        <v>756</v>
      </c>
    </row>
    <row r="16907" spans="1:1" ht="45">
      <c r="A16907" s="26" t="s">
        <v>1097</v>
      </c>
    </row>
    <row r="16908" spans="1:1">
      <c r="A16908" s="27" t="s">
        <v>42</v>
      </c>
    </row>
    <row r="16909" spans="1:1">
      <c r="A16909" s="27">
        <v>60</v>
      </c>
    </row>
    <row r="16910" spans="1:1">
      <c r="A16910" s="27">
        <v>4</v>
      </c>
    </row>
    <row r="16911" spans="1:1">
      <c r="A16911" s="27">
        <v>3</v>
      </c>
    </row>
    <row r="16912" spans="1:1">
      <c r="A16912" s="27">
        <v>7</v>
      </c>
    </row>
    <row r="16913" spans="1:1">
      <c r="A16913" s="27">
        <v>-12</v>
      </c>
    </row>
    <row r="16914" spans="1:1">
      <c r="A16914" s="27">
        <v>33</v>
      </c>
    </row>
    <row r="16915" spans="1:1">
      <c r="A16915" s="27">
        <v>0.12</v>
      </c>
    </row>
    <row r="16916" spans="1:1">
      <c r="A16916" s="27">
        <v>0</v>
      </c>
    </row>
    <row r="16917" spans="1:1">
      <c r="A16917" s="27">
        <v>0</v>
      </c>
    </row>
    <row r="16918" spans="1:1">
      <c r="A16918" s="27">
        <v>0</v>
      </c>
    </row>
    <row r="16919" spans="1:1">
      <c r="A16919" s="27">
        <v>0</v>
      </c>
    </row>
    <row r="16920" spans="1:1">
      <c r="A16920" s="27">
        <v>1</v>
      </c>
    </row>
    <row r="16921" spans="1:1">
      <c r="A16921" s="27">
        <v>0</v>
      </c>
    </row>
    <row r="16922" spans="1:1">
      <c r="A16922" s="27">
        <v>41</v>
      </c>
    </row>
    <row r="16923" spans="1:1">
      <c r="A16923" s="27">
        <v>9.8000000000000007</v>
      </c>
    </row>
    <row r="16924" spans="1:1">
      <c r="A16924" s="29">
        <v>0.60138888888888886</v>
      </c>
    </row>
    <row r="16925" spans="1:1">
      <c r="A16925" s="27">
        <v>19.399999999999999</v>
      </c>
    </row>
    <row r="16926" spans="1:1">
      <c r="A16926" s="28">
        <v>0</v>
      </c>
    </row>
    <row r="16927" spans="1:1">
      <c r="A16927" s="25">
        <v>757</v>
      </c>
    </row>
    <row r="16928" spans="1:1" ht="30">
      <c r="A16928" s="26" t="s">
        <v>528</v>
      </c>
    </row>
    <row r="16929" spans="1:1">
      <c r="A16929" s="27" t="s">
        <v>653</v>
      </c>
    </row>
    <row r="16930" spans="1:1">
      <c r="A16930" s="27">
        <v>32</v>
      </c>
    </row>
    <row r="16931" spans="1:1">
      <c r="A16931" s="27">
        <v>3</v>
      </c>
    </row>
    <row r="16932" spans="1:1">
      <c r="A16932" s="27">
        <v>4</v>
      </c>
    </row>
    <row r="16933" spans="1:1">
      <c r="A16933" s="27">
        <v>7</v>
      </c>
    </row>
    <row r="16934" spans="1:1">
      <c r="A16934" s="27">
        <v>2</v>
      </c>
    </row>
    <row r="16935" spans="1:1">
      <c r="A16935" s="27">
        <v>6</v>
      </c>
    </row>
    <row r="16936" spans="1:1">
      <c r="A16936" s="27">
        <v>0.22</v>
      </c>
    </row>
    <row r="16937" spans="1:1">
      <c r="A16937" s="27">
        <v>0</v>
      </c>
    </row>
    <row r="16938" spans="1:1">
      <c r="A16938" s="27">
        <v>0</v>
      </c>
    </row>
    <row r="16939" spans="1:1">
      <c r="A16939" s="27">
        <v>0</v>
      </c>
    </row>
    <row r="16940" spans="1:1">
      <c r="A16940" s="27">
        <v>0</v>
      </c>
    </row>
    <row r="16941" spans="1:1">
      <c r="A16941" s="27">
        <v>0</v>
      </c>
    </row>
    <row r="16942" spans="1:1">
      <c r="A16942" s="27">
        <v>0</v>
      </c>
    </row>
    <row r="16943" spans="1:1">
      <c r="A16943" s="27">
        <v>31</v>
      </c>
    </row>
    <row r="16944" spans="1:1">
      <c r="A16944" s="27">
        <v>9.6999999999999993</v>
      </c>
    </row>
    <row r="16945" spans="1:1">
      <c r="A16945" s="29">
        <v>0.44305555555555554</v>
      </c>
    </row>
    <row r="16946" spans="1:1">
      <c r="A16946" s="27">
        <v>14.6</v>
      </c>
    </row>
    <row r="16947" spans="1:1">
      <c r="A16947" s="28">
        <v>39</v>
      </c>
    </row>
    <row r="16948" spans="1:1">
      <c r="A16948" s="25">
        <v>758</v>
      </c>
    </row>
    <row r="16949" spans="1:1" ht="30">
      <c r="A16949" s="26" t="s">
        <v>1054</v>
      </c>
    </row>
    <row r="16950" spans="1:1">
      <c r="A16950" s="27" t="s">
        <v>42</v>
      </c>
    </row>
    <row r="16951" spans="1:1">
      <c r="A16951" s="27">
        <v>31</v>
      </c>
    </row>
    <row r="16952" spans="1:1">
      <c r="A16952" s="27">
        <v>3</v>
      </c>
    </row>
    <row r="16953" spans="1:1">
      <c r="A16953" s="27">
        <v>4</v>
      </c>
    </row>
    <row r="16954" spans="1:1">
      <c r="A16954" s="27">
        <v>7</v>
      </c>
    </row>
    <row r="16955" spans="1:1">
      <c r="A16955" s="27">
        <v>2</v>
      </c>
    </row>
    <row r="16956" spans="1:1">
      <c r="A16956" s="27">
        <v>16</v>
      </c>
    </row>
    <row r="16957" spans="1:1">
      <c r="A16957" s="27">
        <v>0.23</v>
      </c>
    </row>
    <row r="16958" spans="1:1">
      <c r="A16958" s="27">
        <v>0</v>
      </c>
    </row>
    <row r="16959" spans="1:1">
      <c r="A16959" s="27">
        <v>0</v>
      </c>
    </row>
    <row r="16960" spans="1:1">
      <c r="A16960" s="27">
        <v>0</v>
      </c>
    </row>
    <row r="16961" spans="1:1">
      <c r="A16961" s="27">
        <v>0</v>
      </c>
    </row>
    <row r="16962" spans="1:1">
      <c r="A16962" s="27">
        <v>0</v>
      </c>
    </row>
    <row r="16963" spans="1:1">
      <c r="A16963" s="27">
        <v>0</v>
      </c>
    </row>
    <row r="16964" spans="1:1">
      <c r="A16964" s="27">
        <v>40</v>
      </c>
    </row>
    <row r="16965" spans="1:1">
      <c r="A16965" s="27">
        <v>7.5</v>
      </c>
    </row>
    <row r="16966" spans="1:1">
      <c r="A16966" s="29">
        <v>0.75902777777777775</v>
      </c>
    </row>
    <row r="16967" spans="1:1">
      <c r="A16967" s="27">
        <v>23.1</v>
      </c>
    </row>
    <row r="16968" spans="1:1">
      <c r="A16968" s="28">
        <v>0</v>
      </c>
    </row>
    <row r="16969" spans="1:1">
      <c r="A16969" s="25">
        <v>759</v>
      </c>
    </row>
    <row r="16970" spans="1:1" ht="30">
      <c r="A16970" s="26" t="s">
        <v>717</v>
      </c>
    </row>
    <row r="16971" spans="1:1">
      <c r="A16971" s="27" t="s">
        <v>653</v>
      </c>
    </row>
    <row r="16972" spans="1:1">
      <c r="A16972" s="27">
        <v>40</v>
      </c>
    </row>
    <row r="16973" spans="1:1">
      <c r="A16973" s="27">
        <v>3</v>
      </c>
    </row>
    <row r="16974" spans="1:1">
      <c r="A16974" s="27">
        <v>4</v>
      </c>
    </row>
    <row r="16975" spans="1:1">
      <c r="A16975" s="27">
        <v>7</v>
      </c>
    </row>
    <row r="16976" spans="1:1">
      <c r="A16976" s="27">
        <v>-3</v>
      </c>
    </row>
    <row r="16977" spans="1:1">
      <c r="A16977" s="27">
        <v>10</v>
      </c>
    </row>
    <row r="16978" spans="1:1">
      <c r="A16978" s="27">
        <v>0.17</v>
      </c>
    </row>
    <row r="16979" spans="1:1">
      <c r="A16979" s="27">
        <v>0</v>
      </c>
    </row>
    <row r="16980" spans="1:1">
      <c r="A16980" s="27">
        <v>1</v>
      </c>
    </row>
    <row r="16981" spans="1:1">
      <c r="A16981" s="27">
        <v>0</v>
      </c>
    </row>
    <row r="16982" spans="1:1">
      <c r="A16982" s="27">
        <v>0</v>
      </c>
    </row>
    <row r="16983" spans="1:1">
      <c r="A16983" s="27">
        <v>1</v>
      </c>
    </row>
    <row r="16984" spans="1:1">
      <c r="A16984" s="27">
        <v>0</v>
      </c>
    </row>
    <row r="16985" spans="1:1">
      <c r="A16985" s="27">
        <v>43</v>
      </c>
    </row>
    <row r="16986" spans="1:1">
      <c r="A16986" s="27">
        <v>7</v>
      </c>
    </row>
    <row r="16987" spans="1:1">
      <c r="A16987" s="29">
        <v>0.47500000000000003</v>
      </c>
    </row>
    <row r="16988" spans="1:1">
      <c r="A16988" s="27">
        <v>17.2</v>
      </c>
    </row>
    <row r="16989" spans="1:1">
      <c r="A16989" s="28">
        <v>50.8</v>
      </c>
    </row>
    <row r="16990" spans="1:1">
      <c r="A16990" s="25">
        <v>760</v>
      </c>
    </row>
    <row r="16991" spans="1:1" ht="30">
      <c r="A16991" s="26" t="s">
        <v>492</v>
      </c>
    </row>
    <row r="16992" spans="1:1">
      <c r="A16992" s="27" t="s">
        <v>42</v>
      </c>
    </row>
    <row r="16993" spans="1:1">
      <c r="A16993" s="27">
        <v>59</v>
      </c>
    </row>
    <row r="16994" spans="1:1">
      <c r="A16994" s="27">
        <v>1</v>
      </c>
    </row>
    <row r="16995" spans="1:1">
      <c r="A16995" s="27">
        <v>6</v>
      </c>
    </row>
    <row r="16996" spans="1:1">
      <c r="A16996" s="27">
        <v>7</v>
      </c>
    </row>
    <row r="16997" spans="1:1">
      <c r="A16997" s="27">
        <v>-2</v>
      </c>
    </row>
    <row r="16998" spans="1:1">
      <c r="A16998" s="27">
        <v>22</v>
      </c>
    </row>
    <row r="16999" spans="1:1">
      <c r="A16999" s="27">
        <v>0.12</v>
      </c>
    </row>
    <row r="17000" spans="1:1">
      <c r="A17000" s="27">
        <v>0</v>
      </c>
    </row>
    <row r="17001" spans="1:1">
      <c r="A17001" s="27">
        <v>0</v>
      </c>
    </row>
    <row r="17002" spans="1:1">
      <c r="A17002" s="27">
        <v>0</v>
      </c>
    </row>
    <row r="17003" spans="1:1">
      <c r="A17003" s="27">
        <v>0</v>
      </c>
    </row>
    <row r="17004" spans="1:1">
      <c r="A17004" s="27">
        <v>0</v>
      </c>
    </row>
    <row r="17005" spans="1:1">
      <c r="A17005" s="27">
        <v>0</v>
      </c>
    </row>
    <row r="17006" spans="1:1">
      <c r="A17006" s="27">
        <v>46</v>
      </c>
    </row>
    <row r="17007" spans="1:1">
      <c r="A17007" s="27">
        <v>2.2000000000000002</v>
      </c>
    </row>
    <row r="17008" spans="1:1">
      <c r="A17008" s="29">
        <v>0.58333333333333337</v>
      </c>
    </row>
    <row r="17009" spans="1:1">
      <c r="A17009" s="27">
        <v>19.7</v>
      </c>
    </row>
    <row r="17010" spans="1:1">
      <c r="A17010" s="28">
        <v>0</v>
      </c>
    </row>
    <row r="17011" spans="1:1">
      <c r="A17011" s="25">
        <v>761</v>
      </c>
    </row>
    <row r="17012" spans="1:1" ht="30">
      <c r="A17012" s="26" t="s">
        <v>1116</v>
      </c>
    </row>
    <row r="17013" spans="1:1">
      <c r="A17013" s="27" t="s">
        <v>42</v>
      </c>
    </row>
    <row r="17014" spans="1:1">
      <c r="A17014" s="27">
        <v>103</v>
      </c>
    </row>
    <row r="17015" spans="1:1">
      <c r="A17015" s="27">
        <v>1</v>
      </c>
    </row>
    <row r="17016" spans="1:1">
      <c r="A17016" s="27">
        <v>6</v>
      </c>
    </row>
    <row r="17017" spans="1:1">
      <c r="A17017" s="27">
        <v>7</v>
      </c>
    </row>
    <row r="17018" spans="1:1">
      <c r="A17018" s="27">
        <v>-34</v>
      </c>
    </row>
    <row r="17019" spans="1:1">
      <c r="A17019" s="27">
        <v>79</v>
      </c>
    </row>
    <row r="17020" spans="1:1">
      <c r="A17020" s="27">
        <v>7.0000000000000007E-2</v>
      </c>
    </row>
    <row r="17021" spans="1:1">
      <c r="A17021" s="27">
        <v>0</v>
      </c>
    </row>
    <row r="17022" spans="1:1">
      <c r="A17022" s="27">
        <v>0</v>
      </c>
    </row>
    <row r="17023" spans="1:1">
      <c r="A17023" s="27">
        <v>0</v>
      </c>
    </row>
    <row r="17024" spans="1:1">
      <c r="A17024" s="27">
        <v>0</v>
      </c>
    </row>
    <row r="17025" spans="1:1">
      <c r="A17025" s="27">
        <v>0</v>
      </c>
    </row>
    <row r="17026" spans="1:1">
      <c r="A17026" s="27">
        <v>0</v>
      </c>
    </row>
    <row r="17027" spans="1:1">
      <c r="A17027" s="27">
        <v>82</v>
      </c>
    </row>
    <row r="17028" spans="1:1">
      <c r="A17028" s="27">
        <v>1.2</v>
      </c>
    </row>
    <row r="17029" spans="1:1">
      <c r="A17029" s="29">
        <v>0.68125000000000002</v>
      </c>
    </row>
    <row r="17030" spans="1:1">
      <c r="A17030" s="27">
        <v>22.2</v>
      </c>
    </row>
    <row r="17031" spans="1:1">
      <c r="A17031" s="28">
        <v>0</v>
      </c>
    </row>
    <row r="17032" spans="1:1">
      <c r="A17032" s="25">
        <v>762</v>
      </c>
    </row>
    <row r="17033" spans="1:1" ht="30">
      <c r="A17033" s="26" t="s">
        <v>857</v>
      </c>
    </row>
    <row r="17034" spans="1:1">
      <c r="A17034" s="27" t="s">
        <v>653</v>
      </c>
    </row>
    <row r="17035" spans="1:1">
      <c r="A17035" s="27">
        <v>20</v>
      </c>
    </row>
    <row r="17036" spans="1:1">
      <c r="A17036" s="27">
        <v>1</v>
      </c>
    </row>
    <row r="17037" spans="1:1">
      <c r="A17037" s="27">
        <v>6</v>
      </c>
    </row>
    <row r="17038" spans="1:1">
      <c r="A17038" s="27">
        <v>7</v>
      </c>
    </row>
    <row r="17039" spans="1:1">
      <c r="A17039" s="27">
        <v>-5</v>
      </c>
    </row>
    <row r="17040" spans="1:1">
      <c r="A17040" s="27">
        <v>4</v>
      </c>
    </row>
    <row r="17041" spans="1:1">
      <c r="A17041" s="27">
        <v>0.35</v>
      </c>
    </row>
    <row r="17042" spans="1:1">
      <c r="A17042" s="27">
        <v>1</v>
      </c>
    </row>
    <row r="17043" spans="1:1">
      <c r="A17043" s="27">
        <v>3</v>
      </c>
    </row>
    <row r="17044" spans="1:1">
      <c r="A17044" s="27">
        <v>0</v>
      </c>
    </row>
    <row r="17045" spans="1:1">
      <c r="A17045" s="27">
        <v>0</v>
      </c>
    </row>
    <row r="17046" spans="1:1">
      <c r="A17046" s="27">
        <v>1</v>
      </c>
    </row>
    <row r="17047" spans="1:1">
      <c r="A17047" s="27">
        <v>0</v>
      </c>
    </row>
    <row r="17048" spans="1:1">
      <c r="A17048" s="27">
        <v>22</v>
      </c>
    </row>
    <row r="17049" spans="1:1">
      <c r="A17049" s="27">
        <v>4.5</v>
      </c>
    </row>
    <row r="17050" spans="1:1">
      <c r="A17050" s="29">
        <v>0.47847222222222219</v>
      </c>
    </row>
    <row r="17051" spans="1:1">
      <c r="A17051" s="27">
        <v>17</v>
      </c>
    </row>
    <row r="17052" spans="1:1">
      <c r="A17052" s="28">
        <v>40</v>
      </c>
    </row>
    <row r="17053" spans="1:1">
      <c r="A17053" s="25">
        <v>763</v>
      </c>
    </row>
    <row r="17054" spans="1:1" ht="30">
      <c r="A17054" s="26" t="s">
        <v>894</v>
      </c>
    </row>
    <row r="17055" spans="1:1">
      <c r="A17055" s="27" t="s">
        <v>653</v>
      </c>
    </row>
    <row r="17056" spans="1:1">
      <c r="A17056" s="27">
        <v>25</v>
      </c>
    </row>
    <row r="17057" spans="1:1">
      <c r="A17057" s="27">
        <v>5</v>
      </c>
    </row>
    <row r="17058" spans="1:1">
      <c r="A17058" s="27">
        <v>1</v>
      </c>
    </row>
    <row r="17059" spans="1:1">
      <c r="A17059" s="27">
        <v>6</v>
      </c>
    </row>
    <row r="17060" spans="1:1">
      <c r="A17060" s="27">
        <v>0</v>
      </c>
    </row>
    <row r="17061" spans="1:1">
      <c r="A17061" s="27">
        <v>6</v>
      </c>
    </row>
    <row r="17062" spans="1:1">
      <c r="A17062" s="27">
        <v>0.24</v>
      </c>
    </row>
    <row r="17063" spans="1:1">
      <c r="A17063" s="27">
        <v>0</v>
      </c>
    </row>
    <row r="17064" spans="1:1">
      <c r="A17064" s="27">
        <v>1</v>
      </c>
    </row>
    <row r="17065" spans="1:1">
      <c r="A17065" s="27">
        <v>0</v>
      </c>
    </row>
    <row r="17066" spans="1:1">
      <c r="A17066" s="27">
        <v>0</v>
      </c>
    </row>
    <row r="17067" spans="1:1">
      <c r="A17067" s="27">
        <v>1</v>
      </c>
    </row>
    <row r="17068" spans="1:1">
      <c r="A17068" s="27">
        <v>1</v>
      </c>
    </row>
    <row r="17069" spans="1:1">
      <c r="A17069" s="27">
        <v>38</v>
      </c>
    </row>
    <row r="17070" spans="1:1">
      <c r="A17070" s="27">
        <v>13.2</v>
      </c>
    </row>
    <row r="17071" spans="1:1">
      <c r="A17071" s="29">
        <v>0.5395833333333333</v>
      </c>
    </row>
    <row r="17072" spans="1:1">
      <c r="A17072" s="27">
        <v>16.399999999999999</v>
      </c>
    </row>
    <row r="17073" spans="1:1">
      <c r="A17073" s="28">
        <v>35.5</v>
      </c>
    </row>
    <row r="17074" spans="1:1">
      <c r="A17074" s="25">
        <v>764</v>
      </c>
    </row>
    <row r="17075" spans="1:1" ht="30">
      <c r="A17075" s="26" t="s">
        <v>677</v>
      </c>
    </row>
    <row r="17076" spans="1:1">
      <c r="A17076" s="27" t="s">
        <v>44</v>
      </c>
    </row>
    <row r="17077" spans="1:1">
      <c r="A17077" s="27">
        <v>24</v>
      </c>
    </row>
    <row r="17078" spans="1:1">
      <c r="A17078" s="27">
        <v>3</v>
      </c>
    </row>
    <row r="17079" spans="1:1">
      <c r="A17079" s="27">
        <v>3</v>
      </c>
    </row>
    <row r="17080" spans="1:1">
      <c r="A17080" s="27">
        <v>6</v>
      </c>
    </row>
    <row r="17081" spans="1:1">
      <c r="A17081" s="27">
        <v>-6</v>
      </c>
    </row>
    <row r="17082" spans="1:1">
      <c r="A17082" s="27">
        <v>2</v>
      </c>
    </row>
    <row r="17083" spans="1:1">
      <c r="A17083" s="27">
        <v>0.25</v>
      </c>
    </row>
    <row r="17084" spans="1:1">
      <c r="A17084" s="27">
        <v>0</v>
      </c>
    </row>
    <row r="17085" spans="1:1">
      <c r="A17085" s="27">
        <v>0</v>
      </c>
    </row>
    <row r="17086" spans="1:1">
      <c r="A17086" s="27">
        <v>1</v>
      </c>
    </row>
    <row r="17087" spans="1:1">
      <c r="A17087" s="27">
        <v>1</v>
      </c>
    </row>
    <row r="17088" spans="1:1">
      <c r="A17088" s="27">
        <v>1</v>
      </c>
    </row>
    <row r="17089" spans="1:1">
      <c r="A17089" s="27">
        <v>0</v>
      </c>
    </row>
    <row r="17090" spans="1:1">
      <c r="A17090" s="27">
        <v>29</v>
      </c>
    </row>
    <row r="17091" spans="1:1">
      <c r="A17091" s="27">
        <v>10.3</v>
      </c>
    </row>
    <row r="17092" spans="1:1">
      <c r="A17092" s="29">
        <v>0.44097222222222227</v>
      </c>
    </row>
    <row r="17093" spans="1:1">
      <c r="A17093" s="27">
        <v>14.5</v>
      </c>
    </row>
    <row r="17094" spans="1:1">
      <c r="A17094" s="28">
        <v>64.7</v>
      </c>
    </row>
    <row r="17095" spans="1:1">
      <c r="A17095" s="25">
        <v>765</v>
      </c>
    </row>
    <row r="17096" spans="1:1" ht="30">
      <c r="A17096" s="26" t="s">
        <v>726</v>
      </c>
    </row>
    <row r="17097" spans="1:1">
      <c r="A17097" s="27" t="s">
        <v>653</v>
      </c>
    </row>
    <row r="17098" spans="1:1">
      <c r="A17098" s="27">
        <v>41</v>
      </c>
    </row>
    <row r="17099" spans="1:1">
      <c r="A17099" s="27">
        <v>3</v>
      </c>
    </row>
    <row r="17100" spans="1:1">
      <c r="A17100" s="27">
        <v>3</v>
      </c>
    </row>
    <row r="17101" spans="1:1">
      <c r="A17101" s="27">
        <v>6</v>
      </c>
    </row>
    <row r="17102" spans="1:1">
      <c r="A17102" s="27">
        <v>-8</v>
      </c>
    </row>
    <row r="17103" spans="1:1">
      <c r="A17103" s="27">
        <v>26</v>
      </c>
    </row>
    <row r="17104" spans="1:1">
      <c r="A17104" s="27">
        <v>0.15</v>
      </c>
    </row>
    <row r="17105" spans="1:1">
      <c r="A17105" s="27">
        <v>0</v>
      </c>
    </row>
    <row r="17106" spans="1:1">
      <c r="A17106" s="27">
        <v>0</v>
      </c>
    </row>
    <row r="17107" spans="1:1">
      <c r="A17107" s="27">
        <v>1</v>
      </c>
    </row>
    <row r="17108" spans="1:1">
      <c r="A17108" s="27">
        <v>1</v>
      </c>
    </row>
    <row r="17109" spans="1:1">
      <c r="A17109" s="27">
        <v>0</v>
      </c>
    </row>
    <row r="17110" spans="1:1">
      <c r="A17110" s="27">
        <v>0</v>
      </c>
    </row>
    <row r="17111" spans="1:1">
      <c r="A17111" s="27">
        <v>44</v>
      </c>
    </row>
    <row r="17112" spans="1:1">
      <c r="A17112" s="27">
        <v>6.8</v>
      </c>
    </row>
    <row r="17113" spans="1:1">
      <c r="A17113" s="29">
        <v>0.37916666666666665</v>
      </c>
    </row>
    <row r="17114" spans="1:1">
      <c r="A17114" s="27">
        <v>13</v>
      </c>
    </row>
    <row r="17115" spans="1:1">
      <c r="A17115" s="28">
        <v>50.4</v>
      </c>
    </row>
    <row r="17116" spans="1:1">
      <c r="A17116" s="25">
        <v>766</v>
      </c>
    </row>
    <row r="17117" spans="1:1" ht="30">
      <c r="A17117" s="26" t="s">
        <v>1096</v>
      </c>
    </row>
    <row r="17118" spans="1:1">
      <c r="A17118" s="27" t="s">
        <v>42</v>
      </c>
    </row>
    <row r="17119" spans="1:1">
      <c r="A17119" s="27">
        <v>49</v>
      </c>
    </row>
    <row r="17120" spans="1:1">
      <c r="A17120" s="27">
        <v>2</v>
      </c>
    </row>
    <row r="17121" spans="1:1">
      <c r="A17121" s="27">
        <v>4</v>
      </c>
    </row>
    <row r="17122" spans="1:1">
      <c r="A17122" s="27">
        <v>6</v>
      </c>
    </row>
    <row r="17123" spans="1:1">
      <c r="A17123" s="27">
        <v>3</v>
      </c>
    </row>
    <row r="17124" spans="1:1">
      <c r="A17124" s="27">
        <v>12</v>
      </c>
    </row>
    <row r="17125" spans="1:1">
      <c r="A17125" s="27">
        <v>0.12</v>
      </c>
    </row>
    <row r="17126" spans="1:1">
      <c r="A17126" s="27">
        <v>2</v>
      </c>
    </row>
    <row r="17127" spans="1:1">
      <c r="A17127" s="27">
        <v>2</v>
      </c>
    </row>
    <row r="17128" spans="1:1">
      <c r="A17128" s="27">
        <v>0</v>
      </c>
    </row>
    <row r="17129" spans="1:1">
      <c r="A17129" s="27">
        <v>0</v>
      </c>
    </row>
    <row r="17130" spans="1:1">
      <c r="A17130" s="27">
        <v>1</v>
      </c>
    </row>
    <row r="17131" spans="1:1">
      <c r="A17131" s="27">
        <v>0</v>
      </c>
    </row>
    <row r="17132" spans="1:1">
      <c r="A17132" s="27">
        <v>60</v>
      </c>
    </row>
    <row r="17133" spans="1:1">
      <c r="A17133" s="27">
        <v>3.3</v>
      </c>
    </row>
    <row r="17134" spans="1:1">
      <c r="A17134" s="29">
        <v>0.66180555555555554</v>
      </c>
    </row>
    <row r="17135" spans="1:1">
      <c r="A17135" s="27">
        <v>22.1</v>
      </c>
    </row>
    <row r="17136" spans="1:1">
      <c r="A17136" s="28">
        <v>0</v>
      </c>
    </row>
    <row r="17137" spans="1:1">
      <c r="A17137" s="25">
        <v>767</v>
      </c>
    </row>
    <row r="17138" spans="1:1" ht="45">
      <c r="A17138" s="26" t="s">
        <v>63</v>
      </c>
    </row>
    <row r="17139" spans="1:1">
      <c r="A17139" s="27" t="s">
        <v>44</v>
      </c>
    </row>
    <row r="17140" spans="1:1">
      <c r="A17140" s="27">
        <v>21</v>
      </c>
    </row>
    <row r="17141" spans="1:1">
      <c r="A17141" s="27">
        <v>2</v>
      </c>
    </row>
    <row r="17142" spans="1:1">
      <c r="A17142" s="27">
        <v>4</v>
      </c>
    </row>
    <row r="17143" spans="1:1">
      <c r="A17143" s="27">
        <v>6</v>
      </c>
    </row>
    <row r="17144" spans="1:1">
      <c r="A17144" s="27">
        <v>1</v>
      </c>
    </row>
    <row r="17145" spans="1:1">
      <c r="A17145" s="27">
        <v>8</v>
      </c>
    </row>
    <row r="17146" spans="1:1">
      <c r="A17146" s="27">
        <v>0.28999999999999998</v>
      </c>
    </row>
    <row r="17147" spans="1:1">
      <c r="A17147" s="27">
        <v>0</v>
      </c>
    </row>
    <row r="17148" spans="1:1">
      <c r="A17148" s="27">
        <v>0</v>
      </c>
    </row>
    <row r="17149" spans="1:1">
      <c r="A17149" s="27">
        <v>0</v>
      </c>
    </row>
    <row r="17150" spans="1:1">
      <c r="A17150" s="27">
        <v>0</v>
      </c>
    </row>
    <row r="17151" spans="1:1">
      <c r="A17151" s="27">
        <v>0</v>
      </c>
    </row>
    <row r="17152" spans="1:1">
      <c r="A17152" s="27">
        <v>0</v>
      </c>
    </row>
    <row r="17153" spans="1:1">
      <c r="A17153" s="27">
        <v>17</v>
      </c>
    </row>
    <row r="17154" spans="1:1">
      <c r="A17154" s="27">
        <v>11.8</v>
      </c>
    </row>
    <row r="17155" spans="1:1">
      <c r="A17155" s="29">
        <v>0.35694444444444445</v>
      </c>
    </row>
    <row r="17156" spans="1:1">
      <c r="A17156" s="27">
        <v>13.9</v>
      </c>
    </row>
    <row r="17157" spans="1:1">
      <c r="A17157" s="28">
        <v>0</v>
      </c>
    </row>
    <row r="17158" spans="1:1">
      <c r="A17158" s="25">
        <v>768</v>
      </c>
    </row>
    <row r="17159" spans="1:1" ht="30">
      <c r="A17159" s="26" t="s">
        <v>543</v>
      </c>
    </row>
    <row r="17160" spans="1:1">
      <c r="A17160" s="27" t="s">
        <v>653</v>
      </c>
    </row>
    <row r="17161" spans="1:1">
      <c r="A17161" s="27">
        <v>35</v>
      </c>
    </row>
    <row r="17162" spans="1:1">
      <c r="A17162" s="27">
        <v>2</v>
      </c>
    </row>
    <row r="17163" spans="1:1">
      <c r="A17163" s="27">
        <v>4</v>
      </c>
    </row>
    <row r="17164" spans="1:1">
      <c r="A17164" s="27">
        <v>6</v>
      </c>
    </row>
    <row r="17165" spans="1:1">
      <c r="A17165" s="27">
        <v>-6</v>
      </c>
    </row>
    <row r="17166" spans="1:1">
      <c r="A17166" s="27">
        <v>15</v>
      </c>
    </row>
    <row r="17167" spans="1:1">
      <c r="A17167" s="27">
        <v>0.17</v>
      </c>
    </row>
    <row r="17168" spans="1:1">
      <c r="A17168" s="27">
        <v>0</v>
      </c>
    </row>
    <row r="17169" spans="1:1">
      <c r="A17169" s="27">
        <v>1</v>
      </c>
    </row>
    <row r="17170" spans="1:1">
      <c r="A17170" s="27">
        <v>0</v>
      </c>
    </row>
    <row r="17171" spans="1:1">
      <c r="A17171" s="27">
        <v>0</v>
      </c>
    </row>
    <row r="17172" spans="1:1">
      <c r="A17172" s="27">
        <v>0</v>
      </c>
    </row>
    <row r="17173" spans="1:1">
      <c r="A17173" s="27">
        <v>0</v>
      </c>
    </row>
    <row r="17174" spans="1:1">
      <c r="A17174" s="27">
        <v>24</v>
      </c>
    </row>
    <row r="17175" spans="1:1">
      <c r="A17175" s="27">
        <v>8.3000000000000007</v>
      </c>
    </row>
    <row r="17176" spans="1:1">
      <c r="A17176" s="29">
        <v>0.43124999999999997</v>
      </c>
    </row>
    <row r="17177" spans="1:1">
      <c r="A17177" s="27">
        <v>14.1</v>
      </c>
    </row>
    <row r="17178" spans="1:1">
      <c r="A17178" s="28">
        <v>49.8</v>
      </c>
    </row>
    <row r="17179" spans="1:1">
      <c r="A17179" s="25">
        <v>769</v>
      </c>
    </row>
    <row r="17180" spans="1:1" ht="30">
      <c r="A17180" s="26" t="s">
        <v>468</v>
      </c>
    </row>
    <row r="17181" spans="1:1">
      <c r="A17181" s="27" t="s">
        <v>42</v>
      </c>
    </row>
    <row r="17182" spans="1:1">
      <c r="A17182" s="27">
        <v>26</v>
      </c>
    </row>
    <row r="17183" spans="1:1">
      <c r="A17183" s="27">
        <v>1</v>
      </c>
    </row>
    <row r="17184" spans="1:1">
      <c r="A17184" s="27">
        <v>5</v>
      </c>
    </row>
    <row r="17185" spans="1:1">
      <c r="A17185" s="27">
        <v>6</v>
      </c>
    </row>
    <row r="17186" spans="1:1">
      <c r="A17186" s="27">
        <v>-12</v>
      </c>
    </row>
    <row r="17187" spans="1:1">
      <c r="A17187" s="27">
        <v>6</v>
      </c>
    </row>
    <row r="17188" spans="1:1">
      <c r="A17188" s="27">
        <v>0.23</v>
      </c>
    </row>
    <row r="17189" spans="1:1">
      <c r="A17189" s="27">
        <v>0</v>
      </c>
    </row>
    <row r="17190" spans="1:1">
      <c r="A17190" s="27">
        <v>1</v>
      </c>
    </row>
    <row r="17191" spans="1:1">
      <c r="A17191" s="27">
        <v>0</v>
      </c>
    </row>
    <row r="17192" spans="1:1">
      <c r="A17192" s="27">
        <v>0</v>
      </c>
    </row>
    <row r="17193" spans="1:1">
      <c r="A17193" s="27">
        <v>0</v>
      </c>
    </row>
    <row r="17194" spans="1:1">
      <c r="A17194" s="27">
        <v>0</v>
      </c>
    </row>
    <row r="17195" spans="1:1">
      <c r="A17195" s="27">
        <v>25</v>
      </c>
    </row>
    <row r="17196" spans="1:1">
      <c r="A17196" s="27">
        <v>4</v>
      </c>
    </row>
    <row r="17197" spans="1:1">
      <c r="A17197" s="29">
        <v>0.76250000000000007</v>
      </c>
    </row>
    <row r="17198" spans="1:1">
      <c r="A17198" s="27">
        <v>23.2</v>
      </c>
    </row>
    <row r="17199" spans="1:1">
      <c r="A17199" s="28">
        <v>0</v>
      </c>
    </row>
    <row r="17200" spans="1:1">
      <c r="A17200" s="25">
        <v>770</v>
      </c>
    </row>
    <row r="17201" spans="1:1" ht="30">
      <c r="A17201" s="26" t="s">
        <v>879</v>
      </c>
    </row>
    <row r="17202" spans="1:1">
      <c r="A17202" s="27" t="s">
        <v>44</v>
      </c>
    </row>
    <row r="17203" spans="1:1">
      <c r="A17203" s="27">
        <v>37</v>
      </c>
    </row>
    <row r="17204" spans="1:1">
      <c r="A17204" s="27">
        <v>1</v>
      </c>
    </row>
    <row r="17205" spans="1:1">
      <c r="A17205" s="27">
        <v>5</v>
      </c>
    </row>
    <row r="17206" spans="1:1">
      <c r="A17206" s="27">
        <v>6</v>
      </c>
    </row>
    <row r="17207" spans="1:1">
      <c r="A17207" s="27">
        <v>-2</v>
      </c>
    </row>
    <row r="17208" spans="1:1">
      <c r="A17208" s="27">
        <v>47</v>
      </c>
    </row>
    <row r="17209" spans="1:1">
      <c r="A17209" s="27">
        <v>0.16</v>
      </c>
    </row>
    <row r="17210" spans="1:1">
      <c r="A17210" s="27">
        <v>0</v>
      </c>
    </row>
    <row r="17211" spans="1:1">
      <c r="A17211" s="27">
        <v>0</v>
      </c>
    </row>
    <row r="17212" spans="1:1">
      <c r="A17212" s="27">
        <v>0</v>
      </c>
    </row>
    <row r="17213" spans="1:1">
      <c r="A17213" s="27">
        <v>0</v>
      </c>
    </row>
    <row r="17214" spans="1:1">
      <c r="A17214" s="27">
        <v>0</v>
      </c>
    </row>
    <row r="17215" spans="1:1">
      <c r="A17215" s="27">
        <v>0</v>
      </c>
    </row>
    <row r="17216" spans="1:1">
      <c r="A17216" s="27">
        <v>30</v>
      </c>
    </row>
    <row r="17217" spans="1:1">
      <c r="A17217" s="27">
        <v>3.3</v>
      </c>
    </row>
    <row r="17218" spans="1:1">
      <c r="A17218" s="29">
        <v>0.32430555555555557</v>
      </c>
    </row>
    <row r="17219" spans="1:1">
      <c r="A17219" s="27">
        <v>11.7</v>
      </c>
    </row>
    <row r="17220" spans="1:1">
      <c r="A17220" s="28">
        <v>37.5</v>
      </c>
    </row>
    <row r="17221" spans="1:1">
      <c r="A17221" s="25">
        <v>771</v>
      </c>
    </row>
    <row r="17222" spans="1:1" ht="30">
      <c r="A17222" s="26" t="s">
        <v>1079</v>
      </c>
    </row>
    <row r="17223" spans="1:1">
      <c r="A17223" s="27" t="s">
        <v>42</v>
      </c>
    </row>
    <row r="17224" spans="1:1">
      <c r="A17224" s="27">
        <v>33</v>
      </c>
    </row>
    <row r="17225" spans="1:1">
      <c r="A17225" s="27">
        <v>1</v>
      </c>
    </row>
    <row r="17226" spans="1:1">
      <c r="A17226" s="27">
        <v>5</v>
      </c>
    </row>
    <row r="17227" spans="1:1">
      <c r="A17227" s="27">
        <v>6</v>
      </c>
    </row>
    <row r="17228" spans="1:1">
      <c r="A17228" s="27">
        <v>-6</v>
      </c>
    </row>
    <row r="17229" spans="1:1">
      <c r="A17229" s="27">
        <v>8</v>
      </c>
    </row>
    <row r="17230" spans="1:1">
      <c r="A17230" s="27">
        <v>0.18</v>
      </c>
    </row>
    <row r="17231" spans="1:1">
      <c r="A17231" s="27">
        <v>0</v>
      </c>
    </row>
    <row r="17232" spans="1:1">
      <c r="A17232" s="27">
        <v>0</v>
      </c>
    </row>
    <row r="17233" spans="1:1">
      <c r="A17233" s="27">
        <v>0</v>
      </c>
    </row>
    <row r="17234" spans="1:1">
      <c r="A17234" s="27">
        <v>0</v>
      </c>
    </row>
    <row r="17235" spans="1:1">
      <c r="A17235" s="27">
        <v>0</v>
      </c>
    </row>
    <row r="17236" spans="1:1">
      <c r="A17236" s="27">
        <v>0</v>
      </c>
    </row>
    <row r="17237" spans="1:1">
      <c r="A17237" s="27">
        <v>38</v>
      </c>
    </row>
    <row r="17238" spans="1:1">
      <c r="A17238" s="27">
        <v>2.6</v>
      </c>
    </row>
    <row r="17239" spans="1:1">
      <c r="A17239" s="29">
        <v>0.6694444444444444</v>
      </c>
    </row>
    <row r="17240" spans="1:1">
      <c r="A17240" s="27">
        <v>20.6</v>
      </c>
    </row>
    <row r="17241" spans="1:1">
      <c r="A17241" s="28">
        <v>0</v>
      </c>
    </row>
    <row r="17242" spans="1:1">
      <c r="A17242" s="25">
        <v>772</v>
      </c>
    </row>
    <row r="17243" spans="1:1" ht="30">
      <c r="A17243" s="26" t="s">
        <v>1047</v>
      </c>
    </row>
    <row r="17244" spans="1:1">
      <c r="A17244" s="27" t="s">
        <v>42</v>
      </c>
    </row>
    <row r="17245" spans="1:1">
      <c r="A17245" s="27">
        <v>33</v>
      </c>
    </row>
    <row r="17246" spans="1:1">
      <c r="A17246" s="27">
        <v>1</v>
      </c>
    </row>
    <row r="17247" spans="1:1">
      <c r="A17247" s="27">
        <v>5</v>
      </c>
    </row>
    <row r="17248" spans="1:1">
      <c r="A17248" s="27">
        <v>6</v>
      </c>
    </row>
    <row r="17249" spans="1:1">
      <c r="A17249" s="27">
        <v>-8</v>
      </c>
    </row>
    <row r="17250" spans="1:1">
      <c r="A17250" s="27">
        <v>20</v>
      </c>
    </row>
    <row r="17251" spans="1:1">
      <c r="A17251" s="27">
        <v>0.18</v>
      </c>
    </row>
    <row r="17252" spans="1:1">
      <c r="A17252" s="27">
        <v>0</v>
      </c>
    </row>
    <row r="17253" spans="1:1">
      <c r="A17253" s="27">
        <v>0</v>
      </c>
    </row>
    <row r="17254" spans="1:1">
      <c r="A17254" s="27">
        <v>0</v>
      </c>
    </row>
    <row r="17255" spans="1:1">
      <c r="A17255" s="27">
        <v>0</v>
      </c>
    </row>
    <row r="17256" spans="1:1">
      <c r="A17256" s="27">
        <v>0</v>
      </c>
    </row>
    <row r="17257" spans="1:1">
      <c r="A17257" s="27">
        <v>0</v>
      </c>
    </row>
    <row r="17258" spans="1:1">
      <c r="A17258" s="27">
        <v>37</v>
      </c>
    </row>
    <row r="17259" spans="1:1">
      <c r="A17259" s="27">
        <v>2.7</v>
      </c>
    </row>
    <row r="17260" spans="1:1">
      <c r="A17260" s="29">
        <v>0.72569444444444453</v>
      </c>
    </row>
    <row r="17261" spans="1:1">
      <c r="A17261" s="27">
        <v>21.6</v>
      </c>
    </row>
    <row r="17262" spans="1:1">
      <c r="A17262" s="28">
        <v>0</v>
      </c>
    </row>
    <row r="17263" spans="1:1">
      <c r="A17263" s="25">
        <v>773</v>
      </c>
    </row>
    <row r="17264" spans="1:1" ht="30">
      <c r="A17264" s="26" t="s">
        <v>278</v>
      </c>
    </row>
    <row r="17265" spans="1:1">
      <c r="A17265" s="27" t="s">
        <v>42</v>
      </c>
    </row>
    <row r="17266" spans="1:1">
      <c r="A17266" s="27">
        <v>21</v>
      </c>
    </row>
    <row r="17267" spans="1:1">
      <c r="A17267" s="27">
        <v>1</v>
      </c>
    </row>
    <row r="17268" spans="1:1">
      <c r="A17268" s="27">
        <v>5</v>
      </c>
    </row>
    <row r="17269" spans="1:1">
      <c r="A17269" s="27">
        <v>6</v>
      </c>
    </row>
    <row r="17270" spans="1:1">
      <c r="A17270" s="27">
        <v>-2</v>
      </c>
    </row>
    <row r="17271" spans="1:1">
      <c r="A17271" s="27">
        <v>20</v>
      </c>
    </row>
    <row r="17272" spans="1:1">
      <c r="A17272" s="27">
        <v>0.28999999999999998</v>
      </c>
    </row>
    <row r="17273" spans="1:1">
      <c r="A17273" s="27">
        <v>0</v>
      </c>
    </row>
    <row r="17274" spans="1:1">
      <c r="A17274" s="27">
        <v>0</v>
      </c>
    </row>
    <row r="17275" spans="1:1">
      <c r="A17275" s="27">
        <v>0</v>
      </c>
    </row>
    <row r="17276" spans="1:1">
      <c r="A17276" s="27">
        <v>0</v>
      </c>
    </row>
    <row r="17277" spans="1:1">
      <c r="A17277" s="27">
        <v>0</v>
      </c>
    </row>
    <row r="17278" spans="1:1">
      <c r="A17278" s="27">
        <v>0</v>
      </c>
    </row>
    <row r="17279" spans="1:1">
      <c r="A17279" s="27">
        <v>23</v>
      </c>
    </row>
    <row r="17280" spans="1:1">
      <c r="A17280" s="27">
        <v>4.3</v>
      </c>
    </row>
    <row r="17281" spans="1:1">
      <c r="A17281" s="29">
        <v>0.66111111111111109</v>
      </c>
    </row>
    <row r="17282" spans="1:1">
      <c r="A17282" s="27">
        <v>22.5</v>
      </c>
    </row>
    <row r="17283" spans="1:1">
      <c r="A17283" s="28">
        <v>0</v>
      </c>
    </row>
    <row r="17284" spans="1:1">
      <c r="A17284" s="25">
        <v>774</v>
      </c>
    </row>
    <row r="17285" spans="1:1" ht="30">
      <c r="A17285" s="26" t="s">
        <v>273</v>
      </c>
    </row>
    <row r="17286" spans="1:1">
      <c r="A17286" s="27" t="s">
        <v>42</v>
      </c>
    </row>
    <row r="17287" spans="1:1">
      <c r="A17287" s="27">
        <v>31</v>
      </c>
    </row>
    <row r="17288" spans="1:1">
      <c r="A17288" s="27">
        <v>1</v>
      </c>
    </row>
    <row r="17289" spans="1:1">
      <c r="A17289" s="27">
        <v>5</v>
      </c>
    </row>
    <row r="17290" spans="1:1">
      <c r="A17290" s="27">
        <v>6</v>
      </c>
    </row>
    <row r="17291" spans="1:1">
      <c r="A17291" s="27">
        <v>-1</v>
      </c>
    </row>
    <row r="17292" spans="1:1">
      <c r="A17292" s="27">
        <v>18</v>
      </c>
    </row>
    <row r="17293" spans="1:1">
      <c r="A17293" s="27">
        <v>0.19</v>
      </c>
    </row>
    <row r="17294" spans="1:1">
      <c r="A17294" s="27">
        <v>0</v>
      </c>
    </row>
    <row r="17295" spans="1:1">
      <c r="A17295" s="27">
        <v>0</v>
      </c>
    </row>
    <row r="17296" spans="1:1">
      <c r="A17296" s="27">
        <v>0</v>
      </c>
    </row>
    <row r="17297" spans="1:1">
      <c r="A17297" s="27">
        <v>0</v>
      </c>
    </row>
    <row r="17298" spans="1:1">
      <c r="A17298" s="27">
        <v>0</v>
      </c>
    </row>
    <row r="17299" spans="1:1">
      <c r="A17299" s="27">
        <v>0</v>
      </c>
    </row>
    <row r="17300" spans="1:1">
      <c r="A17300" s="27">
        <v>32</v>
      </c>
    </row>
    <row r="17301" spans="1:1">
      <c r="A17301" s="27">
        <v>3.1</v>
      </c>
    </row>
    <row r="17302" spans="1:1">
      <c r="A17302" s="29">
        <v>0.68611111111111101</v>
      </c>
    </row>
    <row r="17303" spans="1:1">
      <c r="A17303" s="27">
        <v>21.7</v>
      </c>
    </row>
    <row r="17304" spans="1:1">
      <c r="A17304" s="28">
        <v>0</v>
      </c>
    </row>
    <row r="17305" spans="1:1">
      <c r="A17305" s="25">
        <v>775</v>
      </c>
    </row>
    <row r="17306" spans="1:1" ht="30">
      <c r="A17306" s="26" t="s">
        <v>1092</v>
      </c>
    </row>
    <row r="17307" spans="1:1">
      <c r="A17307" s="27" t="s">
        <v>42</v>
      </c>
    </row>
    <row r="17308" spans="1:1">
      <c r="A17308" s="27">
        <v>53</v>
      </c>
    </row>
    <row r="17309" spans="1:1">
      <c r="A17309" s="27">
        <v>0</v>
      </c>
    </row>
    <row r="17310" spans="1:1">
      <c r="A17310" s="27">
        <v>6</v>
      </c>
    </row>
    <row r="17311" spans="1:1">
      <c r="A17311" s="27">
        <v>6</v>
      </c>
    </row>
    <row r="17312" spans="1:1">
      <c r="A17312" s="27">
        <v>-7</v>
      </c>
    </row>
    <row r="17313" spans="1:1">
      <c r="A17313" s="27">
        <v>78</v>
      </c>
    </row>
    <row r="17314" spans="1:1">
      <c r="A17314" s="27">
        <v>0.11</v>
      </c>
    </row>
    <row r="17315" spans="1:1">
      <c r="A17315" s="27">
        <v>0</v>
      </c>
    </row>
    <row r="17316" spans="1:1">
      <c r="A17316" s="27">
        <v>0</v>
      </c>
    </row>
    <row r="17317" spans="1:1">
      <c r="A17317" s="27">
        <v>0</v>
      </c>
    </row>
    <row r="17318" spans="1:1">
      <c r="A17318" s="27">
        <v>0</v>
      </c>
    </row>
    <row r="17319" spans="1:1">
      <c r="A17319" s="27">
        <v>0</v>
      </c>
    </row>
    <row r="17320" spans="1:1">
      <c r="A17320" s="27">
        <v>0</v>
      </c>
    </row>
    <row r="17321" spans="1:1">
      <c r="A17321" s="27">
        <v>23</v>
      </c>
    </row>
    <row r="17322" spans="1:1">
      <c r="A17322" s="27">
        <v>0</v>
      </c>
    </row>
    <row r="17323" spans="1:1">
      <c r="A17323" s="29">
        <v>0.56041666666666667</v>
      </c>
    </row>
    <row r="17324" spans="1:1">
      <c r="A17324" s="27">
        <v>18.399999999999999</v>
      </c>
    </row>
    <row r="17325" spans="1:1">
      <c r="A17325" s="28">
        <v>0</v>
      </c>
    </row>
    <row r="17326" spans="1:1">
      <c r="A17326" s="25">
        <v>776</v>
      </c>
    </row>
    <row r="17327" spans="1:1" ht="45">
      <c r="A17327" s="26" t="s">
        <v>629</v>
      </c>
    </row>
    <row r="17328" spans="1:1">
      <c r="A17328" s="27" t="s">
        <v>44</v>
      </c>
    </row>
    <row r="17329" spans="1:1">
      <c r="A17329" s="27">
        <v>12</v>
      </c>
    </row>
    <row r="17330" spans="1:1">
      <c r="A17330" s="27">
        <v>4</v>
      </c>
    </row>
    <row r="17331" spans="1:1">
      <c r="A17331" s="27">
        <v>1</v>
      </c>
    </row>
    <row r="17332" spans="1:1">
      <c r="A17332" s="27">
        <v>5</v>
      </c>
    </row>
    <row r="17333" spans="1:1">
      <c r="A17333" s="27">
        <v>2</v>
      </c>
    </row>
    <row r="17334" spans="1:1">
      <c r="A17334" s="27">
        <v>2</v>
      </c>
    </row>
    <row r="17335" spans="1:1">
      <c r="A17335" s="27">
        <v>0.42</v>
      </c>
    </row>
    <row r="17336" spans="1:1">
      <c r="A17336" s="27">
        <v>0</v>
      </c>
    </row>
    <row r="17337" spans="1:1">
      <c r="A17337" s="27">
        <v>0</v>
      </c>
    </row>
    <row r="17338" spans="1:1">
      <c r="A17338" s="27">
        <v>0</v>
      </c>
    </row>
    <row r="17339" spans="1:1">
      <c r="A17339" s="27">
        <v>0</v>
      </c>
    </row>
    <row r="17340" spans="1:1">
      <c r="A17340" s="27">
        <v>1</v>
      </c>
    </row>
    <row r="17341" spans="1:1">
      <c r="A17341" s="27">
        <v>0</v>
      </c>
    </row>
    <row r="17342" spans="1:1">
      <c r="A17342" s="27">
        <v>15</v>
      </c>
    </row>
    <row r="17343" spans="1:1">
      <c r="A17343" s="27">
        <v>26.7</v>
      </c>
    </row>
    <row r="17344" spans="1:1">
      <c r="A17344" s="29">
        <v>0.46111111111111108</v>
      </c>
    </row>
    <row r="17345" spans="1:1">
      <c r="A17345" s="27">
        <v>15.6</v>
      </c>
    </row>
    <row r="17346" spans="1:1">
      <c r="A17346" s="28">
        <v>49.5</v>
      </c>
    </row>
    <row r="17347" spans="1:1">
      <c r="A17347" s="25">
        <v>777</v>
      </c>
    </row>
    <row r="17348" spans="1:1" ht="30">
      <c r="A17348" s="26" t="s">
        <v>1114</v>
      </c>
    </row>
    <row r="17349" spans="1:1">
      <c r="A17349" s="27" t="s">
        <v>42</v>
      </c>
    </row>
    <row r="17350" spans="1:1">
      <c r="A17350" s="27">
        <v>64</v>
      </c>
    </row>
    <row r="17351" spans="1:1">
      <c r="A17351" s="27">
        <v>3</v>
      </c>
    </row>
    <row r="17352" spans="1:1">
      <c r="A17352" s="27">
        <v>2</v>
      </c>
    </row>
    <row r="17353" spans="1:1">
      <c r="A17353" s="27">
        <v>5</v>
      </c>
    </row>
    <row r="17354" spans="1:1">
      <c r="A17354" s="27">
        <v>4</v>
      </c>
    </row>
    <row r="17355" spans="1:1">
      <c r="A17355" s="27">
        <v>119</v>
      </c>
    </row>
    <row r="17356" spans="1:1">
      <c r="A17356" s="27">
        <v>0.08</v>
      </c>
    </row>
    <row r="17357" spans="1:1">
      <c r="A17357" s="27">
        <v>0</v>
      </c>
    </row>
    <row r="17358" spans="1:1">
      <c r="A17358" s="27">
        <v>0</v>
      </c>
    </row>
    <row r="17359" spans="1:1">
      <c r="A17359" s="27">
        <v>0</v>
      </c>
    </row>
    <row r="17360" spans="1:1">
      <c r="A17360" s="27">
        <v>0</v>
      </c>
    </row>
    <row r="17361" spans="1:1">
      <c r="A17361" s="27">
        <v>0</v>
      </c>
    </row>
    <row r="17362" spans="1:1">
      <c r="A17362" s="27">
        <v>0</v>
      </c>
    </row>
    <row r="17363" spans="1:1">
      <c r="A17363" s="27">
        <v>50</v>
      </c>
    </row>
    <row r="17364" spans="1:1">
      <c r="A17364" s="27">
        <v>6</v>
      </c>
    </row>
    <row r="17365" spans="1:1">
      <c r="A17365" s="29">
        <v>0.56874999999999998</v>
      </c>
    </row>
    <row r="17366" spans="1:1">
      <c r="A17366" s="27">
        <v>19.100000000000001</v>
      </c>
    </row>
    <row r="17367" spans="1:1">
      <c r="A17367" s="28">
        <v>0</v>
      </c>
    </row>
    <row r="17368" spans="1:1">
      <c r="A17368" s="25">
        <v>778</v>
      </c>
    </row>
    <row r="17369" spans="1:1" ht="30">
      <c r="A17369" s="26" t="s">
        <v>115</v>
      </c>
    </row>
    <row r="17370" spans="1:1">
      <c r="A17370" s="27" t="s">
        <v>653</v>
      </c>
    </row>
    <row r="17371" spans="1:1">
      <c r="A17371" s="27">
        <v>49</v>
      </c>
    </row>
    <row r="17372" spans="1:1">
      <c r="A17372" s="27">
        <v>3</v>
      </c>
    </row>
    <row r="17373" spans="1:1">
      <c r="A17373" s="27">
        <v>2</v>
      </c>
    </row>
    <row r="17374" spans="1:1">
      <c r="A17374" s="27">
        <v>5</v>
      </c>
    </row>
    <row r="17375" spans="1:1">
      <c r="A17375" s="27">
        <v>0</v>
      </c>
    </row>
    <row r="17376" spans="1:1">
      <c r="A17376" s="27">
        <v>19</v>
      </c>
    </row>
    <row r="17377" spans="1:1">
      <c r="A17377" s="27">
        <v>0.1</v>
      </c>
    </row>
    <row r="17378" spans="1:1">
      <c r="A17378" s="27">
        <v>0</v>
      </c>
    </row>
    <row r="17379" spans="1:1">
      <c r="A17379" s="27">
        <v>0</v>
      </c>
    </row>
    <row r="17380" spans="1:1">
      <c r="A17380" s="27">
        <v>0</v>
      </c>
    </row>
    <row r="17381" spans="1:1">
      <c r="A17381" s="27">
        <v>0</v>
      </c>
    </row>
    <row r="17382" spans="1:1">
      <c r="A17382" s="27">
        <v>0</v>
      </c>
    </row>
    <row r="17383" spans="1:1">
      <c r="A17383" s="27">
        <v>0</v>
      </c>
    </row>
    <row r="17384" spans="1:1">
      <c r="A17384" s="27">
        <v>36</v>
      </c>
    </row>
    <row r="17385" spans="1:1">
      <c r="A17385" s="27">
        <v>8.3000000000000007</v>
      </c>
    </row>
    <row r="17386" spans="1:1">
      <c r="A17386" s="29">
        <v>0.35069444444444442</v>
      </c>
    </row>
    <row r="17387" spans="1:1">
      <c r="A17387" s="27">
        <v>12.1</v>
      </c>
    </row>
    <row r="17388" spans="1:1">
      <c r="A17388" s="28">
        <v>42.4</v>
      </c>
    </row>
    <row r="17389" spans="1:1">
      <c r="A17389" s="25">
        <v>779</v>
      </c>
    </row>
    <row r="17390" spans="1:1" ht="30">
      <c r="A17390" s="26" t="s">
        <v>740</v>
      </c>
    </row>
    <row r="17391" spans="1:1">
      <c r="A17391" s="27" t="s">
        <v>653</v>
      </c>
    </row>
    <row r="17392" spans="1:1">
      <c r="A17392" s="27">
        <v>19</v>
      </c>
    </row>
    <row r="17393" spans="1:1">
      <c r="A17393" s="27">
        <v>3</v>
      </c>
    </row>
    <row r="17394" spans="1:1">
      <c r="A17394" s="27">
        <v>2</v>
      </c>
    </row>
    <row r="17395" spans="1:1">
      <c r="A17395" s="27">
        <v>5</v>
      </c>
    </row>
    <row r="17396" spans="1:1">
      <c r="A17396" s="27">
        <v>3</v>
      </c>
    </row>
    <row r="17397" spans="1:1">
      <c r="A17397" s="27">
        <v>4</v>
      </c>
    </row>
    <row r="17398" spans="1:1">
      <c r="A17398" s="27">
        <v>0.26</v>
      </c>
    </row>
    <row r="17399" spans="1:1">
      <c r="A17399" s="27">
        <v>0</v>
      </c>
    </row>
    <row r="17400" spans="1:1">
      <c r="A17400" s="27">
        <v>0</v>
      </c>
    </row>
    <row r="17401" spans="1:1">
      <c r="A17401" s="27">
        <v>0</v>
      </c>
    </row>
    <row r="17402" spans="1:1">
      <c r="A17402" s="27">
        <v>0</v>
      </c>
    </row>
    <row r="17403" spans="1:1">
      <c r="A17403" s="27">
        <v>1</v>
      </c>
    </row>
    <row r="17404" spans="1:1">
      <c r="A17404" s="27">
        <v>0</v>
      </c>
    </row>
    <row r="17405" spans="1:1">
      <c r="A17405" s="27">
        <v>28</v>
      </c>
    </row>
    <row r="17406" spans="1:1">
      <c r="A17406" s="27">
        <v>10.7</v>
      </c>
    </row>
    <row r="17407" spans="1:1">
      <c r="A17407" s="29">
        <v>0.51874999999999993</v>
      </c>
    </row>
    <row r="17408" spans="1:1">
      <c r="A17408" s="27">
        <v>16.8</v>
      </c>
    </row>
    <row r="17409" spans="1:1">
      <c r="A17409" s="28">
        <v>50</v>
      </c>
    </row>
    <row r="17410" spans="1:1">
      <c r="A17410" s="25">
        <v>780</v>
      </c>
    </row>
    <row r="17411" spans="1:1" ht="30">
      <c r="A17411" s="26" t="s">
        <v>1095</v>
      </c>
    </row>
    <row r="17412" spans="1:1">
      <c r="A17412" s="27" t="s">
        <v>43</v>
      </c>
    </row>
    <row r="17413" spans="1:1">
      <c r="A17413" s="27">
        <v>38</v>
      </c>
    </row>
    <row r="17414" spans="1:1">
      <c r="A17414" s="27">
        <v>2</v>
      </c>
    </row>
    <row r="17415" spans="1:1">
      <c r="A17415" s="27">
        <v>3</v>
      </c>
    </row>
    <row r="17416" spans="1:1">
      <c r="A17416" s="27">
        <v>5</v>
      </c>
    </row>
    <row r="17417" spans="1:1">
      <c r="A17417" s="27">
        <v>1</v>
      </c>
    </row>
    <row r="17418" spans="1:1">
      <c r="A17418" s="27">
        <v>98</v>
      </c>
    </row>
    <row r="17419" spans="1:1">
      <c r="A17419" s="27">
        <v>0.13</v>
      </c>
    </row>
    <row r="17420" spans="1:1">
      <c r="A17420" s="27">
        <v>0</v>
      </c>
    </row>
    <row r="17421" spans="1:1">
      <c r="A17421" s="27">
        <v>0</v>
      </c>
    </row>
    <row r="17422" spans="1:1">
      <c r="A17422" s="27">
        <v>0</v>
      </c>
    </row>
    <row r="17423" spans="1:1">
      <c r="A17423" s="27">
        <v>0</v>
      </c>
    </row>
    <row r="17424" spans="1:1">
      <c r="A17424" s="27">
        <v>1</v>
      </c>
    </row>
    <row r="17425" spans="1:1">
      <c r="A17425" s="27">
        <v>0</v>
      </c>
    </row>
    <row r="17426" spans="1:1">
      <c r="A17426" s="27">
        <v>11</v>
      </c>
    </row>
    <row r="17427" spans="1:1">
      <c r="A17427" s="27">
        <v>18.2</v>
      </c>
    </row>
    <row r="17428" spans="1:1">
      <c r="A17428" s="29">
        <v>0.27569444444444446</v>
      </c>
    </row>
    <row r="17429" spans="1:1">
      <c r="A17429" s="27">
        <v>10.3</v>
      </c>
    </row>
    <row r="17430" spans="1:1">
      <c r="A17430" s="28">
        <v>0</v>
      </c>
    </row>
    <row r="17431" spans="1:1">
      <c r="A17431" s="25">
        <v>781</v>
      </c>
    </row>
    <row r="17432" spans="1:1">
      <c r="A17432" s="26" t="s">
        <v>674</v>
      </c>
    </row>
    <row r="17433" spans="1:1">
      <c r="A17433" s="27" t="s">
        <v>653</v>
      </c>
    </row>
    <row r="17434" spans="1:1">
      <c r="A17434" s="27">
        <v>42</v>
      </c>
    </row>
    <row r="17435" spans="1:1">
      <c r="A17435" s="27">
        <v>2</v>
      </c>
    </row>
    <row r="17436" spans="1:1">
      <c r="A17436" s="27">
        <v>3</v>
      </c>
    </row>
    <row r="17437" spans="1:1">
      <c r="A17437" s="27">
        <v>5</v>
      </c>
    </row>
    <row r="17438" spans="1:1">
      <c r="A17438" s="27">
        <v>-4</v>
      </c>
    </row>
    <row r="17439" spans="1:1">
      <c r="A17439" s="27">
        <v>6</v>
      </c>
    </row>
    <row r="17440" spans="1:1">
      <c r="A17440" s="27">
        <v>0.12</v>
      </c>
    </row>
    <row r="17441" spans="1:1">
      <c r="A17441" s="27">
        <v>0</v>
      </c>
    </row>
    <row r="17442" spans="1:1">
      <c r="A17442" s="27">
        <v>0</v>
      </c>
    </row>
    <row r="17443" spans="1:1">
      <c r="A17443" s="27">
        <v>0</v>
      </c>
    </row>
    <row r="17444" spans="1:1">
      <c r="A17444" s="27">
        <v>0</v>
      </c>
    </row>
    <row r="17445" spans="1:1">
      <c r="A17445" s="27">
        <v>0</v>
      </c>
    </row>
    <row r="17446" spans="1:1">
      <c r="A17446" s="27">
        <v>0</v>
      </c>
    </row>
    <row r="17447" spans="1:1">
      <c r="A17447" s="27">
        <v>46</v>
      </c>
    </row>
    <row r="17448" spans="1:1">
      <c r="A17448" s="27">
        <v>4.3</v>
      </c>
    </row>
    <row r="17449" spans="1:1">
      <c r="A17449" s="29">
        <v>0.4152777777777778</v>
      </c>
    </row>
    <row r="17450" spans="1:1">
      <c r="A17450" s="27">
        <v>14.1</v>
      </c>
    </row>
    <row r="17451" spans="1:1">
      <c r="A17451" s="28">
        <v>71.400000000000006</v>
      </c>
    </row>
    <row r="17452" spans="1:1">
      <c r="A17452" s="25">
        <v>782</v>
      </c>
    </row>
    <row r="17453" spans="1:1" ht="30">
      <c r="A17453" s="26" t="s">
        <v>849</v>
      </c>
    </row>
    <row r="17454" spans="1:1">
      <c r="A17454" s="27" t="s">
        <v>653</v>
      </c>
    </row>
    <row r="17455" spans="1:1">
      <c r="A17455" s="27">
        <v>22</v>
      </c>
    </row>
    <row r="17456" spans="1:1">
      <c r="A17456" s="27">
        <v>2</v>
      </c>
    </row>
    <row r="17457" spans="1:1">
      <c r="A17457" s="27">
        <v>3</v>
      </c>
    </row>
    <row r="17458" spans="1:1">
      <c r="A17458" s="27">
        <v>5</v>
      </c>
    </row>
    <row r="17459" spans="1:1">
      <c r="A17459" s="27">
        <v>-1</v>
      </c>
    </row>
    <row r="17460" spans="1:1">
      <c r="A17460" s="27">
        <v>0</v>
      </c>
    </row>
    <row r="17461" spans="1:1">
      <c r="A17461" s="27">
        <v>0.23</v>
      </c>
    </row>
    <row r="17462" spans="1:1">
      <c r="A17462" s="27">
        <v>0</v>
      </c>
    </row>
    <row r="17463" spans="1:1">
      <c r="A17463" s="27">
        <v>0</v>
      </c>
    </row>
    <row r="17464" spans="1:1">
      <c r="A17464" s="27">
        <v>0</v>
      </c>
    </row>
    <row r="17465" spans="1:1">
      <c r="A17465" s="27">
        <v>0</v>
      </c>
    </row>
    <row r="17466" spans="1:1">
      <c r="A17466" s="27">
        <v>0</v>
      </c>
    </row>
    <row r="17467" spans="1:1">
      <c r="A17467" s="27">
        <v>0</v>
      </c>
    </row>
    <row r="17468" spans="1:1">
      <c r="A17468" s="27">
        <v>19</v>
      </c>
    </row>
    <row r="17469" spans="1:1">
      <c r="A17469" s="27">
        <v>10.5</v>
      </c>
    </row>
    <row r="17470" spans="1:1">
      <c r="A17470" s="29">
        <v>0.39166666666666666</v>
      </c>
    </row>
    <row r="17471" spans="1:1">
      <c r="A17471" s="27">
        <v>13.4</v>
      </c>
    </row>
    <row r="17472" spans="1:1">
      <c r="A17472" s="28">
        <v>41.5</v>
      </c>
    </row>
    <row r="17473" spans="1:1">
      <c r="A17473" s="25">
        <v>783</v>
      </c>
    </row>
    <row r="17474" spans="1:1" ht="30">
      <c r="A17474" s="26" t="s">
        <v>858</v>
      </c>
    </row>
    <row r="17475" spans="1:1">
      <c r="A17475" s="27" t="s">
        <v>43</v>
      </c>
    </row>
    <row r="17476" spans="1:1">
      <c r="A17476" s="27">
        <v>21</v>
      </c>
    </row>
    <row r="17477" spans="1:1">
      <c r="A17477" s="27">
        <v>2</v>
      </c>
    </row>
    <row r="17478" spans="1:1">
      <c r="A17478" s="27">
        <v>3</v>
      </c>
    </row>
    <row r="17479" spans="1:1">
      <c r="A17479" s="27">
        <v>5</v>
      </c>
    </row>
    <row r="17480" spans="1:1">
      <c r="A17480" s="27">
        <v>2</v>
      </c>
    </row>
    <row r="17481" spans="1:1">
      <c r="A17481" s="27">
        <v>2</v>
      </c>
    </row>
    <row r="17482" spans="1:1">
      <c r="A17482" s="27">
        <v>0.24</v>
      </c>
    </row>
    <row r="17483" spans="1:1">
      <c r="A17483" s="27">
        <v>0</v>
      </c>
    </row>
    <row r="17484" spans="1:1">
      <c r="A17484" s="27">
        <v>0</v>
      </c>
    </row>
    <row r="17485" spans="1:1">
      <c r="A17485" s="27">
        <v>0</v>
      </c>
    </row>
    <row r="17486" spans="1:1">
      <c r="A17486" s="27">
        <v>0</v>
      </c>
    </row>
    <row r="17487" spans="1:1">
      <c r="A17487" s="27">
        <v>0</v>
      </c>
    </row>
    <row r="17488" spans="1:1">
      <c r="A17488" s="27">
        <v>0</v>
      </c>
    </row>
    <row r="17489" spans="1:1">
      <c r="A17489" s="27">
        <v>19</v>
      </c>
    </row>
    <row r="17490" spans="1:1">
      <c r="A17490" s="27">
        <v>10.5</v>
      </c>
    </row>
    <row r="17491" spans="1:1">
      <c r="A17491" s="29">
        <v>0.36319444444444443</v>
      </c>
    </row>
    <row r="17492" spans="1:1">
      <c r="A17492" s="27">
        <v>12.3</v>
      </c>
    </row>
    <row r="17493" spans="1:1">
      <c r="A17493" s="28">
        <v>40</v>
      </c>
    </row>
    <row r="17494" spans="1:1">
      <c r="A17494" s="25">
        <v>784</v>
      </c>
    </row>
    <row r="17495" spans="1:1" ht="30">
      <c r="A17495" s="26" t="s">
        <v>104</v>
      </c>
    </row>
    <row r="17496" spans="1:1">
      <c r="A17496" s="27" t="s">
        <v>42</v>
      </c>
    </row>
    <row r="17497" spans="1:1">
      <c r="A17497" s="27">
        <v>59</v>
      </c>
    </row>
    <row r="17498" spans="1:1">
      <c r="A17498" s="27">
        <v>2</v>
      </c>
    </row>
    <row r="17499" spans="1:1">
      <c r="A17499" s="27">
        <v>3</v>
      </c>
    </row>
    <row r="17500" spans="1:1">
      <c r="A17500" s="27">
        <v>5</v>
      </c>
    </row>
    <row r="17501" spans="1:1">
      <c r="A17501" s="27">
        <v>-9</v>
      </c>
    </row>
    <row r="17502" spans="1:1">
      <c r="A17502" s="27">
        <v>39</v>
      </c>
    </row>
    <row r="17503" spans="1:1">
      <c r="A17503" s="27">
        <v>0.08</v>
      </c>
    </row>
    <row r="17504" spans="1:1">
      <c r="A17504" s="27">
        <v>0</v>
      </c>
    </row>
    <row r="17505" spans="1:1">
      <c r="A17505" s="27">
        <v>0</v>
      </c>
    </row>
    <row r="17506" spans="1:1">
      <c r="A17506" s="27">
        <v>0</v>
      </c>
    </row>
    <row r="17507" spans="1:1">
      <c r="A17507" s="27">
        <v>0</v>
      </c>
    </row>
    <row r="17508" spans="1:1">
      <c r="A17508" s="27">
        <v>0</v>
      </c>
    </row>
    <row r="17509" spans="1:1">
      <c r="A17509" s="27">
        <v>0</v>
      </c>
    </row>
    <row r="17510" spans="1:1">
      <c r="A17510" s="27">
        <v>37</v>
      </c>
    </row>
    <row r="17511" spans="1:1">
      <c r="A17511" s="27">
        <v>5.4</v>
      </c>
    </row>
    <row r="17512" spans="1:1">
      <c r="A17512" s="29">
        <v>0.54652777777777783</v>
      </c>
    </row>
    <row r="17513" spans="1:1">
      <c r="A17513" s="27">
        <v>18.3</v>
      </c>
    </row>
    <row r="17514" spans="1:1">
      <c r="A17514" s="28">
        <v>0</v>
      </c>
    </row>
    <row r="17515" spans="1:1">
      <c r="A17515" s="25">
        <v>785</v>
      </c>
    </row>
    <row r="17516" spans="1:1" ht="30">
      <c r="A17516" s="26" t="s">
        <v>72</v>
      </c>
    </row>
    <row r="17517" spans="1:1">
      <c r="A17517" s="27" t="s">
        <v>42</v>
      </c>
    </row>
    <row r="17518" spans="1:1">
      <c r="A17518" s="27">
        <v>37</v>
      </c>
    </row>
    <row r="17519" spans="1:1">
      <c r="A17519" s="27">
        <v>2</v>
      </c>
    </row>
    <row r="17520" spans="1:1">
      <c r="A17520" s="27">
        <v>3</v>
      </c>
    </row>
    <row r="17521" spans="1:1">
      <c r="A17521" s="27">
        <v>5</v>
      </c>
    </row>
    <row r="17522" spans="1:1">
      <c r="A17522" s="27">
        <v>-16</v>
      </c>
    </row>
    <row r="17523" spans="1:1">
      <c r="A17523" s="27">
        <v>18</v>
      </c>
    </row>
    <row r="17524" spans="1:1">
      <c r="A17524" s="27">
        <v>0.14000000000000001</v>
      </c>
    </row>
    <row r="17525" spans="1:1">
      <c r="A17525" s="27">
        <v>1</v>
      </c>
    </row>
    <row r="17526" spans="1:1">
      <c r="A17526" s="27">
        <v>1</v>
      </c>
    </row>
    <row r="17527" spans="1:1">
      <c r="A17527" s="27">
        <v>0</v>
      </c>
    </row>
    <row r="17528" spans="1:1">
      <c r="A17528" s="27">
        <v>0</v>
      </c>
    </row>
    <row r="17529" spans="1:1">
      <c r="A17529" s="27">
        <v>1</v>
      </c>
    </row>
    <row r="17530" spans="1:1">
      <c r="A17530" s="27">
        <v>1</v>
      </c>
    </row>
    <row r="17531" spans="1:1">
      <c r="A17531" s="27">
        <v>75</v>
      </c>
    </row>
    <row r="17532" spans="1:1">
      <c r="A17532" s="27">
        <v>2.7</v>
      </c>
    </row>
    <row r="17533" spans="1:1">
      <c r="A17533" s="29">
        <v>0.7090277777777777</v>
      </c>
    </row>
    <row r="17534" spans="1:1">
      <c r="A17534" s="27">
        <v>23.5</v>
      </c>
    </row>
    <row r="17535" spans="1:1">
      <c r="A17535" s="28">
        <v>0</v>
      </c>
    </row>
    <row r="17536" spans="1:1">
      <c r="A17536" s="25">
        <v>786</v>
      </c>
    </row>
    <row r="17537" spans="1:1" ht="30">
      <c r="A17537" s="26" t="s">
        <v>1076</v>
      </c>
    </row>
    <row r="17538" spans="1:1">
      <c r="A17538" s="27" t="s">
        <v>42</v>
      </c>
    </row>
    <row r="17539" spans="1:1">
      <c r="A17539" s="27">
        <v>34</v>
      </c>
    </row>
    <row r="17540" spans="1:1">
      <c r="A17540" s="27">
        <v>2</v>
      </c>
    </row>
    <row r="17541" spans="1:1">
      <c r="A17541" s="27">
        <v>3</v>
      </c>
    </row>
    <row r="17542" spans="1:1">
      <c r="A17542" s="27">
        <v>5</v>
      </c>
    </row>
    <row r="17543" spans="1:1">
      <c r="A17543" s="27">
        <v>2</v>
      </c>
    </row>
    <row r="17544" spans="1:1">
      <c r="A17544" s="27">
        <v>43</v>
      </c>
    </row>
    <row r="17545" spans="1:1">
      <c r="A17545" s="27">
        <v>0.15</v>
      </c>
    </row>
    <row r="17546" spans="1:1">
      <c r="A17546" s="27">
        <v>0</v>
      </c>
    </row>
    <row r="17547" spans="1:1">
      <c r="A17547" s="27">
        <v>0</v>
      </c>
    </row>
    <row r="17548" spans="1:1">
      <c r="A17548" s="27">
        <v>0</v>
      </c>
    </row>
    <row r="17549" spans="1:1">
      <c r="A17549" s="27">
        <v>0</v>
      </c>
    </row>
    <row r="17550" spans="1:1">
      <c r="A17550" s="27">
        <v>0</v>
      </c>
    </row>
    <row r="17551" spans="1:1">
      <c r="A17551" s="27">
        <v>0</v>
      </c>
    </row>
    <row r="17552" spans="1:1">
      <c r="A17552" s="27">
        <v>23</v>
      </c>
    </row>
    <row r="17553" spans="1:1">
      <c r="A17553" s="27">
        <v>8.6999999999999993</v>
      </c>
    </row>
    <row r="17554" spans="1:1">
      <c r="A17554" s="29">
        <v>0.54652777777777783</v>
      </c>
    </row>
    <row r="17555" spans="1:1">
      <c r="A17555" s="27">
        <v>18.399999999999999</v>
      </c>
    </row>
    <row r="17556" spans="1:1">
      <c r="A17556" s="28">
        <v>0</v>
      </c>
    </row>
    <row r="17557" spans="1:1">
      <c r="A17557" s="25">
        <v>787</v>
      </c>
    </row>
    <row r="17558" spans="1:1" ht="45">
      <c r="A17558" s="26" t="s">
        <v>902</v>
      </c>
    </row>
    <row r="17559" spans="1:1">
      <c r="A17559" s="27" t="s">
        <v>653</v>
      </c>
    </row>
    <row r="17560" spans="1:1">
      <c r="A17560" s="27">
        <v>33</v>
      </c>
    </row>
    <row r="17561" spans="1:1">
      <c r="A17561" s="27">
        <v>2</v>
      </c>
    </row>
    <row r="17562" spans="1:1">
      <c r="A17562" s="27">
        <v>3</v>
      </c>
    </row>
    <row r="17563" spans="1:1">
      <c r="A17563" s="27">
        <v>5</v>
      </c>
    </row>
    <row r="17564" spans="1:1">
      <c r="A17564" s="27">
        <v>-3</v>
      </c>
    </row>
    <row r="17565" spans="1:1">
      <c r="A17565" s="27">
        <v>6</v>
      </c>
    </row>
    <row r="17566" spans="1:1">
      <c r="A17566" s="27">
        <v>0.15</v>
      </c>
    </row>
    <row r="17567" spans="1:1">
      <c r="A17567" s="27">
        <v>1</v>
      </c>
    </row>
    <row r="17568" spans="1:1">
      <c r="A17568" s="27">
        <v>2</v>
      </c>
    </row>
    <row r="17569" spans="1:1">
      <c r="A17569" s="27">
        <v>0</v>
      </c>
    </row>
    <row r="17570" spans="1:1">
      <c r="A17570" s="27">
        <v>0</v>
      </c>
    </row>
    <row r="17571" spans="1:1">
      <c r="A17571" s="27">
        <v>1</v>
      </c>
    </row>
    <row r="17572" spans="1:1">
      <c r="A17572" s="27">
        <v>0</v>
      </c>
    </row>
    <row r="17573" spans="1:1">
      <c r="A17573" s="27">
        <v>42</v>
      </c>
    </row>
    <row r="17574" spans="1:1">
      <c r="A17574" s="27">
        <v>4.8</v>
      </c>
    </row>
    <row r="17575" spans="1:1">
      <c r="A17575" s="29">
        <v>0.51250000000000007</v>
      </c>
    </row>
    <row r="17576" spans="1:1">
      <c r="A17576" s="27">
        <v>16.5</v>
      </c>
    </row>
    <row r="17577" spans="1:1">
      <c r="A17577" s="28">
        <v>33.299999999999997</v>
      </c>
    </row>
    <row r="17578" spans="1:1">
      <c r="A17578" s="25">
        <v>788</v>
      </c>
    </row>
    <row r="17579" spans="1:1" ht="30">
      <c r="A17579" s="26" t="s">
        <v>1028</v>
      </c>
    </row>
    <row r="17580" spans="1:1">
      <c r="A17580" s="27" t="s">
        <v>42</v>
      </c>
    </row>
    <row r="17581" spans="1:1">
      <c r="A17581" s="27">
        <v>32</v>
      </c>
    </row>
    <row r="17582" spans="1:1">
      <c r="A17582" s="27">
        <v>2</v>
      </c>
    </row>
    <row r="17583" spans="1:1">
      <c r="A17583" s="27">
        <v>3</v>
      </c>
    </row>
    <row r="17584" spans="1:1">
      <c r="A17584" s="27">
        <v>5</v>
      </c>
    </row>
    <row r="17585" spans="1:1">
      <c r="A17585" s="27">
        <v>0</v>
      </c>
    </row>
    <row r="17586" spans="1:1">
      <c r="A17586" s="27">
        <v>2</v>
      </c>
    </row>
    <row r="17587" spans="1:1">
      <c r="A17587" s="27">
        <v>0.16</v>
      </c>
    </row>
    <row r="17588" spans="1:1">
      <c r="A17588" s="27">
        <v>0</v>
      </c>
    </row>
    <row r="17589" spans="1:1">
      <c r="A17589" s="27">
        <v>0</v>
      </c>
    </row>
    <row r="17590" spans="1:1">
      <c r="A17590" s="27">
        <v>0</v>
      </c>
    </row>
    <row r="17591" spans="1:1">
      <c r="A17591" s="27">
        <v>0</v>
      </c>
    </row>
    <row r="17592" spans="1:1">
      <c r="A17592" s="27">
        <v>0</v>
      </c>
    </row>
    <row r="17593" spans="1:1">
      <c r="A17593" s="27">
        <v>0</v>
      </c>
    </row>
    <row r="17594" spans="1:1">
      <c r="A17594" s="27">
        <v>22</v>
      </c>
    </row>
    <row r="17595" spans="1:1">
      <c r="A17595" s="27">
        <v>9.1</v>
      </c>
    </row>
    <row r="17596" spans="1:1">
      <c r="A17596" s="29">
        <v>0.5854166666666667</v>
      </c>
    </row>
    <row r="17597" spans="1:1">
      <c r="A17597" s="27">
        <v>16.399999999999999</v>
      </c>
    </row>
    <row r="17598" spans="1:1">
      <c r="A17598" s="28">
        <v>0</v>
      </c>
    </row>
    <row r="17599" spans="1:1">
      <c r="A17599" s="25">
        <v>789</v>
      </c>
    </row>
    <row r="17600" spans="1:1" ht="45">
      <c r="A17600" s="26" t="s">
        <v>1025</v>
      </c>
    </row>
    <row r="17601" spans="1:1">
      <c r="A17601" s="27" t="s">
        <v>42</v>
      </c>
    </row>
    <row r="17602" spans="1:1">
      <c r="A17602" s="27">
        <v>19</v>
      </c>
    </row>
    <row r="17603" spans="1:1">
      <c r="A17603" s="27">
        <v>2</v>
      </c>
    </row>
    <row r="17604" spans="1:1">
      <c r="A17604" s="27">
        <v>3</v>
      </c>
    </row>
    <row r="17605" spans="1:1">
      <c r="A17605" s="27">
        <v>5</v>
      </c>
    </row>
    <row r="17606" spans="1:1">
      <c r="A17606" s="27">
        <v>2</v>
      </c>
    </row>
    <row r="17607" spans="1:1">
      <c r="A17607" s="27">
        <v>10</v>
      </c>
    </row>
    <row r="17608" spans="1:1">
      <c r="A17608" s="27">
        <v>0.26</v>
      </c>
    </row>
    <row r="17609" spans="1:1">
      <c r="A17609" s="27">
        <v>0</v>
      </c>
    </row>
    <row r="17610" spans="1:1">
      <c r="A17610" s="27">
        <v>2</v>
      </c>
    </row>
    <row r="17611" spans="1:1">
      <c r="A17611" s="27">
        <v>0</v>
      </c>
    </row>
    <row r="17612" spans="1:1">
      <c r="A17612" s="27">
        <v>0</v>
      </c>
    </row>
    <row r="17613" spans="1:1">
      <c r="A17613" s="27">
        <v>0</v>
      </c>
    </row>
    <row r="17614" spans="1:1">
      <c r="A17614" s="27">
        <v>0</v>
      </c>
    </row>
    <row r="17615" spans="1:1">
      <c r="A17615" s="27">
        <v>25</v>
      </c>
    </row>
    <row r="17616" spans="1:1">
      <c r="A17616" s="27">
        <v>8</v>
      </c>
    </row>
    <row r="17617" spans="1:1">
      <c r="A17617" s="29">
        <v>0.75763888888888886</v>
      </c>
    </row>
    <row r="17618" spans="1:1">
      <c r="A17618" s="27">
        <v>24.3</v>
      </c>
    </row>
    <row r="17619" spans="1:1">
      <c r="A17619" s="28">
        <v>0</v>
      </c>
    </row>
    <row r="17620" spans="1:1">
      <c r="A17620" s="25">
        <v>790</v>
      </c>
    </row>
    <row r="17621" spans="1:1" ht="30">
      <c r="A17621" s="26" t="s">
        <v>792</v>
      </c>
    </row>
    <row r="17622" spans="1:1">
      <c r="A17622" s="27" t="s">
        <v>44</v>
      </c>
    </row>
    <row r="17623" spans="1:1">
      <c r="A17623" s="27">
        <v>22</v>
      </c>
    </row>
    <row r="17624" spans="1:1">
      <c r="A17624" s="27">
        <v>1</v>
      </c>
    </row>
    <row r="17625" spans="1:1">
      <c r="A17625" s="27">
        <v>4</v>
      </c>
    </row>
    <row r="17626" spans="1:1">
      <c r="A17626" s="27">
        <v>5</v>
      </c>
    </row>
    <row r="17627" spans="1:1">
      <c r="A17627" s="27">
        <v>1</v>
      </c>
    </row>
    <row r="17628" spans="1:1">
      <c r="A17628" s="27">
        <v>0</v>
      </c>
    </row>
    <row r="17629" spans="1:1">
      <c r="A17629" s="27">
        <v>0.23</v>
      </c>
    </row>
    <row r="17630" spans="1:1">
      <c r="A17630" s="27">
        <v>0</v>
      </c>
    </row>
    <row r="17631" spans="1:1">
      <c r="A17631" s="27">
        <v>1</v>
      </c>
    </row>
    <row r="17632" spans="1:1">
      <c r="A17632" s="27">
        <v>0</v>
      </c>
    </row>
    <row r="17633" spans="1:1">
      <c r="A17633" s="27">
        <v>0</v>
      </c>
    </row>
    <row r="17634" spans="1:1">
      <c r="A17634" s="27">
        <v>0</v>
      </c>
    </row>
    <row r="17635" spans="1:1">
      <c r="A17635" s="27">
        <v>0</v>
      </c>
    </row>
    <row r="17636" spans="1:1">
      <c r="A17636" s="27">
        <v>15</v>
      </c>
    </row>
    <row r="17637" spans="1:1">
      <c r="A17637" s="27">
        <v>6.7</v>
      </c>
    </row>
    <row r="17638" spans="1:1">
      <c r="A17638" s="29">
        <v>0.33055555555555555</v>
      </c>
    </row>
    <row r="17639" spans="1:1">
      <c r="A17639" s="27">
        <v>10.9</v>
      </c>
    </row>
    <row r="17640" spans="1:1">
      <c r="A17640" s="28">
        <v>46.5</v>
      </c>
    </row>
    <row r="17641" spans="1:1">
      <c r="A17641" s="25">
        <v>791</v>
      </c>
    </row>
    <row r="17642" spans="1:1" ht="30">
      <c r="A17642" s="26" t="s">
        <v>993</v>
      </c>
    </row>
    <row r="17643" spans="1:1">
      <c r="A17643" s="27" t="s">
        <v>42</v>
      </c>
    </row>
    <row r="17644" spans="1:1">
      <c r="A17644" s="27">
        <v>8</v>
      </c>
    </row>
    <row r="17645" spans="1:1">
      <c r="A17645" s="27">
        <v>1</v>
      </c>
    </row>
    <row r="17646" spans="1:1">
      <c r="A17646" s="27">
        <v>4</v>
      </c>
    </row>
    <row r="17647" spans="1:1">
      <c r="A17647" s="27">
        <v>5</v>
      </c>
    </row>
    <row r="17648" spans="1:1">
      <c r="A17648" s="27">
        <v>3</v>
      </c>
    </row>
    <row r="17649" spans="1:1">
      <c r="A17649" s="27">
        <v>4</v>
      </c>
    </row>
    <row r="17650" spans="1:1">
      <c r="A17650" s="27">
        <v>0.63</v>
      </c>
    </row>
    <row r="17651" spans="1:1">
      <c r="A17651" s="27">
        <v>0</v>
      </c>
    </row>
    <row r="17652" spans="1:1">
      <c r="A17652" s="27">
        <v>1</v>
      </c>
    </row>
    <row r="17653" spans="1:1">
      <c r="A17653" s="27">
        <v>0</v>
      </c>
    </row>
    <row r="17654" spans="1:1">
      <c r="A17654" s="27">
        <v>0</v>
      </c>
    </row>
    <row r="17655" spans="1:1">
      <c r="A17655" s="27">
        <v>0</v>
      </c>
    </row>
    <row r="17656" spans="1:1">
      <c r="A17656" s="27">
        <v>0</v>
      </c>
    </row>
    <row r="17657" spans="1:1">
      <c r="A17657" s="27">
        <v>10</v>
      </c>
    </row>
    <row r="17658" spans="1:1">
      <c r="A17658" s="27">
        <v>10</v>
      </c>
    </row>
    <row r="17659" spans="1:1">
      <c r="A17659" s="29">
        <v>0.75277777777777777</v>
      </c>
    </row>
    <row r="17660" spans="1:1">
      <c r="A17660" s="27">
        <v>22.1</v>
      </c>
    </row>
    <row r="17661" spans="1:1">
      <c r="A17661" s="28">
        <v>0</v>
      </c>
    </row>
    <row r="17662" spans="1:1">
      <c r="A17662" s="25">
        <v>792</v>
      </c>
    </row>
    <row r="17663" spans="1:1" ht="30">
      <c r="A17663" s="26" t="s">
        <v>1071</v>
      </c>
    </row>
    <row r="17664" spans="1:1">
      <c r="A17664" s="27" t="s">
        <v>42</v>
      </c>
    </row>
    <row r="17665" spans="1:1">
      <c r="A17665" s="27">
        <v>43</v>
      </c>
    </row>
    <row r="17666" spans="1:1">
      <c r="A17666" s="27">
        <v>1</v>
      </c>
    </row>
    <row r="17667" spans="1:1">
      <c r="A17667" s="27">
        <v>4</v>
      </c>
    </row>
    <row r="17668" spans="1:1">
      <c r="A17668" s="27">
        <v>5</v>
      </c>
    </row>
    <row r="17669" spans="1:1">
      <c r="A17669" s="27">
        <v>-4</v>
      </c>
    </row>
    <row r="17670" spans="1:1">
      <c r="A17670" s="27">
        <v>14</v>
      </c>
    </row>
    <row r="17671" spans="1:1">
      <c r="A17671" s="27">
        <v>0.12</v>
      </c>
    </row>
    <row r="17672" spans="1:1">
      <c r="A17672" s="27">
        <v>0</v>
      </c>
    </row>
    <row r="17673" spans="1:1">
      <c r="A17673" s="27">
        <v>0</v>
      </c>
    </row>
    <row r="17674" spans="1:1">
      <c r="A17674" s="27">
        <v>0</v>
      </c>
    </row>
    <row r="17675" spans="1:1">
      <c r="A17675" s="27">
        <v>0</v>
      </c>
    </row>
    <row r="17676" spans="1:1">
      <c r="A17676" s="27">
        <v>0</v>
      </c>
    </row>
    <row r="17677" spans="1:1">
      <c r="A17677" s="27">
        <v>0</v>
      </c>
    </row>
    <row r="17678" spans="1:1">
      <c r="A17678" s="27">
        <v>38</v>
      </c>
    </row>
    <row r="17679" spans="1:1">
      <c r="A17679" s="27">
        <v>2.6</v>
      </c>
    </row>
    <row r="17680" spans="1:1">
      <c r="A17680" s="29">
        <v>0.62222222222222223</v>
      </c>
    </row>
    <row r="17681" spans="1:1">
      <c r="A17681" s="27">
        <v>21</v>
      </c>
    </row>
    <row r="17682" spans="1:1">
      <c r="A17682" s="28">
        <v>0</v>
      </c>
    </row>
    <row r="17683" spans="1:1">
      <c r="A17683" s="25">
        <v>793</v>
      </c>
    </row>
    <row r="17684" spans="1:1" ht="30">
      <c r="A17684" s="26" t="s">
        <v>736</v>
      </c>
    </row>
    <row r="17685" spans="1:1">
      <c r="A17685" s="27" t="s">
        <v>43</v>
      </c>
    </row>
    <row r="17686" spans="1:1">
      <c r="A17686" s="27">
        <v>14</v>
      </c>
    </row>
    <row r="17687" spans="1:1">
      <c r="A17687" s="27">
        <v>1</v>
      </c>
    </row>
    <row r="17688" spans="1:1">
      <c r="A17688" s="27">
        <v>4</v>
      </c>
    </row>
    <row r="17689" spans="1:1">
      <c r="A17689" s="27">
        <v>5</v>
      </c>
    </row>
    <row r="17690" spans="1:1">
      <c r="A17690" s="27">
        <v>-6</v>
      </c>
    </row>
    <row r="17691" spans="1:1">
      <c r="A17691" s="27">
        <v>0</v>
      </c>
    </row>
    <row r="17692" spans="1:1">
      <c r="A17692" s="27">
        <v>0.36</v>
      </c>
    </row>
    <row r="17693" spans="1:1">
      <c r="A17693" s="27">
        <v>1</v>
      </c>
    </row>
    <row r="17694" spans="1:1">
      <c r="A17694" s="27">
        <v>4</v>
      </c>
    </row>
    <row r="17695" spans="1:1">
      <c r="A17695" s="27">
        <v>0</v>
      </c>
    </row>
    <row r="17696" spans="1:1">
      <c r="A17696" s="27">
        <v>0</v>
      </c>
    </row>
    <row r="17697" spans="1:1">
      <c r="A17697" s="27">
        <v>0</v>
      </c>
    </row>
    <row r="17698" spans="1:1">
      <c r="A17698" s="27">
        <v>0</v>
      </c>
    </row>
    <row r="17699" spans="1:1">
      <c r="A17699" s="27">
        <v>27</v>
      </c>
    </row>
    <row r="17700" spans="1:1">
      <c r="A17700" s="27">
        <v>3.7</v>
      </c>
    </row>
    <row r="17701" spans="1:1">
      <c r="A17701" s="29">
        <v>0.61944444444444446</v>
      </c>
    </row>
    <row r="17702" spans="1:1">
      <c r="A17702" s="27">
        <v>19</v>
      </c>
    </row>
    <row r="17703" spans="1:1">
      <c r="A17703" s="28">
        <v>50</v>
      </c>
    </row>
    <row r="17704" spans="1:1">
      <c r="A17704" s="25">
        <v>794</v>
      </c>
    </row>
    <row r="17705" spans="1:1" ht="30">
      <c r="A17705" s="26" t="s">
        <v>772</v>
      </c>
    </row>
    <row r="17706" spans="1:1">
      <c r="A17706" s="27" t="s">
        <v>653</v>
      </c>
    </row>
    <row r="17707" spans="1:1">
      <c r="A17707" s="27">
        <v>25</v>
      </c>
    </row>
    <row r="17708" spans="1:1">
      <c r="A17708" s="27">
        <v>1</v>
      </c>
    </row>
    <row r="17709" spans="1:1">
      <c r="A17709" s="27">
        <v>4</v>
      </c>
    </row>
    <row r="17710" spans="1:1">
      <c r="A17710" s="27">
        <v>5</v>
      </c>
    </row>
    <row r="17711" spans="1:1">
      <c r="A17711" s="27">
        <v>-4</v>
      </c>
    </row>
    <row r="17712" spans="1:1">
      <c r="A17712" s="27">
        <v>2</v>
      </c>
    </row>
    <row r="17713" spans="1:1">
      <c r="A17713" s="27">
        <v>0.2</v>
      </c>
    </row>
    <row r="17714" spans="1:1">
      <c r="A17714" s="27">
        <v>1</v>
      </c>
    </row>
    <row r="17715" spans="1:1">
      <c r="A17715" s="27">
        <v>2</v>
      </c>
    </row>
    <row r="17716" spans="1:1">
      <c r="A17716" s="27">
        <v>0</v>
      </c>
    </row>
    <row r="17717" spans="1:1">
      <c r="A17717" s="27">
        <v>0</v>
      </c>
    </row>
    <row r="17718" spans="1:1">
      <c r="A17718" s="27">
        <v>0</v>
      </c>
    </row>
    <row r="17719" spans="1:1">
      <c r="A17719" s="27">
        <v>0</v>
      </c>
    </row>
    <row r="17720" spans="1:1">
      <c r="A17720" s="27">
        <v>24</v>
      </c>
    </row>
    <row r="17721" spans="1:1">
      <c r="A17721" s="27">
        <v>4.2</v>
      </c>
    </row>
    <row r="17722" spans="1:1">
      <c r="A17722" s="29">
        <v>0.42638888888888887</v>
      </c>
    </row>
    <row r="17723" spans="1:1">
      <c r="A17723" s="27">
        <v>14.6</v>
      </c>
    </row>
    <row r="17724" spans="1:1">
      <c r="A17724" s="28">
        <v>48.4</v>
      </c>
    </row>
    <row r="17725" spans="1:1">
      <c r="A17725" s="25">
        <v>795</v>
      </c>
    </row>
    <row r="17726" spans="1:1" ht="45">
      <c r="A17726" s="26" t="s">
        <v>1052</v>
      </c>
    </row>
    <row r="17727" spans="1:1">
      <c r="A17727" s="27" t="s">
        <v>43</v>
      </c>
    </row>
    <row r="17728" spans="1:1">
      <c r="A17728" s="27">
        <v>26</v>
      </c>
    </row>
    <row r="17729" spans="1:1">
      <c r="A17729" s="27">
        <v>1</v>
      </c>
    </row>
    <row r="17730" spans="1:1">
      <c r="A17730" s="27">
        <v>4</v>
      </c>
    </row>
    <row r="17731" spans="1:1">
      <c r="A17731" s="27">
        <v>5</v>
      </c>
    </row>
    <row r="17732" spans="1:1">
      <c r="A17732" s="27">
        <v>-8</v>
      </c>
    </row>
    <row r="17733" spans="1:1">
      <c r="A17733" s="27">
        <v>4</v>
      </c>
    </row>
    <row r="17734" spans="1:1">
      <c r="A17734" s="27">
        <v>0.19</v>
      </c>
    </row>
    <row r="17735" spans="1:1">
      <c r="A17735" s="27">
        <v>0</v>
      </c>
    </row>
    <row r="17736" spans="1:1">
      <c r="A17736" s="27">
        <v>2</v>
      </c>
    </row>
    <row r="17737" spans="1:1">
      <c r="A17737" s="27">
        <v>0</v>
      </c>
    </row>
    <row r="17738" spans="1:1">
      <c r="A17738" s="27">
        <v>0</v>
      </c>
    </row>
    <row r="17739" spans="1:1">
      <c r="A17739" s="27">
        <v>0</v>
      </c>
    </row>
    <row r="17740" spans="1:1">
      <c r="A17740" s="27">
        <v>0</v>
      </c>
    </row>
    <row r="17741" spans="1:1">
      <c r="A17741" s="27">
        <v>36</v>
      </c>
    </row>
    <row r="17742" spans="1:1">
      <c r="A17742" s="27">
        <v>2.8</v>
      </c>
    </row>
    <row r="17743" spans="1:1">
      <c r="A17743" s="29">
        <v>0.57430555555555551</v>
      </c>
    </row>
    <row r="17744" spans="1:1">
      <c r="A17744" s="27">
        <v>17.8</v>
      </c>
    </row>
    <row r="17745" spans="1:1">
      <c r="A17745" s="28">
        <v>0</v>
      </c>
    </row>
    <row r="17746" spans="1:1">
      <c r="A17746" s="25">
        <v>796</v>
      </c>
    </row>
    <row r="17747" spans="1:1" ht="30">
      <c r="A17747" s="26" t="s">
        <v>1042</v>
      </c>
    </row>
    <row r="17748" spans="1:1">
      <c r="A17748" s="27" t="s">
        <v>42</v>
      </c>
    </row>
    <row r="17749" spans="1:1">
      <c r="A17749" s="27">
        <v>42</v>
      </c>
    </row>
    <row r="17750" spans="1:1">
      <c r="A17750" s="27">
        <v>0</v>
      </c>
    </row>
    <row r="17751" spans="1:1">
      <c r="A17751" s="27">
        <v>5</v>
      </c>
    </row>
    <row r="17752" spans="1:1">
      <c r="A17752" s="27">
        <v>5</v>
      </c>
    </row>
    <row r="17753" spans="1:1">
      <c r="A17753" s="27">
        <v>-7</v>
      </c>
    </row>
    <row r="17754" spans="1:1">
      <c r="A17754" s="27">
        <v>12</v>
      </c>
    </row>
    <row r="17755" spans="1:1">
      <c r="A17755" s="27">
        <v>0.12</v>
      </c>
    </row>
    <row r="17756" spans="1:1">
      <c r="A17756" s="27">
        <v>0</v>
      </c>
    </row>
    <row r="17757" spans="1:1">
      <c r="A17757" s="27">
        <v>1</v>
      </c>
    </row>
    <row r="17758" spans="1:1">
      <c r="A17758" s="27">
        <v>0</v>
      </c>
    </row>
    <row r="17759" spans="1:1">
      <c r="A17759" s="27">
        <v>0</v>
      </c>
    </row>
    <row r="17760" spans="1:1">
      <c r="A17760" s="27">
        <v>0</v>
      </c>
    </row>
    <row r="17761" spans="1:1">
      <c r="A17761" s="27">
        <v>0</v>
      </c>
    </row>
    <row r="17762" spans="1:1">
      <c r="A17762" s="27">
        <v>21</v>
      </c>
    </row>
    <row r="17763" spans="1:1">
      <c r="A17763" s="27">
        <v>0</v>
      </c>
    </row>
    <row r="17764" spans="1:1">
      <c r="A17764" s="29">
        <v>0.49722222222222223</v>
      </c>
    </row>
    <row r="17765" spans="1:1">
      <c r="A17765" s="27">
        <v>17.899999999999999</v>
      </c>
    </row>
    <row r="17766" spans="1:1">
      <c r="A17766" s="28">
        <v>0</v>
      </c>
    </row>
    <row r="17767" spans="1:1">
      <c r="A17767" s="25">
        <v>797</v>
      </c>
    </row>
    <row r="17768" spans="1:1" ht="30">
      <c r="A17768" s="26" t="s">
        <v>1072</v>
      </c>
    </row>
    <row r="17769" spans="1:1">
      <c r="A17769" s="27" t="s">
        <v>42</v>
      </c>
    </row>
    <row r="17770" spans="1:1">
      <c r="A17770" s="27">
        <v>22</v>
      </c>
    </row>
    <row r="17771" spans="1:1">
      <c r="A17771" s="27">
        <v>0</v>
      </c>
    </row>
    <row r="17772" spans="1:1">
      <c r="A17772" s="27">
        <v>5</v>
      </c>
    </row>
    <row r="17773" spans="1:1">
      <c r="A17773" s="27">
        <v>5</v>
      </c>
    </row>
    <row r="17774" spans="1:1">
      <c r="A17774" s="27">
        <v>-9</v>
      </c>
    </row>
    <row r="17775" spans="1:1">
      <c r="A17775" s="27">
        <v>4</v>
      </c>
    </row>
    <row r="17776" spans="1:1">
      <c r="A17776" s="27">
        <v>0.23</v>
      </c>
    </row>
    <row r="17777" spans="1:1">
      <c r="A17777" s="27">
        <v>0</v>
      </c>
    </row>
    <row r="17778" spans="1:1">
      <c r="A17778" s="27">
        <v>1</v>
      </c>
    </row>
    <row r="17779" spans="1:1">
      <c r="A17779" s="27">
        <v>0</v>
      </c>
    </row>
    <row r="17780" spans="1:1">
      <c r="A17780" s="27">
        <v>0</v>
      </c>
    </row>
    <row r="17781" spans="1:1">
      <c r="A17781" s="27">
        <v>0</v>
      </c>
    </row>
    <row r="17782" spans="1:1">
      <c r="A17782" s="27">
        <v>0</v>
      </c>
    </row>
    <row r="17783" spans="1:1">
      <c r="A17783" s="27">
        <v>24</v>
      </c>
    </row>
    <row r="17784" spans="1:1">
      <c r="A17784" s="27">
        <v>0</v>
      </c>
    </row>
    <row r="17785" spans="1:1">
      <c r="A17785" s="29">
        <v>0.75902777777777775</v>
      </c>
    </row>
    <row r="17786" spans="1:1">
      <c r="A17786" s="27">
        <v>22.8</v>
      </c>
    </row>
    <row r="17787" spans="1:1">
      <c r="A17787" s="28">
        <v>0</v>
      </c>
    </row>
    <row r="17788" spans="1:1">
      <c r="A17788" s="25">
        <v>798</v>
      </c>
    </row>
    <row r="17789" spans="1:1" ht="30">
      <c r="A17789" s="26" t="s">
        <v>542</v>
      </c>
    </row>
    <row r="17790" spans="1:1">
      <c r="A17790" s="27" t="s">
        <v>42</v>
      </c>
    </row>
    <row r="17791" spans="1:1">
      <c r="A17791" s="27">
        <v>26</v>
      </c>
    </row>
    <row r="17792" spans="1:1">
      <c r="A17792" s="27">
        <v>0</v>
      </c>
    </row>
    <row r="17793" spans="1:1">
      <c r="A17793" s="27">
        <v>5</v>
      </c>
    </row>
    <row r="17794" spans="1:1">
      <c r="A17794" s="27">
        <v>5</v>
      </c>
    </row>
    <row r="17795" spans="1:1">
      <c r="A17795" s="27">
        <v>-6</v>
      </c>
    </row>
    <row r="17796" spans="1:1">
      <c r="A17796" s="27">
        <v>12</v>
      </c>
    </row>
    <row r="17797" spans="1:1">
      <c r="A17797" s="27">
        <v>0.19</v>
      </c>
    </row>
    <row r="17798" spans="1:1">
      <c r="A17798" s="27">
        <v>0</v>
      </c>
    </row>
    <row r="17799" spans="1:1">
      <c r="A17799" s="27">
        <v>0</v>
      </c>
    </row>
    <row r="17800" spans="1:1">
      <c r="A17800" s="27">
        <v>0</v>
      </c>
    </row>
    <row r="17801" spans="1:1">
      <c r="A17801" s="27">
        <v>1</v>
      </c>
    </row>
    <row r="17802" spans="1:1">
      <c r="A17802" s="27">
        <v>0</v>
      </c>
    </row>
    <row r="17803" spans="1:1">
      <c r="A17803" s="27">
        <v>0</v>
      </c>
    </row>
    <row r="17804" spans="1:1">
      <c r="A17804" s="27">
        <v>23</v>
      </c>
    </row>
    <row r="17805" spans="1:1">
      <c r="A17805" s="27">
        <v>0</v>
      </c>
    </row>
    <row r="17806" spans="1:1">
      <c r="A17806" s="29">
        <v>0.65138888888888891</v>
      </c>
    </row>
    <row r="17807" spans="1:1">
      <c r="A17807" s="27">
        <v>19.899999999999999</v>
      </c>
    </row>
    <row r="17808" spans="1:1">
      <c r="A17808" s="28">
        <v>0</v>
      </c>
    </row>
    <row r="17809" spans="1:1">
      <c r="A17809" s="25">
        <v>799</v>
      </c>
    </row>
    <row r="17810" spans="1:1" ht="45">
      <c r="A17810" s="26" t="s">
        <v>1123</v>
      </c>
    </row>
    <row r="17811" spans="1:1">
      <c r="A17811" s="27" t="s">
        <v>42</v>
      </c>
    </row>
    <row r="17812" spans="1:1">
      <c r="A17812" s="27">
        <v>57</v>
      </c>
    </row>
    <row r="17813" spans="1:1">
      <c r="A17813" s="27">
        <v>0</v>
      </c>
    </row>
    <row r="17814" spans="1:1">
      <c r="A17814" s="27">
        <v>5</v>
      </c>
    </row>
    <row r="17815" spans="1:1">
      <c r="A17815" s="27">
        <v>5</v>
      </c>
    </row>
    <row r="17816" spans="1:1">
      <c r="A17816" s="27">
        <v>-7</v>
      </c>
    </row>
    <row r="17817" spans="1:1">
      <c r="A17817" s="27">
        <v>25</v>
      </c>
    </row>
    <row r="17818" spans="1:1">
      <c r="A17818" s="27">
        <v>0.09</v>
      </c>
    </row>
    <row r="17819" spans="1:1">
      <c r="A17819" s="27">
        <v>0</v>
      </c>
    </row>
    <row r="17820" spans="1:1">
      <c r="A17820" s="27">
        <v>0</v>
      </c>
    </row>
    <row r="17821" spans="1:1">
      <c r="A17821" s="27">
        <v>0</v>
      </c>
    </row>
    <row r="17822" spans="1:1">
      <c r="A17822" s="27">
        <v>0</v>
      </c>
    </row>
    <row r="17823" spans="1:1">
      <c r="A17823" s="27">
        <v>0</v>
      </c>
    </row>
    <row r="17824" spans="1:1">
      <c r="A17824" s="27">
        <v>0</v>
      </c>
    </row>
    <row r="17825" spans="1:1">
      <c r="A17825" s="27">
        <v>43</v>
      </c>
    </row>
    <row r="17826" spans="1:1">
      <c r="A17826" s="27">
        <v>0</v>
      </c>
    </row>
    <row r="17827" spans="1:1">
      <c r="A17827" s="29">
        <v>0.56111111111111112</v>
      </c>
    </row>
    <row r="17828" spans="1:1">
      <c r="A17828" s="27">
        <v>18.7</v>
      </c>
    </row>
    <row r="17829" spans="1:1">
      <c r="A17829" s="28">
        <v>0</v>
      </c>
    </row>
    <row r="17830" spans="1:1">
      <c r="A17830" s="25">
        <v>800</v>
      </c>
    </row>
    <row r="17831" spans="1:1" ht="45">
      <c r="A17831" s="26" t="s">
        <v>1055</v>
      </c>
    </row>
    <row r="17832" spans="1:1">
      <c r="A17832" s="27" t="s">
        <v>42</v>
      </c>
    </row>
    <row r="17833" spans="1:1">
      <c r="A17833" s="27">
        <v>30</v>
      </c>
    </row>
    <row r="17834" spans="1:1">
      <c r="A17834" s="27">
        <v>0</v>
      </c>
    </row>
    <row r="17835" spans="1:1">
      <c r="A17835" s="27">
        <v>5</v>
      </c>
    </row>
    <row r="17836" spans="1:1">
      <c r="A17836" s="27">
        <v>5</v>
      </c>
    </row>
    <row r="17837" spans="1:1">
      <c r="A17837" s="27">
        <v>-8</v>
      </c>
    </row>
    <row r="17838" spans="1:1">
      <c r="A17838" s="27">
        <v>4</v>
      </c>
    </row>
    <row r="17839" spans="1:1">
      <c r="A17839" s="27">
        <v>0.17</v>
      </c>
    </row>
    <row r="17840" spans="1:1">
      <c r="A17840" s="27">
        <v>0</v>
      </c>
    </row>
    <row r="17841" spans="1:1">
      <c r="A17841" s="27">
        <v>0</v>
      </c>
    </row>
    <row r="17842" spans="1:1">
      <c r="A17842" s="27">
        <v>0</v>
      </c>
    </row>
    <row r="17843" spans="1:1">
      <c r="A17843" s="27">
        <v>0</v>
      </c>
    </row>
    <row r="17844" spans="1:1">
      <c r="A17844" s="27">
        <v>0</v>
      </c>
    </row>
    <row r="17845" spans="1:1">
      <c r="A17845" s="27">
        <v>0</v>
      </c>
    </row>
    <row r="17846" spans="1:1">
      <c r="A17846" s="27">
        <v>17</v>
      </c>
    </row>
    <row r="17847" spans="1:1">
      <c r="A17847" s="27">
        <v>0</v>
      </c>
    </row>
    <row r="17848" spans="1:1">
      <c r="A17848" s="29">
        <v>0.56666666666666665</v>
      </c>
    </row>
    <row r="17849" spans="1:1">
      <c r="A17849" s="27">
        <v>18.600000000000001</v>
      </c>
    </row>
    <row r="17850" spans="1:1">
      <c r="A17850" s="28">
        <v>0</v>
      </c>
    </row>
    <row r="17851" spans="1:1">
      <c r="A17851" s="25">
        <v>801</v>
      </c>
    </row>
    <row r="17852" spans="1:1" ht="30">
      <c r="A17852" s="26" t="s">
        <v>812</v>
      </c>
    </row>
    <row r="17853" spans="1:1">
      <c r="A17853" s="27" t="s">
        <v>653</v>
      </c>
    </row>
    <row r="17854" spans="1:1">
      <c r="A17854" s="27">
        <v>35</v>
      </c>
    </row>
    <row r="17855" spans="1:1">
      <c r="A17855" s="27">
        <v>3</v>
      </c>
    </row>
    <row r="17856" spans="1:1">
      <c r="A17856" s="27">
        <v>1</v>
      </c>
    </row>
    <row r="17857" spans="1:1">
      <c r="A17857" s="27">
        <v>4</v>
      </c>
    </row>
    <row r="17858" spans="1:1">
      <c r="A17858" s="27">
        <v>-4</v>
      </c>
    </row>
    <row r="17859" spans="1:1">
      <c r="A17859" s="27">
        <v>18</v>
      </c>
    </row>
    <row r="17860" spans="1:1">
      <c r="A17860" s="27">
        <v>0.11</v>
      </c>
    </row>
    <row r="17861" spans="1:1">
      <c r="A17861" s="27">
        <v>0</v>
      </c>
    </row>
    <row r="17862" spans="1:1">
      <c r="A17862" s="27">
        <v>0</v>
      </c>
    </row>
    <row r="17863" spans="1:1">
      <c r="A17863" s="27">
        <v>1</v>
      </c>
    </row>
    <row r="17864" spans="1:1">
      <c r="A17864" s="27">
        <v>1</v>
      </c>
    </row>
    <row r="17865" spans="1:1">
      <c r="A17865" s="27">
        <v>1</v>
      </c>
    </row>
    <row r="17866" spans="1:1">
      <c r="A17866" s="27">
        <v>0</v>
      </c>
    </row>
    <row r="17867" spans="1:1">
      <c r="A17867" s="27">
        <v>42</v>
      </c>
    </row>
    <row r="17868" spans="1:1">
      <c r="A17868" s="27">
        <v>7.1</v>
      </c>
    </row>
    <row r="17869" spans="1:1">
      <c r="A17869" s="29">
        <v>0.4513888888888889</v>
      </c>
    </row>
    <row r="17870" spans="1:1">
      <c r="A17870" s="27">
        <v>15.9</v>
      </c>
    </row>
    <row r="17871" spans="1:1">
      <c r="A17871" s="28">
        <v>44.8</v>
      </c>
    </row>
    <row r="17872" spans="1:1">
      <c r="A17872" s="25">
        <v>802</v>
      </c>
    </row>
    <row r="17873" spans="1:1" ht="30">
      <c r="A17873" s="26" t="s">
        <v>660</v>
      </c>
    </row>
    <row r="17874" spans="1:1">
      <c r="A17874" s="27" t="s">
        <v>44</v>
      </c>
    </row>
    <row r="17875" spans="1:1">
      <c r="A17875" s="27">
        <v>16</v>
      </c>
    </row>
    <row r="17876" spans="1:1">
      <c r="A17876" s="27">
        <v>2</v>
      </c>
    </row>
    <row r="17877" spans="1:1">
      <c r="A17877" s="27">
        <v>2</v>
      </c>
    </row>
    <row r="17878" spans="1:1">
      <c r="A17878" s="27">
        <v>4</v>
      </c>
    </row>
    <row r="17879" spans="1:1">
      <c r="A17879" s="27">
        <v>0</v>
      </c>
    </row>
    <row r="17880" spans="1:1">
      <c r="A17880" s="27">
        <v>10</v>
      </c>
    </row>
    <row r="17881" spans="1:1">
      <c r="A17881" s="27">
        <v>0.25</v>
      </c>
    </row>
    <row r="17882" spans="1:1">
      <c r="A17882" s="27">
        <v>0</v>
      </c>
    </row>
    <row r="17883" spans="1:1">
      <c r="A17883" s="27">
        <v>0</v>
      </c>
    </row>
    <row r="17884" spans="1:1">
      <c r="A17884" s="27">
        <v>0</v>
      </c>
    </row>
    <row r="17885" spans="1:1">
      <c r="A17885" s="27">
        <v>0</v>
      </c>
    </row>
    <row r="17886" spans="1:1">
      <c r="A17886" s="27">
        <v>0</v>
      </c>
    </row>
    <row r="17887" spans="1:1">
      <c r="A17887" s="27">
        <v>0</v>
      </c>
    </row>
    <row r="17888" spans="1:1">
      <c r="A17888" s="27">
        <v>13</v>
      </c>
    </row>
    <row r="17889" spans="1:1">
      <c r="A17889" s="27">
        <v>15.4</v>
      </c>
    </row>
    <row r="17890" spans="1:1">
      <c r="A17890" s="29">
        <v>0.39652777777777781</v>
      </c>
    </row>
    <row r="17891" spans="1:1">
      <c r="A17891" s="27">
        <v>13.4</v>
      </c>
    </row>
    <row r="17892" spans="1:1">
      <c r="A17892" s="28">
        <v>100</v>
      </c>
    </row>
    <row r="17893" spans="1:1">
      <c r="A17893" s="25">
        <v>803</v>
      </c>
    </row>
    <row r="17894" spans="1:1" ht="45">
      <c r="A17894" s="26" t="s">
        <v>935</v>
      </c>
    </row>
    <row r="17895" spans="1:1">
      <c r="A17895" s="27" t="s">
        <v>43</v>
      </c>
    </row>
    <row r="17896" spans="1:1">
      <c r="A17896" s="27">
        <v>20</v>
      </c>
    </row>
    <row r="17897" spans="1:1">
      <c r="A17897" s="27">
        <v>2</v>
      </c>
    </row>
    <row r="17898" spans="1:1">
      <c r="A17898" s="27">
        <v>2</v>
      </c>
    </row>
    <row r="17899" spans="1:1">
      <c r="A17899" s="27">
        <v>4</v>
      </c>
    </row>
    <row r="17900" spans="1:1">
      <c r="A17900" s="27">
        <v>-3</v>
      </c>
    </row>
    <row r="17901" spans="1:1">
      <c r="A17901" s="27">
        <v>10</v>
      </c>
    </row>
    <row r="17902" spans="1:1">
      <c r="A17902" s="27">
        <v>0.2</v>
      </c>
    </row>
    <row r="17903" spans="1:1">
      <c r="A17903" s="27">
        <v>0</v>
      </c>
    </row>
    <row r="17904" spans="1:1">
      <c r="A17904" s="27">
        <v>0</v>
      </c>
    </row>
    <row r="17905" spans="1:1">
      <c r="A17905" s="27">
        <v>0</v>
      </c>
    </row>
    <row r="17906" spans="1:1">
      <c r="A17906" s="27">
        <v>0</v>
      </c>
    </row>
    <row r="17907" spans="1:1">
      <c r="A17907" s="27">
        <v>0</v>
      </c>
    </row>
    <row r="17908" spans="1:1">
      <c r="A17908" s="27">
        <v>0</v>
      </c>
    </row>
    <row r="17909" spans="1:1">
      <c r="A17909" s="27">
        <v>26</v>
      </c>
    </row>
    <row r="17910" spans="1:1">
      <c r="A17910" s="27">
        <v>7.7</v>
      </c>
    </row>
    <row r="17911" spans="1:1">
      <c r="A17911" s="29">
        <v>0.38125000000000003</v>
      </c>
    </row>
    <row r="17912" spans="1:1">
      <c r="A17912" s="27">
        <v>13.5</v>
      </c>
    </row>
    <row r="17913" spans="1:1">
      <c r="A17913" s="28">
        <v>20</v>
      </c>
    </row>
    <row r="17914" spans="1:1">
      <c r="A17914" s="25">
        <v>804</v>
      </c>
    </row>
    <row r="17915" spans="1:1" ht="45">
      <c r="A17915" s="26" t="s">
        <v>976</v>
      </c>
    </row>
    <row r="17916" spans="1:1">
      <c r="A17916" s="27" t="s">
        <v>43</v>
      </c>
    </row>
    <row r="17917" spans="1:1">
      <c r="A17917" s="27">
        <v>16</v>
      </c>
    </row>
    <row r="17918" spans="1:1">
      <c r="A17918" s="27">
        <v>2</v>
      </c>
    </row>
    <row r="17919" spans="1:1">
      <c r="A17919" s="27">
        <v>2</v>
      </c>
    </row>
    <row r="17920" spans="1:1">
      <c r="A17920" s="27">
        <v>4</v>
      </c>
    </row>
    <row r="17921" spans="1:1">
      <c r="A17921" s="27">
        <v>-7</v>
      </c>
    </row>
    <row r="17922" spans="1:1">
      <c r="A17922" s="27">
        <v>0</v>
      </c>
    </row>
    <row r="17923" spans="1:1">
      <c r="A17923" s="27">
        <v>0.25</v>
      </c>
    </row>
    <row r="17924" spans="1:1">
      <c r="A17924" s="27">
        <v>1</v>
      </c>
    </row>
    <row r="17925" spans="1:1">
      <c r="A17925" s="27">
        <v>1</v>
      </c>
    </row>
    <row r="17926" spans="1:1">
      <c r="A17926" s="27">
        <v>0</v>
      </c>
    </row>
    <row r="17927" spans="1:1">
      <c r="A17927" s="27">
        <v>0</v>
      </c>
    </row>
    <row r="17928" spans="1:1">
      <c r="A17928" s="27">
        <v>0</v>
      </c>
    </row>
    <row r="17929" spans="1:1">
      <c r="A17929" s="27">
        <v>0</v>
      </c>
    </row>
    <row r="17930" spans="1:1">
      <c r="A17930" s="27">
        <v>18</v>
      </c>
    </row>
    <row r="17931" spans="1:1">
      <c r="A17931" s="27">
        <v>11.1</v>
      </c>
    </row>
    <row r="17932" spans="1:1">
      <c r="A17932" s="29">
        <v>0.47916666666666669</v>
      </c>
    </row>
    <row r="17933" spans="1:1">
      <c r="A17933" s="27">
        <v>15.1</v>
      </c>
    </row>
    <row r="17934" spans="1:1">
      <c r="A17934" s="28">
        <v>0</v>
      </c>
    </row>
    <row r="17935" spans="1:1">
      <c r="A17935" s="25">
        <v>805</v>
      </c>
    </row>
    <row r="17936" spans="1:1" ht="30">
      <c r="A17936" s="26" t="s">
        <v>785</v>
      </c>
    </row>
    <row r="17937" spans="1:1">
      <c r="A17937" s="27" t="s">
        <v>653</v>
      </c>
    </row>
    <row r="17938" spans="1:1">
      <c r="A17938" s="27">
        <v>23</v>
      </c>
    </row>
    <row r="17939" spans="1:1">
      <c r="A17939" s="27">
        <v>1</v>
      </c>
    </row>
    <row r="17940" spans="1:1">
      <c r="A17940" s="27">
        <v>3</v>
      </c>
    </row>
    <row r="17941" spans="1:1">
      <c r="A17941" s="27">
        <v>4</v>
      </c>
    </row>
    <row r="17942" spans="1:1">
      <c r="A17942" s="27">
        <v>-3</v>
      </c>
    </row>
    <row r="17943" spans="1:1">
      <c r="A17943" s="27">
        <v>8</v>
      </c>
    </row>
    <row r="17944" spans="1:1">
      <c r="A17944" s="27">
        <v>0.17</v>
      </c>
    </row>
    <row r="17945" spans="1:1">
      <c r="A17945" s="27">
        <v>0</v>
      </c>
    </row>
    <row r="17946" spans="1:1">
      <c r="A17946" s="27">
        <v>0</v>
      </c>
    </row>
    <row r="17947" spans="1:1">
      <c r="A17947" s="27">
        <v>0</v>
      </c>
    </row>
    <row r="17948" spans="1:1">
      <c r="A17948" s="27">
        <v>0</v>
      </c>
    </row>
    <row r="17949" spans="1:1">
      <c r="A17949" s="27">
        <v>0</v>
      </c>
    </row>
    <row r="17950" spans="1:1">
      <c r="A17950" s="27">
        <v>0</v>
      </c>
    </row>
    <row r="17951" spans="1:1">
      <c r="A17951" s="27">
        <v>19</v>
      </c>
    </row>
    <row r="17952" spans="1:1">
      <c r="A17952" s="27">
        <v>5.3</v>
      </c>
    </row>
    <row r="17953" spans="1:1">
      <c r="A17953" s="29">
        <v>0.38194444444444442</v>
      </c>
    </row>
    <row r="17954" spans="1:1">
      <c r="A17954" s="27">
        <v>13.2</v>
      </c>
    </row>
    <row r="17955" spans="1:1">
      <c r="A17955" s="28">
        <v>46.9</v>
      </c>
    </row>
    <row r="17956" spans="1:1">
      <c r="A17956" s="25">
        <v>806</v>
      </c>
    </row>
    <row r="17957" spans="1:1" ht="30">
      <c r="A17957" s="26" t="s">
        <v>488</v>
      </c>
    </row>
    <row r="17958" spans="1:1">
      <c r="A17958" s="27" t="s">
        <v>653</v>
      </c>
    </row>
    <row r="17959" spans="1:1">
      <c r="A17959" s="27">
        <v>14</v>
      </c>
    </row>
    <row r="17960" spans="1:1">
      <c r="A17960" s="27">
        <v>1</v>
      </c>
    </row>
    <row r="17961" spans="1:1">
      <c r="A17961" s="27">
        <v>3</v>
      </c>
    </row>
    <row r="17962" spans="1:1">
      <c r="A17962" s="27">
        <v>4</v>
      </c>
    </row>
    <row r="17963" spans="1:1">
      <c r="A17963" s="27">
        <v>1</v>
      </c>
    </row>
    <row r="17964" spans="1:1">
      <c r="A17964" s="27">
        <v>12</v>
      </c>
    </row>
    <row r="17965" spans="1:1">
      <c r="A17965" s="27">
        <v>0.28999999999999998</v>
      </c>
    </row>
    <row r="17966" spans="1:1">
      <c r="A17966" s="27">
        <v>0</v>
      </c>
    </row>
    <row r="17967" spans="1:1">
      <c r="A17967" s="27">
        <v>0</v>
      </c>
    </row>
    <row r="17968" spans="1:1">
      <c r="A17968" s="27">
        <v>0</v>
      </c>
    </row>
    <row r="17969" spans="1:1">
      <c r="A17969" s="27">
        <v>0</v>
      </c>
    </row>
    <row r="17970" spans="1:1">
      <c r="A17970" s="27">
        <v>1</v>
      </c>
    </row>
    <row r="17971" spans="1:1">
      <c r="A17971" s="27">
        <v>0</v>
      </c>
    </row>
    <row r="17972" spans="1:1">
      <c r="A17972" s="27">
        <v>20</v>
      </c>
    </row>
    <row r="17973" spans="1:1">
      <c r="A17973" s="27">
        <v>5</v>
      </c>
    </row>
    <row r="17974" spans="1:1">
      <c r="A17974" s="29">
        <v>0.46388888888888885</v>
      </c>
    </row>
    <row r="17975" spans="1:1">
      <c r="A17975" s="27">
        <v>16.2</v>
      </c>
    </row>
    <row r="17976" spans="1:1">
      <c r="A17976" s="28">
        <v>42.9</v>
      </c>
    </row>
    <row r="17977" spans="1:1">
      <c r="A17977" s="25">
        <v>807</v>
      </c>
    </row>
    <row r="17978" spans="1:1" ht="30">
      <c r="A17978" s="26" t="s">
        <v>1038</v>
      </c>
    </row>
    <row r="17979" spans="1:1">
      <c r="A17979" s="27" t="s">
        <v>653</v>
      </c>
    </row>
    <row r="17980" spans="1:1">
      <c r="A17980" s="27">
        <v>13</v>
      </c>
    </row>
    <row r="17981" spans="1:1">
      <c r="A17981" s="27">
        <v>1</v>
      </c>
    </row>
    <row r="17982" spans="1:1">
      <c r="A17982" s="27">
        <v>3</v>
      </c>
    </row>
    <row r="17983" spans="1:1">
      <c r="A17983" s="27">
        <v>4</v>
      </c>
    </row>
    <row r="17984" spans="1:1">
      <c r="A17984" s="27">
        <v>1</v>
      </c>
    </row>
    <row r="17985" spans="1:1">
      <c r="A17985" s="27">
        <v>2</v>
      </c>
    </row>
    <row r="17986" spans="1:1">
      <c r="A17986" s="27">
        <v>0.31</v>
      </c>
    </row>
    <row r="17987" spans="1:1">
      <c r="A17987" s="27">
        <v>0</v>
      </c>
    </row>
    <row r="17988" spans="1:1">
      <c r="A17988" s="27">
        <v>0</v>
      </c>
    </row>
    <row r="17989" spans="1:1">
      <c r="A17989" s="27">
        <v>0</v>
      </c>
    </row>
    <row r="17990" spans="1:1">
      <c r="A17990" s="27">
        <v>0</v>
      </c>
    </row>
    <row r="17991" spans="1:1">
      <c r="A17991" s="27">
        <v>0</v>
      </c>
    </row>
    <row r="17992" spans="1:1">
      <c r="A17992" s="27">
        <v>0</v>
      </c>
    </row>
    <row r="17993" spans="1:1">
      <c r="A17993" s="27">
        <v>8</v>
      </c>
    </row>
    <row r="17994" spans="1:1">
      <c r="A17994" s="27">
        <v>12.5</v>
      </c>
    </row>
    <row r="17995" spans="1:1">
      <c r="A17995" s="29">
        <v>0.25208333333333333</v>
      </c>
    </row>
    <row r="17996" spans="1:1">
      <c r="A17996" s="27">
        <v>10.199999999999999</v>
      </c>
    </row>
    <row r="17997" spans="1:1">
      <c r="A17997" s="28">
        <v>0</v>
      </c>
    </row>
    <row r="17998" spans="1:1">
      <c r="A17998" s="25">
        <v>808</v>
      </c>
    </row>
    <row r="17999" spans="1:1" ht="45">
      <c r="A17999" s="26" t="s">
        <v>1094</v>
      </c>
    </row>
    <row r="18000" spans="1:1">
      <c r="A18000" s="27" t="s">
        <v>42</v>
      </c>
    </row>
    <row r="18001" spans="1:1">
      <c r="A18001" s="27">
        <v>50</v>
      </c>
    </row>
    <row r="18002" spans="1:1">
      <c r="A18002" s="27">
        <v>1</v>
      </c>
    </row>
    <row r="18003" spans="1:1">
      <c r="A18003" s="27">
        <v>3</v>
      </c>
    </row>
    <row r="18004" spans="1:1">
      <c r="A18004" s="27">
        <v>4</v>
      </c>
    </row>
    <row r="18005" spans="1:1">
      <c r="A18005" s="27">
        <v>1</v>
      </c>
    </row>
    <row r="18006" spans="1:1">
      <c r="A18006" s="27">
        <v>50</v>
      </c>
    </row>
    <row r="18007" spans="1:1">
      <c r="A18007" s="27">
        <v>0.08</v>
      </c>
    </row>
    <row r="18008" spans="1:1">
      <c r="A18008" s="27">
        <v>0</v>
      </c>
    </row>
    <row r="18009" spans="1:1">
      <c r="A18009" s="27">
        <v>0</v>
      </c>
    </row>
    <row r="18010" spans="1:1">
      <c r="A18010" s="27">
        <v>0</v>
      </c>
    </row>
    <row r="18011" spans="1:1">
      <c r="A18011" s="27">
        <v>0</v>
      </c>
    </row>
    <row r="18012" spans="1:1">
      <c r="A18012" s="27">
        <v>0</v>
      </c>
    </row>
    <row r="18013" spans="1:1">
      <c r="A18013" s="27">
        <v>0</v>
      </c>
    </row>
    <row r="18014" spans="1:1">
      <c r="A18014" s="27">
        <v>23</v>
      </c>
    </row>
    <row r="18015" spans="1:1">
      <c r="A18015" s="27">
        <v>4.3</v>
      </c>
    </row>
    <row r="18016" spans="1:1">
      <c r="A18016" s="29">
        <v>0.56874999999999998</v>
      </c>
    </row>
    <row r="18017" spans="1:1">
      <c r="A18017" s="27">
        <v>19.899999999999999</v>
      </c>
    </row>
    <row r="18018" spans="1:1">
      <c r="A18018" s="28">
        <v>0</v>
      </c>
    </row>
    <row r="18019" spans="1:1">
      <c r="A18019" s="25">
        <v>809</v>
      </c>
    </row>
    <row r="18020" spans="1:1" ht="30">
      <c r="A18020" s="26" t="s">
        <v>798</v>
      </c>
    </row>
    <row r="18021" spans="1:1">
      <c r="A18021" s="27" t="s">
        <v>653</v>
      </c>
    </row>
    <row r="18022" spans="1:1">
      <c r="A18022" s="27">
        <v>20</v>
      </c>
    </row>
    <row r="18023" spans="1:1">
      <c r="A18023" s="27">
        <v>1</v>
      </c>
    </row>
    <row r="18024" spans="1:1">
      <c r="A18024" s="27">
        <v>3</v>
      </c>
    </row>
    <row r="18025" spans="1:1">
      <c r="A18025" s="27">
        <v>4</v>
      </c>
    </row>
    <row r="18026" spans="1:1">
      <c r="A18026" s="27">
        <v>-3</v>
      </c>
    </row>
    <row r="18027" spans="1:1">
      <c r="A18027" s="27">
        <v>0</v>
      </c>
    </row>
    <row r="18028" spans="1:1">
      <c r="A18028" s="27">
        <v>0.2</v>
      </c>
    </row>
    <row r="18029" spans="1:1">
      <c r="A18029" s="27">
        <v>0</v>
      </c>
    </row>
    <row r="18030" spans="1:1">
      <c r="A18030" s="27">
        <v>0</v>
      </c>
    </row>
    <row r="18031" spans="1:1">
      <c r="A18031" s="27">
        <v>0</v>
      </c>
    </row>
    <row r="18032" spans="1:1">
      <c r="A18032" s="27">
        <v>0</v>
      </c>
    </row>
    <row r="18033" spans="1:1">
      <c r="A18033" s="27">
        <v>0</v>
      </c>
    </row>
    <row r="18034" spans="1:1">
      <c r="A18034" s="27">
        <v>0</v>
      </c>
    </row>
    <row r="18035" spans="1:1">
      <c r="A18035" s="27">
        <v>10</v>
      </c>
    </row>
    <row r="18036" spans="1:1">
      <c r="A18036" s="27">
        <v>10</v>
      </c>
    </row>
    <row r="18037" spans="1:1">
      <c r="A18037" s="29">
        <v>0.45763888888888887</v>
      </c>
    </row>
    <row r="18038" spans="1:1">
      <c r="A18038" s="27">
        <v>14.5</v>
      </c>
    </row>
    <row r="18039" spans="1:1">
      <c r="A18039" s="28">
        <v>45.8</v>
      </c>
    </row>
    <row r="18040" spans="1:1">
      <c r="A18040" s="25">
        <v>810</v>
      </c>
    </row>
    <row r="18041" spans="1:1" ht="30">
      <c r="A18041" s="26" t="s">
        <v>235</v>
      </c>
    </row>
    <row r="18042" spans="1:1">
      <c r="A18042" s="27" t="s">
        <v>42</v>
      </c>
    </row>
    <row r="18043" spans="1:1">
      <c r="A18043" s="27">
        <v>22</v>
      </c>
    </row>
    <row r="18044" spans="1:1">
      <c r="A18044" s="27">
        <v>1</v>
      </c>
    </row>
    <row r="18045" spans="1:1">
      <c r="A18045" s="27">
        <v>3</v>
      </c>
    </row>
    <row r="18046" spans="1:1">
      <c r="A18046" s="27">
        <v>4</v>
      </c>
    </row>
    <row r="18047" spans="1:1">
      <c r="A18047" s="27">
        <v>-5</v>
      </c>
    </row>
    <row r="18048" spans="1:1">
      <c r="A18048" s="27">
        <v>6</v>
      </c>
    </row>
    <row r="18049" spans="1:1">
      <c r="A18049" s="27">
        <v>0.18</v>
      </c>
    </row>
    <row r="18050" spans="1:1">
      <c r="A18050" s="27">
        <v>1</v>
      </c>
    </row>
    <row r="18051" spans="1:1">
      <c r="A18051" s="27">
        <v>1</v>
      </c>
    </row>
    <row r="18052" spans="1:1">
      <c r="A18052" s="27">
        <v>0</v>
      </c>
    </row>
    <row r="18053" spans="1:1">
      <c r="A18053" s="27">
        <v>0</v>
      </c>
    </row>
    <row r="18054" spans="1:1">
      <c r="A18054" s="27">
        <v>0</v>
      </c>
    </row>
    <row r="18055" spans="1:1">
      <c r="A18055" s="27">
        <v>0</v>
      </c>
    </row>
    <row r="18056" spans="1:1">
      <c r="A18056" s="27">
        <v>24</v>
      </c>
    </row>
    <row r="18057" spans="1:1">
      <c r="A18057" s="27">
        <v>4.2</v>
      </c>
    </row>
    <row r="18058" spans="1:1">
      <c r="A18058" s="29">
        <v>0.67708333333333337</v>
      </c>
    </row>
    <row r="18059" spans="1:1">
      <c r="A18059" s="27">
        <v>19.7</v>
      </c>
    </row>
    <row r="18060" spans="1:1">
      <c r="A18060" s="28">
        <v>0</v>
      </c>
    </row>
    <row r="18061" spans="1:1">
      <c r="A18061" s="25">
        <v>811</v>
      </c>
    </row>
    <row r="18062" spans="1:1" ht="30">
      <c r="A18062" s="26" t="s">
        <v>793</v>
      </c>
    </row>
    <row r="18063" spans="1:1">
      <c r="A18063" s="27" t="s">
        <v>44</v>
      </c>
    </row>
    <row r="18064" spans="1:1">
      <c r="A18064" s="27">
        <v>38</v>
      </c>
    </row>
    <row r="18065" spans="1:1">
      <c r="A18065" s="27">
        <v>1</v>
      </c>
    </row>
    <row r="18066" spans="1:1">
      <c r="A18066" s="27">
        <v>3</v>
      </c>
    </row>
    <row r="18067" spans="1:1">
      <c r="A18067" s="27">
        <v>4</v>
      </c>
    </row>
    <row r="18068" spans="1:1">
      <c r="A18068" s="27">
        <v>-12</v>
      </c>
    </row>
    <row r="18069" spans="1:1">
      <c r="A18069" s="27">
        <v>12</v>
      </c>
    </row>
    <row r="18070" spans="1:1">
      <c r="A18070" s="27">
        <v>0.11</v>
      </c>
    </row>
    <row r="18071" spans="1:1">
      <c r="A18071" s="27">
        <v>0</v>
      </c>
    </row>
    <row r="18072" spans="1:1">
      <c r="A18072" s="27">
        <v>0</v>
      </c>
    </row>
    <row r="18073" spans="1:1">
      <c r="A18073" s="27">
        <v>0</v>
      </c>
    </row>
    <row r="18074" spans="1:1">
      <c r="A18074" s="27">
        <v>0</v>
      </c>
    </row>
    <row r="18075" spans="1:1">
      <c r="A18075" s="27">
        <v>0</v>
      </c>
    </row>
    <row r="18076" spans="1:1">
      <c r="A18076" s="27">
        <v>0</v>
      </c>
    </row>
    <row r="18077" spans="1:1">
      <c r="A18077" s="27">
        <v>42</v>
      </c>
    </row>
    <row r="18078" spans="1:1">
      <c r="A18078" s="27">
        <v>2.4</v>
      </c>
    </row>
    <row r="18079" spans="1:1">
      <c r="A18079" s="29">
        <v>0.53263888888888888</v>
      </c>
    </row>
    <row r="18080" spans="1:1">
      <c r="A18080" s="27">
        <v>16.5</v>
      </c>
    </row>
    <row r="18081" spans="1:1">
      <c r="A18081" s="28">
        <v>46.5</v>
      </c>
    </row>
    <row r="18082" spans="1:1">
      <c r="A18082" s="25">
        <v>812</v>
      </c>
    </row>
    <row r="18083" spans="1:1" ht="30">
      <c r="A18083" s="26" t="s">
        <v>1062</v>
      </c>
    </row>
    <row r="18084" spans="1:1">
      <c r="A18084" s="27" t="s">
        <v>42</v>
      </c>
    </row>
    <row r="18085" spans="1:1">
      <c r="A18085" s="27">
        <v>46</v>
      </c>
    </row>
    <row r="18086" spans="1:1">
      <c r="A18086" s="27">
        <v>1</v>
      </c>
    </row>
    <row r="18087" spans="1:1">
      <c r="A18087" s="27">
        <v>3</v>
      </c>
    </row>
    <row r="18088" spans="1:1">
      <c r="A18088" s="27">
        <v>4</v>
      </c>
    </row>
    <row r="18089" spans="1:1">
      <c r="A18089" s="27">
        <v>-4</v>
      </c>
    </row>
    <row r="18090" spans="1:1">
      <c r="A18090" s="27">
        <v>18</v>
      </c>
    </row>
    <row r="18091" spans="1:1">
      <c r="A18091" s="27">
        <v>0.09</v>
      </c>
    </row>
    <row r="18092" spans="1:1">
      <c r="A18092" s="27">
        <v>0</v>
      </c>
    </row>
    <row r="18093" spans="1:1">
      <c r="A18093" s="27">
        <v>0</v>
      </c>
    </row>
    <row r="18094" spans="1:1">
      <c r="A18094" s="27">
        <v>0</v>
      </c>
    </row>
    <row r="18095" spans="1:1">
      <c r="A18095" s="27">
        <v>0</v>
      </c>
    </row>
    <row r="18096" spans="1:1">
      <c r="A18096" s="27">
        <v>0</v>
      </c>
    </row>
    <row r="18097" spans="1:1">
      <c r="A18097" s="27">
        <v>0</v>
      </c>
    </row>
    <row r="18098" spans="1:1">
      <c r="A18098" s="27">
        <v>29</v>
      </c>
    </row>
    <row r="18099" spans="1:1">
      <c r="A18099" s="27">
        <v>3.4</v>
      </c>
    </row>
    <row r="18100" spans="1:1">
      <c r="A18100" s="29">
        <v>0.56319444444444444</v>
      </c>
    </row>
    <row r="18101" spans="1:1">
      <c r="A18101" s="27">
        <v>18.8</v>
      </c>
    </row>
    <row r="18102" spans="1:1">
      <c r="A18102" s="28">
        <v>0</v>
      </c>
    </row>
    <row r="18103" spans="1:1">
      <c r="A18103" s="25">
        <v>813</v>
      </c>
    </row>
    <row r="18104" spans="1:1" ht="30">
      <c r="A18104" s="26" t="s">
        <v>515</v>
      </c>
    </row>
    <row r="18105" spans="1:1">
      <c r="A18105" s="27" t="s">
        <v>42</v>
      </c>
    </row>
    <row r="18106" spans="1:1">
      <c r="A18106" s="27">
        <v>22</v>
      </c>
    </row>
    <row r="18107" spans="1:1">
      <c r="A18107" s="27">
        <v>0</v>
      </c>
    </row>
    <row r="18108" spans="1:1">
      <c r="A18108" s="27">
        <v>4</v>
      </c>
    </row>
    <row r="18109" spans="1:1">
      <c r="A18109" s="27">
        <v>4</v>
      </c>
    </row>
    <row r="18110" spans="1:1">
      <c r="A18110" s="27">
        <v>1</v>
      </c>
    </row>
    <row r="18111" spans="1:1">
      <c r="A18111" s="27">
        <v>20</v>
      </c>
    </row>
    <row r="18112" spans="1:1">
      <c r="A18112" s="27">
        <v>0.18</v>
      </c>
    </row>
    <row r="18113" spans="1:1">
      <c r="A18113" s="27">
        <v>0</v>
      </c>
    </row>
    <row r="18114" spans="1:1">
      <c r="A18114" s="27">
        <v>2</v>
      </c>
    </row>
    <row r="18115" spans="1:1">
      <c r="A18115" s="27">
        <v>0</v>
      </c>
    </row>
    <row r="18116" spans="1:1">
      <c r="A18116" s="27">
        <v>0</v>
      </c>
    </row>
    <row r="18117" spans="1:1">
      <c r="A18117" s="27">
        <v>0</v>
      </c>
    </row>
    <row r="18118" spans="1:1">
      <c r="A18118" s="27">
        <v>0</v>
      </c>
    </row>
    <row r="18119" spans="1:1">
      <c r="A18119" s="27">
        <v>23</v>
      </c>
    </row>
    <row r="18120" spans="1:1">
      <c r="A18120" s="27">
        <v>0</v>
      </c>
    </row>
    <row r="18121" spans="1:1">
      <c r="A18121" s="29">
        <v>0.65486111111111112</v>
      </c>
    </row>
    <row r="18122" spans="1:1">
      <c r="A18122" s="27">
        <v>20.7</v>
      </c>
    </row>
    <row r="18123" spans="1:1">
      <c r="A18123" s="28">
        <v>0</v>
      </c>
    </row>
    <row r="18124" spans="1:1">
      <c r="A18124" s="25">
        <v>814</v>
      </c>
    </row>
    <row r="18125" spans="1:1" ht="30">
      <c r="A18125" s="26" t="s">
        <v>743</v>
      </c>
    </row>
    <row r="18126" spans="1:1">
      <c r="A18126" s="27" t="s">
        <v>43</v>
      </c>
    </row>
    <row r="18127" spans="1:1">
      <c r="A18127" s="27">
        <v>31</v>
      </c>
    </row>
    <row r="18128" spans="1:1">
      <c r="A18128" s="27">
        <v>0</v>
      </c>
    </row>
    <row r="18129" spans="1:1">
      <c r="A18129" s="27">
        <v>4</v>
      </c>
    </row>
    <row r="18130" spans="1:1">
      <c r="A18130" s="27">
        <v>4</v>
      </c>
    </row>
    <row r="18131" spans="1:1">
      <c r="A18131" s="27">
        <v>-2</v>
      </c>
    </row>
    <row r="18132" spans="1:1">
      <c r="A18132" s="27">
        <v>8</v>
      </c>
    </row>
    <row r="18133" spans="1:1">
      <c r="A18133" s="27">
        <v>0.13</v>
      </c>
    </row>
    <row r="18134" spans="1:1">
      <c r="A18134" s="27">
        <v>0</v>
      </c>
    </row>
    <row r="18135" spans="1:1">
      <c r="A18135" s="27">
        <v>0</v>
      </c>
    </row>
    <row r="18136" spans="1:1">
      <c r="A18136" s="27">
        <v>0</v>
      </c>
    </row>
    <row r="18137" spans="1:1">
      <c r="A18137" s="27">
        <v>0</v>
      </c>
    </row>
    <row r="18138" spans="1:1">
      <c r="A18138" s="27">
        <v>0</v>
      </c>
    </row>
    <row r="18139" spans="1:1">
      <c r="A18139" s="27">
        <v>0</v>
      </c>
    </row>
    <row r="18140" spans="1:1">
      <c r="A18140" s="27">
        <v>37</v>
      </c>
    </row>
    <row r="18141" spans="1:1">
      <c r="A18141" s="27">
        <v>0</v>
      </c>
    </row>
    <row r="18142" spans="1:1">
      <c r="A18142" s="29">
        <v>0.47361111111111115</v>
      </c>
    </row>
    <row r="18143" spans="1:1">
      <c r="A18143" s="27">
        <v>15.4</v>
      </c>
    </row>
    <row r="18144" spans="1:1">
      <c r="A18144" s="28">
        <v>50</v>
      </c>
    </row>
    <row r="18145" spans="1:1">
      <c r="A18145" s="25">
        <v>815</v>
      </c>
    </row>
    <row r="18146" spans="1:1" ht="45">
      <c r="A18146" s="26" t="s">
        <v>1106</v>
      </c>
    </row>
    <row r="18147" spans="1:1">
      <c r="A18147" s="27" t="s">
        <v>42</v>
      </c>
    </row>
    <row r="18148" spans="1:1">
      <c r="A18148" s="27">
        <v>62</v>
      </c>
    </row>
    <row r="18149" spans="1:1">
      <c r="A18149" s="27">
        <v>0</v>
      </c>
    </row>
    <row r="18150" spans="1:1">
      <c r="A18150" s="27">
        <v>4</v>
      </c>
    </row>
    <row r="18151" spans="1:1">
      <c r="A18151" s="27">
        <v>4</v>
      </c>
    </row>
    <row r="18152" spans="1:1">
      <c r="A18152" s="27">
        <v>-5</v>
      </c>
    </row>
    <row r="18153" spans="1:1">
      <c r="A18153" s="27">
        <v>16</v>
      </c>
    </row>
    <row r="18154" spans="1:1">
      <c r="A18154" s="27">
        <v>0.06</v>
      </c>
    </row>
    <row r="18155" spans="1:1">
      <c r="A18155" s="27">
        <v>0</v>
      </c>
    </row>
    <row r="18156" spans="1:1">
      <c r="A18156" s="27">
        <v>0</v>
      </c>
    </row>
    <row r="18157" spans="1:1">
      <c r="A18157" s="27">
        <v>0</v>
      </c>
    </row>
    <row r="18158" spans="1:1">
      <c r="A18158" s="27">
        <v>0</v>
      </c>
    </row>
    <row r="18159" spans="1:1">
      <c r="A18159" s="27">
        <v>0</v>
      </c>
    </row>
    <row r="18160" spans="1:1">
      <c r="A18160" s="27">
        <v>0</v>
      </c>
    </row>
    <row r="18161" spans="1:1">
      <c r="A18161" s="27">
        <v>29</v>
      </c>
    </row>
    <row r="18162" spans="1:1">
      <c r="A18162" s="27">
        <v>0</v>
      </c>
    </row>
    <row r="18163" spans="1:1">
      <c r="A18163" s="29">
        <v>0.55347222222222225</v>
      </c>
    </row>
    <row r="18164" spans="1:1">
      <c r="A18164" s="27">
        <v>18.8</v>
      </c>
    </row>
    <row r="18165" spans="1:1">
      <c r="A18165" s="28">
        <v>0</v>
      </c>
    </row>
    <row r="18166" spans="1:1">
      <c r="A18166" s="25">
        <v>816</v>
      </c>
    </row>
    <row r="18167" spans="1:1" ht="45">
      <c r="A18167" s="26" t="s">
        <v>801</v>
      </c>
    </row>
    <row r="18168" spans="1:1">
      <c r="A18168" s="27" t="s">
        <v>653</v>
      </c>
    </row>
    <row r="18169" spans="1:1">
      <c r="A18169" s="27">
        <v>21</v>
      </c>
    </row>
    <row r="18170" spans="1:1">
      <c r="A18170" s="27">
        <v>3</v>
      </c>
    </row>
    <row r="18171" spans="1:1">
      <c r="A18171" s="27">
        <v>0</v>
      </c>
    </row>
    <row r="18172" spans="1:1">
      <c r="A18172" s="27">
        <v>3</v>
      </c>
    </row>
    <row r="18173" spans="1:1">
      <c r="A18173" s="27">
        <v>-4</v>
      </c>
    </row>
    <row r="18174" spans="1:1">
      <c r="A18174" s="27">
        <v>8</v>
      </c>
    </row>
    <row r="18175" spans="1:1">
      <c r="A18175" s="27">
        <v>0.14000000000000001</v>
      </c>
    </row>
    <row r="18176" spans="1:1">
      <c r="A18176" s="27">
        <v>1</v>
      </c>
    </row>
    <row r="18177" spans="1:1">
      <c r="A18177" s="27">
        <v>1</v>
      </c>
    </row>
    <row r="18178" spans="1:1">
      <c r="A18178" s="27">
        <v>0</v>
      </c>
    </row>
    <row r="18179" spans="1:1">
      <c r="A18179" s="27">
        <v>0</v>
      </c>
    </row>
    <row r="18180" spans="1:1">
      <c r="A18180" s="27">
        <v>0</v>
      </c>
    </row>
    <row r="18181" spans="1:1">
      <c r="A18181" s="27">
        <v>0</v>
      </c>
    </row>
    <row r="18182" spans="1:1">
      <c r="A18182" s="27">
        <v>26</v>
      </c>
    </row>
    <row r="18183" spans="1:1">
      <c r="A18183" s="27">
        <v>11.5</v>
      </c>
    </row>
    <row r="18184" spans="1:1">
      <c r="A18184" s="29">
        <v>0.48125000000000001</v>
      </c>
    </row>
    <row r="18185" spans="1:1">
      <c r="A18185" s="27">
        <v>17.600000000000001</v>
      </c>
    </row>
    <row r="18186" spans="1:1">
      <c r="A18186" s="28">
        <v>45.6</v>
      </c>
    </row>
    <row r="18187" spans="1:1">
      <c r="A18187" s="25">
        <v>817</v>
      </c>
    </row>
    <row r="18188" spans="1:1" ht="30">
      <c r="A18188" s="26" t="s">
        <v>659</v>
      </c>
    </row>
    <row r="18189" spans="1:1">
      <c r="A18189" s="27" t="s">
        <v>43</v>
      </c>
    </row>
    <row r="18190" spans="1:1">
      <c r="A18190" s="27">
        <v>7</v>
      </c>
    </row>
    <row r="18191" spans="1:1">
      <c r="A18191" s="27">
        <v>3</v>
      </c>
    </row>
    <row r="18192" spans="1:1">
      <c r="A18192" s="27">
        <v>0</v>
      </c>
    </row>
    <row r="18193" spans="1:1">
      <c r="A18193" s="27">
        <v>3</v>
      </c>
    </row>
    <row r="18194" spans="1:1">
      <c r="A18194" s="27">
        <v>0</v>
      </c>
    </row>
    <row r="18195" spans="1:1">
      <c r="A18195" s="27">
        <v>10</v>
      </c>
    </row>
    <row r="18196" spans="1:1">
      <c r="A18196" s="27">
        <v>0.43</v>
      </c>
    </row>
    <row r="18197" spans="1:1">
      <c r="A18197" s="27">
        <v>0</v>
      </c>
    </row>
    <row r="18198" spans="1:1">
      <c r="A18198" s="27">
        <v>0</v>
      </c>
    </row>
    <row r="18199" spans="1:1">
      <c r="A18199" s="27">
        <v>0</v>
      </c>
    </row>
    <row r="18200" spans="1:1">
      <c r="A18200" s="27">
        <v>0</v>
      </c>
    </row>
    <row r="18201" spans="1:1">
      <c r="A18201" s="27">
        <v>0</v>
      </c>
    </row>
    <row r="18202" spans="1:1">
      <c r="A18202" s="27">
        <v>0</v>
      </c>
    </row>
    <row r="18203" spans="1:1">
      <c r="A18203" s="27">
        <v>13</v>
      </c>
    </row>
    <row r="18204" spans="1:1">
      <c r="A18204" s="27">
        <v>23.1</v>
      </c>
    </row>
    <row r="18205" spans="1:1">
      <c r="A18205" s="29">
        <v>0.52847222222222223</v>
      </c>
    </row>
    <row r="18206" spans="1:1">
      <c r="A18206" s="27">
        <v>17</v>
      </c>
    </row>
    <row r="18207" spans="1:1">
      <c r="A18207" s="28">
        <v>100</v>
      </c>
    </row>
    <row r="18208" spans="1:1">
      <c r="A18208" s="25">
        <v>818</v>
      </c>
    </row>
    <row r="18209" spans="1:1" ht="30">
      <c r="A18209" s="26" t="s">
        <v>895</v>
      </c>
    </row>
    <row r="18210" spans="1:1">
      <c r="A18210" s="27" t="s">
        <v>653</v>
      </c>
    </row>
    <row r="18211" spans="1:1">
      <c r="A18211" s="27">
        <v>5</v>
      </c>
    </row>
    <row r="18212" spans="1:1">
      <c r="A18212" s="27">
        <v>3</v>
      </c>
    </row>
    <row r="18213" spans="1:1">
      <c r="A18213" s="27">
        <v>0</v>
      </c>
    </row>
    <row r="18214" spans="1:1">
      <c r="A18214" s="27">
        <v>3</v>
      </c>
    </row>
    <row r="18215" spans="1:1">
      <c r="A18215" s="27">
        <v>3</v>
      </c>
    </row>
    <row r="18216" spans="1:1">
      <c r="A18216" s="27">
        <v>0</v>
      </c>
    </row>
    <row r="18217" spans="1:1">
      <c r="A18217" s="27">
        <v>0.6</v>
      </c>
    </row>
    <row r="18218" spans="1:1">
      <c r="A18218" s="27">
        <v>0</v>
      </c>
    </row>
    <row r="18219" spans="1:1">
      <c r="A18219" s="27">
        <v>0</v>
      </c>
    </row>
    <row r="18220" spans="1:1">
      <c r="A18220" s="27">
        <v>0</v>
      </c>
    </row>
    <row r="18221" spans="1:1">
      <c r="A18221" s="27">
        <v>0</v>
      </c>
    </row>
    <row r="18222" spans="1:1">
      <c r="A18222" s="27">
        <v>0</v>
      </c>
    </row>
    <row r="18223" spans="1:1">
      <c r="A18223" s="27">
        <v>0</v>
      </c>
    </row>
    <row r="18224" spans="1:1">
      <c r="A18224" s="27">
        <v>5</v>
      </c>
    </row>
    <row r="18225" spans="1:1">
      <c r="A18225" s="27">
        <v>60</v>
      </c>
    </row>
    <row r="18226" spans="1:1">
      <c r="A18226" s="29">
        <v>0.38472222222222219</v>
      </c>
    </row>
    <row r="18227" spans="1:1">
      <c r="A18227" s="27">
        <v>14.4</v>
      </c>
    </row>
    <row r="18228" spans="1:1">
      <c r="A18228" s="28">
        <v>35.299999999999997</v>
      </c>
    </row>
    <row r="18229" spans="1:1">
      <c r="A18229" s="25">
        <v>819</v>
      </c>
    </row>
    <row r="18230" spans="1:1" ht="45">
      <c r="A18230" s="26" t="s">
        <v>1070</v>
      </c>
    </row>
    <row r="18231" spans="1:1">
      <c r="A18231" s="27" t="s">
        <v>44</v>
      </c>
    </row>
    <row r="18232" spans="1:1">
      <c r="A18232" s="27">
        <v>22</v>
      </c>
    </row>
    <row r="18233" spans="1:1">
      <c r="A18233" s="27">
        <v>3</v>
      </c>
    </row>
    <row r="18234" spans="1:1">
      <c r="A18234" s="27">
        <v>0</v>
      </c>
    </row>
    <row r="18235" spans="1:1">
      <c r="A18235" s="27">
        <v>3</v>
      </c>
    </row>
    <row r="18236" spans="1:1">
      <c r="A18236" s="27">
        <v>-3</v>
      </c>
    </row>
    <row r="18237" spans="1:1">
      <c r="A18237" s="27">
        <v>2</v>
      </c>
    </row>
    <row r="18238" spans="1:1">
      <c r="A18238" s="27">
        <v>0.14000000000000001</v>
      </c>
    </row>
    <row r="18239" spans="1:1">
      <c r="A18239" s="27">
        <v>0</v>
      </c>
    </row>
    <row r="18240" spans="1:1">
      <c r="A18240" s="27">
        <v>0</v>
      </c>
    </row>
    <row r="18241" spans="1:1">
      <c r="A18241" s="27">
        <v>0</v>
      </c>
    </row>
    <row r="18242" spans="1:1">
      <c r="A18242" s="27">
        <v>0</v>
      </c>
    </row>
    <row r="18243" spans="1:1">
      <c r="A18243" s="27">
        <v>1</v>
      </c>
    </row>
    <row r="18244" spans="1:1">
      <c r="A18244" s="27">
        <v>0</v>
      </c>
    </row>
    <row r="18245" spans="1:1">
      <c r="A18245" s="27">
        <v>31</v>
      </c>
    </row>
    <row r="18246" spans="1:1">
      <c r="A18246" s="27">
        <v>9.6999999999999993</v>
      </c>
    </row>
    <row r="18247" spans="1:1">
      <c r="A18247" s="29">
        <v>0.47638888888888892</v>
      </c>
    </row>
    <row r="18248" spans="1:1">
      <c r="A18248" s="27">
        <v>15.2</v>
      </c>
    </row>
    <row r="18249" spans="1:1">
      <c r="A18249" s="28">
        <v>0</v>
      </c>
    </row>
    <row r="18250" spans="1:1">
      <c r="A18250" s="25">
        <v>820</v>
      </c>
    </row>
    <row r="18251" spans="1:1" ht="30">
      <c r="A18251" s="26" t="s">
        <v>454</v>
      </c>
    </row>
    <row r="18252" spans="1:1">
      <c r="A18252" s="27" t="s">
        <v>42</v>
      </c>
    </row>
    <row r="18253" spans="1:1">
      <c r="A18253" s="27">
        <v>28</v>
      </c>
    </row>
    <row r="18254" spans="1:1">
      <c r="A18254" s="27">
        <v>2</v>
      </c>
    </row>
    <row r="18255" spans="1:1">
      <c r="A18255" s="27">
        <v>1</v>
      </c>
    </row>
    <row r="18256" spans="1:1">
      <c r="A18256" s="27">
        <v>3</v>
      </c>
    </row>
    <row r="18257" spans="1:1">
      <c r="A18257" s="27">
        <v>3</v>
      </c>
    </row>
    <row r="18258" spans="1:1">
      <c r="A18258" s="27">
        <v>6</v>
      </c>
    </row>
    <row r="18259" spans="1:1">
      <c r="A18259" s="27">
        <v>0.11</v>
      </c>
    </row>
    <row r="18260" spans="1:1">
      <c r="A18260" s="27">
        <v>0</v>
      </c>
    </row>
    <row r="18261" spans="1:1">
      <c r="A18261" s="27">
        <v>0</v>
      </c>
    </row>
    <row r="18262" spans="1:1">
      <c r="A18262" s="27">
        <v>0</v>
      </c>
    </row>
    <row r="18263" spans="1:1">
      <c r="A18263" s="27">
        <v>0</v>
      </c>
    </row>
    <row r="18264" spans="1:1">
      <c r="A18264" s="27">
        <v>1</v>
      </c>
    </row>
    <row r="18265" spans="1:1">
      <c r="A18265" s="27">
        <v>0</v>
      </c>
    </row>
    <row r="18266" spans="1:1">
      <c r="A18266" s="27">
        <v>25</v>
      </c>
    </row>
    <row r="18267" spans="1:1">
      <c r="A18267" s="27">
        <v>8</v>
      </c>
    </row>
    <row r="18268" spans="1:1">
      <c r="A18268" s="29">
        <v>0.55138888888888882</v>
      </c>
    </row>
    <row r="18269" spans="1:1">
      <c r="A18269" s="27">
        <v>17.8</v>
      </c>
    </row>
    <row r="18270" spans="1:1">
      <c r="A18270" s="28">
        <v>0</v>
      </c>
    </row>
    <row r="18271" spans="1:1">
      <c r="A18271" s="25">
        <v>821</v>
      </c>
    </row>
    <row r="18272" spans="1:1" ht="30">
      <c r="A18272" s="26" t="s">
        <v>1000</v>
      </c>
    </row>
    <row r="18273" spans="1:1">
      <c r="A18273" s="27" t="s">
        <v>44</v>
      </c>
    </row>
    <row r="18274" spans="1:1">
      <c r="A18274" s="27">
        <v>13</v>
      </c>
    </row>
    <row r="18275" spans="1:1">
      <c r="A18275" s="27">
        <v>2</v>
      </c>
    </row>
    <row r="18276" spans="1:1">
      <c r="A18276" s="27">
        <v>1</v>
      </c>
    </row>
    <row r="18277" spans="1:1">
      <c r="A18277" s="27">
        <v>3</v>
      </c>
    </row>
    <row r="18278" spans="1:1">
      <c r="A18278" s="27">
        <v>-1</v>
      </c>
    </row>
    <row r="18279" spans="1:1">
      <c r="A18279" s="27">
        <v>0</v>
      </c>
    </row>
    <row r="18280" spans="1:1">
      <c r="A18280" s="27">
        <v>0.23</v>
      </c>
    </row>
    <row r="18281" spans="1:1">
      <c r="A18281" s="27">
        <v>0</v>
      </c>
    </row>
    <row r="18282" spans="1:1">
      <c r="A18282" s="27">
        <v>0</v>
      </c>
    </row>
    <row r="18283" spans="1:1">
      <c r="A18283" s="27">
        <v>0</v>
      </c>
    </row>
    <row r="18284" spans="1:1">
      <c r="A18284" s="27">
        <v>0</v>
      </c>
    </row>
    <row r="18285" spans="1:1">
      <c r="A18285" s="27">
        <v>1</v>
      </c>
    </row>
    <row r="18286" spans="1:1">
      <c r="A18286" s="27">
        <v>0</v>
      </c>
    </row>
    <row r="18287" spans="1:1">
      <c r="A18287" s="27">
        <v>20</v>
      </c>
    </row>
    <row r="18288" spans="1:1">
      <c r="A18288" s="27">
        <v>10</v>
      </c>
    </row>
    <row r="18289" spans="1:1">
      <c r="A18289" s="29">
        <v>0.44930555555555557</v>
      </c>
    </row>
    <row r="18290" spans="1:1">
      <c r="A18290" s="27">
        <v>14.4</v>
      </c>
    </row>
    <row r="18291" spans="1:1">
      <c r="A18291" s="28">
        <v>0</v>
      </c>
    </row>
    <row r="18292" spans="1:1">
      <c r="A18292" s="25">
        <v>822</v>
      </c>
    </row>
    <row r="18293" spans="1:1" ht="30">
      <c r="A18293" s="26" t="s">
        <v>702</v>
      </c>
    </row>
    <row r="18294" spans="1:1">
      <c r="A18294" s="27" t="s">
        <v>653</v>
      </c>
    </row>
    <row r="18295" spans="1:1">
      <c r="A18295" s="27">
        <v>8</v>
      </c>
    </row>
    <row r="18296" spans="1:1">
      <c r="A18296" s="27">
        <v>2</v>
      </c>
    </row>
    <row r="18297" spans="1:1">
      <c r="A18297" s="27">
        <v>1</v>
      </c>
    </row>
    <row r="18298" spans="1:1">
      <c r="A18298" s="27">
        <v>3</v>
      </c>
    </row>
    <row r="18299" spans="1:1">
      <c r="A18299" s="27">
        <v>0</v>
      </c>
    </row>
    <row r="18300" spans="1:1">
      <c r="A18300" s="27">
        <v>0</v>
      </c>
    </row>
    <row r="18301" spans="1:1">
      <c r="A18301" s="27">
        <v>0.38</v>
      </c>
    </row>
    <row r="18302" spans="1:1">
      <c r="A18302" s="27">
        <v>0</v>
      </c>
    </row>
    <row r="18303" spans="1:1">
      <c r="A18303" s="27">
        <v>0</v>
      </c>
    </row>
    <row r="18304" spans="1:1">
      <c r="A18304" s="27">
        <v>1</v>
      </c>
    </row>
    <row r="18305" spans="1:1">
      <c r="A18305" s="27">
        <v>1</v>
      </c>
    </row>
    <row r="18306" spans="1:1">
      <c r="A18306" s="27">
        <v>0</v>
      </c>
    </row>
    <row r="18307" spans="1:1">
      <c r="A18307" s="27">
        <v>0</v>
      </c>
    </row>
    <row r="18308" spans="1:1">
      <c r="A18308" s="27">
        <v>24</v>
      </c>
    </row>
    <row r="18309" spans="1:1">
      <c r="A18309" s="27">
        <v>8.3000000000000007</v>
      </c>
    </row>
    <row r="18310" spans="1:1">
      <c r="A18310" s="29">
        <v>0.60069444444444442</v>
      </c>
    </row>
    <row r="18311" spans="1:1">
      <c r="A18311" s="27">
        <v>20.9</v>
      </c>
    </row>
    <row r="18312" spans="1:1">
      <c r="A18312" s="28">
        <v>52.2</v>
      </c>
    </row>
    <row r="18313" spans="1:1">
      <c r="A18313" s="25">
        <v>823</v>
      </c>
    </row>
    <row r="18314" spans="1:1" ht="30">
      <c r="A18314" s="26" t="s">
        <v>24</v>
      </c>
    </row>
    <row r="18315" spans="1:1">
      <c r="A18315" s="27" t="s">
        <v>42</v>
      </c>
    </row>
    <row r="18316" spans="1:1">
      <c r="A18316" s="27">
        <v>43</v>
      </c>
    </row>
    <row r="18317" spans="1:1">
      <c r="A18317" s="27">
        <v>2</v>
      </c>
    </row>
    <row r="18318" spans="1:1">
      <c r="A18318" s="27">
        <v>1</v>
      </c>
    </row>
    <row r="18319" spans="1:1">
      <c r="A18319" s="27">
        <v>3</v>
      </c>
    </row>
    <row r="18320" spans="1:1">
      <c r="A18320" s="27">
        <v>10</v>
      </c>
    </row>
    <row r="18321" spans="1:1">
      <c r="A18321" s="27">
        <v>21</v>
      </c>
    </row>
    <row r="18322" spans="1:1">
      <c r="A18322" s="27">
        <v>7.0000000000000007E-2</v>
      </c>
    </row>
    <row r="18323" spans="1:1">
      <c r="A18323" s="27">
        <v>0</v>
      </c>
    </row>
    <row r="18324" spans="1:1">
      <c r="A18324" s="27">
        <v>0</v>
      </c>
    </row>
    <row r="18325" spans="1:1">
      <c r="A18325" s="27">
        <v>0</v>
      </c>
    </row>
    <row r="18326" spans="1:1">
      <c r="A18326" s="27">
        <v>0</v>
      </c>
    </row>
    <row r="18327" spans="1:1">
      <c r="A18327" s="27">
        <v>0</v>
      </c>
    </row>
    <row r="18328" spans="1:1">
      <c r="A18328" s="27">
        <v>0</v>
      </c>
    </row>
    <row r="18329" spans="1:1">
      <c r="A18329" s="27">
        <v>40</v>
      </c>
    </row>
    <row r="18330" spans="1:1">
      <c r="A18330" s="27">
        <v>5</v>
      </c>
    </row>
    <row r="18331" spans="1:1">
      <c r="A18331" s="29">
        <v>0.67499999999999993</v>
      </c>
    </row>
    <row r="18332" spans="1:1">
      <c r="A18332" s="27">
        <v>21.9</v>
      </c>
    </row>
    <row r="18333" spans="1:1">
      <c r="A18333" s="28">
        <v>0</v>
      </c>
    </row>
    <row r="18334" spans="1:1">
      <c r="A18334" s="25">
        <v>824</v>
      </c>
    </row>
    <row r="18335" spans="1:1" ht="30">
      <c r="A18335" s="26" t="s">
        <v>738</v>
      </c>
    </row>
    <row r="18336" spans="1:1">
      <c r="A18336" s="27" t="s">
        <v>653</v>
      </c>
    </row>
    <row r="18337" spans="1:1">
      <c r="A18337" s="27">
        <v>19</v>
      </c>
    </row>
    <row r="18338" spans="1:1">
      <c r="A18338" s="27">
        <v>2</v>
      </c>
    </row>
    <row r="18339" spans="1:1">
      <c r="A18339" s="27">
        <v>1</v>
      </c>
    </row>
    <row r="18340" spans="1:1">
      <c r="A18340" s="27">
        <v>3</v>
      </c>
    </row>
    <row r="18341" spans="1:1">
      <c r="A18341" s="27">
        <v>-5</v>
      </c>
    </row>
    <row r="18342" spans="1:1">
      <c r="A18342" s="27">
        <v>4</v>
      </c>
    </row>
    <row r="18343" spans="1:1">
      <c r="A18343" s="27">
        <v>0.16</v>
      </c>
    </row>
    <row r="18344" spans="1:1">
      <c r="A18344" s="27">
        <v>0</v>
      </c>
    </row>
    <row r="18345" spans="1:1">
      <c r="A18345" s="27">
        <v>0</v>
      </c>
    </row>
    <row r="18346" spans="1:1">
      <c r="A18346" s="27">
        <v>0</v>
      </c>
    </row>
    <row r="18347" spans="1:1">
      <c r="A18347" s="27">
        <v>0</v>
      </c>
    </row>
    <row r="18348" spans="1:1">
      <c r="A18348" s="27">
        <v>1</v>
      </c>
    </row>
    <row r="18349" spans="1:1">
      <c r="A18349" s="27">
        <v>0</v>
      </c>
    </row>
    <row r="18350" spans="1:1">
      <c r="A18350" s="27">
        <v>21</v>
      </c>
    </row>
    <row r="18351" spans="1:1">
      <c r="A18351" s="27">
        <v>9.5</v>
      </c>
    </row>
    <row r="18352" spans="1:1">
      <c r="A18352" s="29">
        <v>0.39513888888888887</v>
      </c>
    </row>
    <row r="18353" spans="1:1">
      <c r="A18353" s="27">
        <v>14.8</v>
      </c>
    </row>
    <row r="18354" spans="1:1">
      <c r="A18354" s="28">
        <v>50</v>
      </c>
    </row>
    <row r="18355" spans="1:1">
      <c r="A18355" s="25">
        <v>825</v>
      </c>
    </row>
    <row r="18356" spans="1:1" ht="30">
      <c r="A18356" s="26" t="s">
        <v>995</v>
      </c>
    </row>
    <row r="18357" spans="1:1">
      <c r="A18357" s="27" t="s">
        <v>42</v>
      </c>
    </row>
    <row r="18358" spans="1:1">
      <c r="A18358" s="27">
        <v>12</v>
      </c>
    </row>
    <row r="18359" spans="1:1">
      <c r="A18359" s="27">
        <v>1</v>
      </c>
    </row>
    <row r="18360" spans="1:1">
      <c r="A18360" s="27">
        <v>2</v>
      </c>
    </row>
    <row r="18361" spans="1:1">
      <c r="A18361" s="27">
        <v>3</v>
      </c>
    </row>
    <row r="18362" spans="1:1">
      <c r="A18362" s="27">
        <v>-6</v>
      </c>
    </row>
    <row r="18363" spans="1:1">
      <c r="A18363" s="27">
        <v>6</v>
      </c>
    </row>
    <row r="18364" spans="1:1">
      <c r="A18364" s="27">
        <v>0.25</v>
      </c>
    </row>
    <row r="18365" spans="1:1">
      <c r="A18365" s="27">
        <v>0</v>
      </c>
    </row>
    <row r="18366" spans="1:1">
      <c r="A18366" s="27">
        <v>0</v>
      </c>
    </row>
    <row r="18367" spans="1:1">
      <c r="A18367" s="27">
        <v>0</v>
      </c>
    </row>
    <row r="18368" spans="1:1">
      <c r="A18368" s="27">
        <v>0</v>
      </c>
    </row>
    <row r="18369" spans="1:1">
      <c r="A18369" s="27">
        <v>0</v>
      </c>
    </row>
    <row r="18370" spans="1:1">
      <c r="A18370" s="27">
        <v>0</v>
      </c>
    </row>
    <row r="18371" spans="1:1">
      <c r="A18371" s="27">
        <v>16</v>
      </c>
    </row>
    <row r="18372" spans="1:1">
      <c r="A18372" s="27">
        <v>6.3</v>
      </c>
    </row>
    <row r="18373" spans="1:1">
      <c r="A18373" s="29">
        <v>0.61111111111111105</v>
      </c>
    </row>
    <row r="18374" spans="1:1">
      <c r="A18374" s="27">
        <v>21.4</v>
      </c>
    </row>
    <row r="18375" spans="1:1">
      <c r="A18375" s="28">
        <v>0</v>
      </c>
    </row>
    <row r="18376" spans="1:1">
      <c r="A18376" s="25">
        <v>826</v>
      </c>
    </row>
    <row r="18377" spans="1:1" ht="30">
      <c r="A18377" s="26" t="s">
        <v>1049</v>
      </c>
    </row>
    <row r="18378" spans="1:1">
      <c r="A18378" s="27" t="s">
        <v>42</v>
      </c>
    </row>
    <row r="18379" spans="1:1">
      <c r="A18379" s="27">
        <v>24</v>
      </c>
    </row>
    <row r="18380" spans="1:1">
      <c r="A18380" s="27">
        <v>1</v>
      </c>
    </row>
    <row r="18381" spans="1:1">
      <c r="A18381" s="27">
        <v>2</v>
      </c>
    </row>
    <row r="18382" spans="1:1">
      <c r="A18382" s="27">
        <v>3</v>
      </c>
    </row>
    <row r="18383" spans="1:1">
      <c r="A18383" s="27">
        <v>-2</v>
      </c>
    </row>
    <row r="18384" spans="1:1">
      <c r="A18384" s="27">
        <v>12</v>
      </c>
    </row>
    <row r="18385" spans="1:1">
      <c r="A18385" s="27">
        <v>0.13</v>
      </c>
    </row>
    <row r="18386" spans="1:1">
      <c r="A18386" s="27">
        <v>0</v>
      </c>
    </row>
    <row r="18387" spans="1:1">
      <c r="A18387" s="27">
        <v>0</v>
      </c>
    </row>
    <row r="18388" spans="1:1">
      <c r="A18388" s="27">
        <v>0</v>
      </c>
    </row>
    <row r="18389" spans="1:1">
      <c r="A18389" s="27">
        <v>0</v>
      </c>
    </row>
    <row r="18390" spans="1:1">
      <c r="A18390" s="27">
        <v>1</v>
      </c>
    </row>
    <row r="18391" spans="1:1">
      <c r="A18391" s="27">
        <v>0</v>
      </c>
    </row>
    <row r="18392" spans="1:1">
      <c r="A18392" s="27">
        <v>28</v>
      </c>
    </row>
    <row r="18393" spans="1:1">
      <c r="A18393" s="27">
        <v>3.6</v>
      </c>
    </row>
    <row r="18394" spans="1:1">
      <c r="A18394" s="29">
        <v>0.64513888888888882</v>
      </c>
    </row>
    <row r="18395" spans="1:1">
      <c r="A18395" s="27">
        <v>19.8</v>
      </c>
    </row>
    <row r="18396" spans="1:1">
      <c r="A18396" s="28">
        <v>0</v>
      </c>
    </row>
    <row r="18397" spans="1:1">
      <c r="A18397" s="25">
        <v>827</v>
      </c>
    </row>
    <row r="18398" spans="1:1" ht="45">
      <c r="A18398" s="26" t="s">
        <v>1051</v>
      </c>
    </row>
    <row r="18399" spans="1:1">
      <c r="A18399" s="27" t="s">
        <v>653</v>
      </c>
    </row>
    <row r="18400" spans="1:1">
      <c r="A18400" s="27">
        <v>11</v>
      </c>
    </row>
    <row r="18401" spans="1:1">
      <c r="A18401" s="27">
        <v>1</v>
      </c>
    </row>
    <row r="18402" spans="1:1">
      <c r="A18402" s="27">
        <v>2</v>
      </c>
    </row>
    <row r="18403" spans="1:1">
      <c r="A18403" s="27">
        <v>3</v>
      </c>
    </row>
    <row r="18404" spans="1:1">
      <c r="A18404" s="27">
        <v>-1</v>
      </c>
    </row>
    <row r="18405" spans="1:1">
      <c r="A18405" s="27">
        <v>7</v>
      </c>
    </row>
    <row r="18406" spans="1:1">
      <c r="A18406" s="27">
        <v>0.27</v>
      </c>
    </row>
    <row r="18407" spans="1:1">
      <c r="A18407" s="27">
        <v>0</v>
      </c>
    </row>
    <row r="18408" spans="1:1">
      <c r="A18408" s="27">
        <v>0</v>
      </c>
    </row>
    <row r="18409" spans="1:1">
      <c r="A18409" s="27">
        <v>0</v>
      </c>
    </row>
    <row r="18410" spans="1:1">
      <c r="A18410" s="27">
        <v>0</v>
      </c>
    </row>
    <row r="18411" spans="1:1">
      <c r="A18411" s="27">
        <v>0</v>
      </c>
    </row>
    <row r="18412" spans="1:1">
      <c r="A18412" s="27">
        <v>0</v>
      </c>
    </row>
    <row r="18413" spans="1:1">
      <c r="A18413" s="27">
        <v>5</v>
      </c>
    </row>
    <row r="18414" spans="1:1">
      <c r="A18414" s="27">
        <v>20</v>
      </c>
    </row>
    <row r="18415" spans="1:1">
      <c r="A18415" s="29">
        <v>0.36319444444444443</v>
      </c>
    </row>
    <row r="18416" spans="1:1">
      <c r="A18416" s="27">
        <v>13.5</v>
      </c>
    </row>
    <row r="18417" spans="1:1">
      <c r="A18417" s="28">
        <v>0</v>
      </c>
    </row>
    <row r="18418" spans="1:1">
      <c r="A18418" s="25">
        <v>828</v>
      </c>
    </row>
    <row r="18419" spans="1:1" ht="30">
      <c r="A18419" s="26" t="s">
        <v>1064</v>
      </c>
    </row>
    <row r="18420" spans="1:1">
      <c r="A18420" s="27" t="s">
        <v>43</v>
      </c>
    </row>
    <row r="18421" spans="1:1">
      <c r="A18421" s="27">
        <v>22</v>
      </c>
    </row>
    <row r="18422" spans="1:1">
      <c r="A18422" s="27">
        <v>1</v>
      </c>
    </row>
    <row r="18423" spans="1:1">
      <c r="A18423" s="27">
        <v>2</v>
      </c>
    </row>
    <row r="18424" spans="1:1">
      <c r="A18424" s="27">
        <v>3</v>
      </c>
    </row>
    <row r="18425" spans="1:1">
      <c r="A18425" s="27">
        <v>0</v>
      </c>
    </row>
    <row r="18426" spans="1:1">
      <c r="A18426" s="27">
        <v>8</v>
      </c>
    </row>
    <row r="18427" spans="1:1">
      <c r="A18427" s="27">
        <v>0.14000000000000001</v>
      </c>
    </row>
    <row r="18428" spans="1:1">
      <c r="A18428" s="27">
        <v>0</v>
      </c>
    </row>
    <row r="18429" spans="1:1">
      <c r="A18429" s="27">
        <v>0</v>
      </c>
    </row>
    <row r="18430" spans="1:1">
      <c r="A18430" s="27">
        <v>0</v>
      </c>
    </row>
    <row r="18431" spans="1:1">
      <c r="A18431" s="27">
        <v>0</v>
      </c>
    </row>
    <row r="18432" spans="1:1">
      <c r="A18432" s="27">
        <v>0</v>
      </c>
    </row>
    <row r="18433" spans="1:1">
      <c r="A18433" s="27">
        <v>0</v>
      </c>
    </row>
    <row r="18434" spans="1:1">
      <c r="A18434" s="27">
        <v>16</v>
      </c>
    </row>
    <row r="18435" spans="1:1">
      <c r="A18435" s="27">
        <v>6.3</v>
      </c>
    </row>
    <row r="18436" spans="1:1">
      <c r="A18436" s="29">
        <v>0.44166666666666665</v>
      </c>
    </row>
    <row r="18437" spans="1:1">
      <c r="A18437" s="27">
        <v>14.8</v>
      </c>
    </row>
    <row r="18438" spans="1:1">
      <c r="A18438" s="28">
        <v>0</v>
      </c>
    </row>
    <row r="18439" spans="1:1">
      <c r="A18439" s="25">
        <v>829</v>
      </c>
    </row>
    <row r="18440" spans="1:1" ht="30">
      <c r="A18440" s="26" t="s">
        <v>809</v>
      </c>
    </row>
    <row r="18441" spans="1:1">
      <c r="A18441" s="27" t="s">
        <v>653</v>
      </c>
    </row>
    <row r="18442" spans="1:1">
      <c r="A18442" s="27">
        <v>25</v>
      </c>
    </row>
    <row r="18443" spans="1:1">
      <c r="A18443" s="27">
        <v>1</v>
      </c>
    </row>
    <row r="18444" spans="1:1">
      <c r="A18444" s="27">
        <v>2</v>
      </c>
    </row>
    <row r="18445" spans="1:1">
      <c r="A18445" s="27">
        <v>3</v>
      </c>
    </row>
    <row r="18446" spans="1:1">
      <c r="A18446" s="27">
        <v>-2</v>
      </c>
    </row>
    <row r="18447" spans="1:1">
      <c r="A18447" s="27">
        <v>15</v>
      </c>
    </row>
    <row r="18448" spans="1:1">
      <c r="A18448" s="27">
        <v>0.12</v>
      </c>
    </row>
    <row r="18449" spans="1:1">
      <c r="A18449" s="27">
        <v>0</v>
      </c>
    </row>
    <row r="18450" spans="1:1">
      <c r="A18450" s="27">
        <v>0</v>
      </c>
    </row>
    <row r="18451" spans="1:1">
      <c r="A18451" s="27">
        <v>0</v>
      </c>
    </row>
    <row r="18452" spans="1:1">
      <c r="A18452" s="27">
        <v>0</v>
      </c>
    </row>
    <row r="18453" spans="1:1">
      <c r="A18453" s="27">
        <v>0</v>
      </c>
    </row>
    <row r="18454" spans="1:1">
      <c r="A18454" s="27">
        <v>0</v>
      </c>
    </row>
    <row r="18455" spans="1:1">
      <c r="A18455" s="27">
        <v>26</v>
      </c>
    </row>
    <row r="18456" spans="1:1">
      <c r="A18456" s="27">
        <v>3.8</v>
      </c>
    </row>
    <row r="18457" spans="1:1">
      <c r="A18457" s="29">
        <v>0.33263888888888887</v>
      </c>
    </row>
    <row r="18458" spans="1:1">
      <c r="A18458" s="27">
        <v>12.3</v>
      </c>
    </row>
    <row r="18459" spans="1:1">
      <c r="A18459" s="28">
        <v>45</v>
      </c>
    </row>
    <row r="18460" spans="1:1">
      <c r="A18460" s="25">
        <v>830</v>
      </c>
    </row>
    <row r="18461" spans="1:1" ht="30">
      <c r="A18461" s="26" t="s">
        <v>720</v>
      </c>
    </row>
    <row r="18462" spans="1:1">
      <c r="A18462" s="27" t="s">
        <v>653</v>
      </c>
    </row>
    <row r="18463" spans="1:1">
      <c r="A18463" s="27">
        <v>14</v>
      </c>
    </row>
    <row r="18464" spans="1:1">
      <c r="A18464" s="27">
        <v>1</v>
      </c>
    </row>
    <row r="18465" spans="1:1">
      <c r="A18465" s="27">
        <v>2</v>
      </c>
    </row>
    <row r="18466" spans="1:1">
      <c r="A18466" s="27">
        <v>3</v>
      </c>
    </row>
    <row r="18467" spans="1:1">
      <c r="A18467" s="27">
        <v>0</v>
      </c>
    </row>
    <row r="18468" spans="1:1">
      <c r="A18468" s="27">
        <v>8</v>
      </c>
    </row>
    <row r="18469" spans="1:1">
      <c r="A18469" s="27">
        <v>0.21</v>
      </c>
    </row>
    <row r="18470" spans="1:1">
      <c r="A18470" s="27">
        <v>0</v>
      </c>
    </row>
    <row r="18471" spans="1:1">
      <c r="A18471" s="27">
        <v>0</v>
      </c>
    </row>
    <row r="18472" spans="1:1">
      <c r="A18472" s="27">
        <v>0</v>
      </c>
    </row>
    <row r="18473" spans="1:1">
      <c r="A18473" s="27">
        <v>0</v>
      </c>
    </row>
    <row r="18474" spans="1:1">
      <c r="A18474" s="27">
        <v>1</v>
      </c>
    </row>
    <row r="18475" spans="1:1">
      <c r="A18475" s="27">
        <v>0</v>
      </c>
    </row>
    <row r="18476" spans="1:1">
      <c r="A18476" s="27">
        <v>8</v>
      </c>
    </row>
    <row r="18477" spans="1:1">
      <c r="A18477" s="27">
        <v>12.5</v>
      </c>
    </row>
    <row r="18478" spans="1:1">
      <c r="A18478" s="29">
        <v>0.35486111111111113</v>
      </c>
    </row>
    <row r="18479" spans="1:1">
      <c r="A18479" s="27">
        <v>12.9</v>
      </c>
    </row>
    <row r="18480" spans="1:1">
      <c r="A18480" s="28">
        <v>50.6</v>
      </c>
    </row>
    <row r="18481" spans="1:1">
      <c r="A18481" s="25">
        <v>831</v>
      </c>
    </row>
    <row r="18482" spans="1:1" ht="30">
      <c r="A18482" s="26" t="s">
        <v>257</v>
      </c>
    </row>
    <row r="18483" spans="1:1">
      <c r="A18483" s="27" t="s">
        <v>42</v>
      </c>
    </row>
    <row r="18484" spans="1:1">
      <c r="A18484" s="27">
        <v>26</v>
      </c>
    </row>
    <row r="18485" spans="1:1">
      <c r="A18485" s="27">
        <v>1</v>
      </c>
    </row>
    <row r="18486" spans="1:1">
      <c r="A18486" s="27">
        <v>2</v>
      </c>
    </row>
    <row r="18487" spans="1:1">
      <c r="A18487" s="27">
        <v>3</v>
      </c>
    </row>
    <row r="18488" spans="1:1">
      <c r="A18488" s="27">
        <v>-6</v>
      </c>
    </row>
    <row r="18489" spans="1:1">
      <c r="A18489" s="27">
        <v>12</v>
      </c>
    </row>
    <row r="18490" spans="1:1">
      <c r="A18490" s="27">
        <v>0.12</v>
      </c>
    </row>
    <row r="18491" spans="1:1">
      <c r="A18491" s="27">
        <v>0</v>
      </c>
    </row>
    <row r="18492" spans="1:1">
      <c r="A18492" s="27">
        <v>0</v>
      </c>
    </row>
    <row r="18493" spans="1:1">
      <c r="A18493" s="27">
        <v>0</v>
      </c>
    </row>
    <row r="18494" spans="1:1">
      <c r="A18494" s="27">
        <v>0</v>
      </c>
    </row>
    <row r="18495" spans="1:1">
      <c r="A18495" s="27">
        <v>0</v>
      </c>
    </row>
    <row r="18496" spans="1:1">
      <c r="A18496" s="27">
        <v>0</v>
      </c>
    </row>
    <row r="18497" spans="1:1">
      <c r="A18497" s="27">
        <v>30</v>
      </c>
    </row>
    <row r="18498" spans="1:1">
      <c r="A18498" s="27">
        <v>3.3</v>
      </c>
    </row>
    <row r="18499" spans="1:1">
      <c r="A18499" s="29">
        <v>0.67569444444444438</v>
      </c>
    </row>
    <row r="18500" spans="1:1">
      <c r="A18500" s="27">
        <v>21.7</v>
      </c>
    </row>
    <row r="18501" spans="1:1">
      <c r="A18501" s="28">
        <v>0</v>
      </c>
    </row>
    <row r="18502" spans="1:1">
      <c r="A18502" s="25">
        <v>832</v>
      </c>
    </row>
    <row r="18503" spans="1:1" ht="45">
      <c r="A18503" s="26" t="s">
        <v>863</v>
      </c>
    </row>
    <row r="18504" spans="1:1">
      <c r="A18504" s="27" t="s">
        <v>653</v>
      </c>
    </row>
    <row r="18505" spans="1:1">
      <c r="A18505" s="27">
        <v>21</v>
      </c>
    </row>
    <row r="18506" spans="1:1">
      <c r="A18506" s="27">
        <v>1</v>
      </c>
    </row>
    <row r="18507" spans="1:1">
      <c r="A18507" s="27">
        <v>2</v>
      </c>
    </row>
    <row r="18508" spans="1:1">
      <c r="A18508" s="27">
        <v>3</v>
      </c>
    </row>
    <row r="18509" spans="1:1">
      <c r="A18509" s="27">
        <v>-1</v>
      </c>
    </row>
    <row r="18510" spans="1:1">
      <c r="A18510" s="27">
        <v>2</v>
      </c>
    </row>
    <row r="18511" spans="1:1">
      <c r="A18511" s="27">
        <v>0.14000000000000001</v>
      </c>
    </row>
    <row r="18512" spans="1:1">
      <c r="A18512" s="27">
        <v>0</v>
      </c>
    </row>
    <row r="18513" spans="1:1">
      <c r="A18513" s="27">
        <v>0</v>
      </c>
    </row>
    <row r="18514" spans="1:1">
      <c r="A18514" s="27">
        <v>0</v>
      </c>
    </row>
    <row r="18515" spans="1:1">
      <c r="A18515" s="27">
        <v>0</v>
      </c>
    </row>
    <row r="18516" spans="1:1">
      <c r="A18516" s="27">
        <v>0</v>
      </c>
    </row>
    <row r="18517" spans="1:1">
      <c r="A18517" s="27">
        <v>0</v>
      </c>
    </row>
    <row r="18518" spans="1:1">
      <c r="A18518" s="27">
        <v>14</v>
      </c>
    </row>
    <row r="18519" spans="1:1">
      <c r="A18519" s="27">
        <v>7.1</v>
      </c>
    </row>
    <row r="18520" spans="1:1">
      <c r="A18520" s="29">
        <v>0.38263888888888892</v>
      </c>
    </row>
    <row r="18521" spans="1:1">
      <c r="A18521" s="27">
        <v>13</v>
      </c>
    </row>
    <row r="18522" spans="1:1">
      <c r="A18522" s="28">
        <v>39.6</v>
      </c>
    </row>
    <row r="18523" spans="1:1">
      <c r="A18523" s="25">
        <v>833</v>
      </c>
    </row>
    <row r="18524" spans="1:1" ht="30">
      <c r="A18524" s="26" t="s">
        <v>925</v>
      </c>
    </row>
    <row r="18525" spans="1:1">
      <c r="A18525" s="27" t="s">
        <v>44</v>
      </c>
    </row>
    <row r="18526" spans="1:1">
      <c r="A18526" s="27">
        <v>17</v>
      </c>
    </row>
    <row r="18527" spans="1:1">
      <c r="A18527" s="27">
        <v>1</v>
      </c>
    </row>
    <row r="18528" spans="1:1">
      <c r="A18528" s="27">
        <v>2</v>
      </c>
    </row>
    <row r="18529" spans="1:1">
      <c r="A18529" s="27">
        <v>3</v>
      </c>
    </row>
    <row r="18530" spans="1:1">
      <c r="A18530" s="27">
        <v>1</v>
      </c>
    </row>
    <row r="18531" spans="1:1">
      <c r="A18531" s="27">
        <v>0</v>
      </c>
    </row>
    <row r="18532" spans="1:1">
      <c r="A18532" s="27">
        <v>0.18</v>
      </c>
    </row>
    <row r="18533" spans="1:1">
      <c r="A18533" s="27">
        <v>0</v>
      </c>
    </row>
    <row r="18534" spans="1:1">
      <c r="A18534" s="27">
        <v>0</v>
      </c>
    </row>
    <row r="18535" spans="1:1">
      <c r="A18535" s="27">
        <v>0</v>
      </c>
    </row>
    <row r="18536" spans="1:1">
      <c r="A18536" s="27">
        <v>0</v>
      </c>
    </row>
    <row r="18537" spans="1:1">
      <c r="A18537" s="27">
        <v>0</v>
      </c>
    </row>
    <row r="18538" spans="1:1">
      <c r="A18538" s="27">
        <v>0</v>
      </c>
    </row>
    <row r="18539" spans="1:1">
      <c r="A18539" s="27">
        <v>23</v>
      </c>
    </row>
    <row r="18540" spans="1:1">
      <c r="A18540" s="27">
        <v>4.3</v>
      </c>
    </row>
    <row r="18541" spans="1:1">
      <c r="A18541" s="29">
        <v>0.43263888888888885</v>
      </c>
    </row>
    <row r="18542" spans="1:1">
      <c r="A18542" s="27">
        <v>15.3</v>
      </c>
    </row>
    <row r="18543" spans="1:1">
      <c r="A18543" s="28">
        <v>25</v>
      </c>
    </row>
    <row r="18544" spans="1:1">
      <c r="A18544" s="25">
        <v>834</v>
      </c>
    </row>
    <row r="18545" spans="1:1" ht="30">
      <c r="A18545" s="26" t="s">
        <v>652</v>
      </c>
    </row>
    <row r="18546" spans="1:1">
      <c r="A18546" s="27" t="s">
        <v>653</v>
      </c>
    </row>
    <row r="18547" spans="1:1">
      <c r="A18547" s="27">
        <v>16</v>
      </c>
    </row>
    <row r="18548" spans="1:1">
      <c r="A18548" s="27">
        <v>1</v>
      </c>
    </row>
    <row r="18549" spans="1:1">
      <c r="A18549" s="27">
        <v>2</v>
      </c>
    </row>
    <row r="18550" spans="1:1">
      <c r="A18550" s="27">
        <v>3</v>
      </c>
    </row>
    <row r="18551" spans="1:1">
      <c r="A18551" s="27">
        <v>-1</v>
      </c>
    </row>
    <row r="18552" spans="1:1">
      <c r="A18552" s="27">
        <v>4</v>
      </c>
    </row>
    <row r="18553" spans="1:1">
      <c r="A18553" s="27">
        <v>0.19</v>
      </c>
    </row>
    <row r="18554" spans="1:1">
      <c r="A18554" s="27">
        <v>0</v>
      </c>
    </row>
    <row r="18555" spans="1:1">
      <c r="A18555" s="27">
        <v>0</v>
      </c>
    </row>
    <row r="18556" spans="1:1">
      <c r="A18556" s="27">
        <v>0</v>
      </c>
    </row>
    <row r="18557" spans="1:1">
      <c r="A18557" s="27">
        <v>0</v>
      </c>
    </row>
    <row r="18558" spans="1:1">
      <c r="A18558" s="27">
        <v>0</v>
      </c>
    </row>
    <row r="18559" spans="1:1">
      <c r="A18559" s="27">
        <v>0</v>
      </c>
    </row>
    <row r="18560" spans="1:1">
      <c r="A18560" s="27">
        <v>16</v>
      </c>
    </row>
    <row r="18561" spans="1:1">
      <c r="A18561" s="27">
        <v>6.3</v>
      </c>
    </row>
    <row r="18562" spans="1:1">
      <c r="A18562" s="29">
        <v>0.40277777777777773</v>
      </c>
    </row>
    <row r="18563" spans="1:1">
      <c r="A18563" s="27">
        <v>13.3</v>
      </c>
    </row>
    <row r="18564" spans="1:1">
      <c r="A18564" s="28">
        <v>100</v>
      </c>
    </row>
    <row r="18565" spans="1:1">
      <c r="A18565" s="25">
        <v>835</v>
      </c>
    </row>
    <row r="18566" spans="1:1" ht="45">
      <c r="A18566" s="26" t="s">
        <v>654</v>
      </c>
    </row>
    <row r="18567" spans="1:1">
      <c r="A18567" s="27" t="s">
        <v>43</v>
      </c>
    </row>
    <row r="18568" spans="1:1">
      <c r="A18568" s="27">
        <v>6</v>
      </c>
    </row>
    <row r="18569" spans="1:1">
      <c r="A18569" s="27">
        <v>1</v>
      </c>
    </row>
    <row r="18570" spans="1:1">
      <c r="A18570" s="27">
        <v>2</v>
      </c>
    </row>
    <row r="18571" spans="1:1">
      <c r="A18571" s="27">
        <v>3</v>
      </c>
    </row>
    <row r="18572" spans="1:1">
      <c r="A18572" s="27">
        <v>1</v>
      </c>
    </row>
    <row r="18573" spans="1:1">
      <c r="A18573" s="27">
        <v>0</v>
      </c>
    </row>
    <row r="18574" spans="1:1">
      <c r="A18574" s="27">
        <v>0.5</v>
      </c>
    </row>
    <row r="18575" spans="1:1">
      <c r="A18575" s="27">
        <v>0</v>
      </c>
    </row>
    <row r="18576" spans="1:1">
      <c r="A18576" s="27">
        <v>0</v>
      </c>
    </row>
    <row r="18577" spans="1:1">
      <c r="A18577" s="27">
        <v>0</v>
      </c>
    </row>
    <row r="18578" spans="1:1">
      <c r="A18578" s="27">
        <v>0</v>
      </c>
    </row>
    <row r="18579" spans="1:1">
      <c r="A18579" s="27">
        <v>0</v>
      </c>
    </row>
    <row r="18580" spans="1:1">
      <c r="A18580" s="27">
        <v>0</v>
      </c>
    </row>
    <row r="18581" spans="1:1">
      <c r="A18581" s="27">
        <v>5</v>
      </c>
    </row>
    <row r="18582" spans="1:1">
      <c r="A18582" s="27">
        <v>20</v>
      </c>
    </row>
    <row r="18583" spans="1:1">
      <c r="A18583" s="29">
        <v>0.39513888888888887</v>
      </c>
    </row>
    <row r="18584" spans="1:1">
      <c r="A18584" s="27">
        <v>13.2</v>
      </c>
    </row>
    <row r="18585" spans="1:1">
      <c r="A18585" s="28">
        <v>100</v>
      </c>
    </row>
    <row r="18586" spans="1:1">
      <c r="A18586" s="25">
        <v>836</v>
      </c>
    </row>
    <row r="18587" spans="1:1" ht="45">
      <c r="A18587" s="26" t="s">
        <v>1078</v>
      </c>
    </row>
    <row r="18588" spans="1:1">
      <c r="A18588" s="27" t="s">
        <v>43</v>
      </c>
    </row>
    <row r="18589" spans="1:1">
      <c r="A18589" s="27">
        <v>24</v>
      </c>
    </row>
    <row r="18590" spans="1:1">
      <c r="A18590" s="27">
        <v>0</v>
      </c>
    </row>
    <row r="18591" spans="1:1">
      <c r="A18591" s="27">
        <v>3</v>
      </c>
    </row>
    <row r="18592" spans="1:1">
      <c r="A18592" s="27">
        <v>3</v>
      </c>
    </row>
    <row r="18593" spans="1:1">
      <c r="A18593" s="27">
        <v>-4</v>
      </c>
    </row>
    <row r="18594" spans="1:1">
      <c r="A18594" s="27">
        <v>24</v>
      </c>
    </row>
    <row r="18595" spans="1:1">
      <c r="A18595" s="27">
        <v>0.13</v>
      </c>
    </row>
    <row r="18596" spans="1:1">
      <c r="A18596" s="27">
        <v>0</v>
      </c>
    </row>
    <row r="18597" spans="1:1">
      <c r="A18597" s="27">
        <v>0</v>
      </c>
    </row>
    <row r="18598" spans="1:1">
      <c r="A18598" s="27">
        <v>0</v>
      </c>
    </row>
    <row r="18599" spans="1:1">
      <c r="A18599" s="27">
        <v>0</v>
      </c>
    </row>
    <row r="18600" spans="1:1">
      <c r="A18600" s="27">
        <v>0</v>
      </c>
    </row>
    <row r="18601" spans="1:1">
      <c r="A18601" s="27">
        <v>0</v>
      </c>
    </row>
    <row r="18602" spans="1:1">
      <c r="A18602" s="27">
        <v>22</v>
      </c>
    </row>
    <row r="18603" spans="1:1">
      <c r="A18603" s="27">
        <v>0</v>
      </c>
    </row>
    <row r="18604" spans="1:1">
      <c r="A18604" s="29">
        <v>0.35347222222222219</v>
      </c>
    </row>
    <row r="18605" spans="1:1">
      <c r="A18605" s="27">
        <v>12.8</v>
      </c>
    </row>
    <row r="18606" spans="1:1">
      <c r="A18606" s="28">
        <v>0</v>
      </c>
    </row>
    <row r="18607" spans="1:1">
      <c r="A18607" s="25">
        <v>837</v>
      </c>
    </row>
    <row r="18608" spans="1:1" ht="45">
      <c r="A18608" s="26" t="s">
        <v>673</v>
      </c>
    </row>
    <row r="18609" spans="1:1">
      <c r="A18609" s="27" t="s">
        <v>653</v>
      </c>
    </row>
    <row r="18610" spans="1:1">
      <c r="A18610" s="27">
        <v>15</v>
      </c>
    </row>
    <row r="18611" spans="1:1">
      <c r="A18611" s="27">
        <v>0</v>
      </c>
    </row>
    <row r="18612" spans="1:1">
      <c r="A18612" s="27">
        <v>3</v>
      </c>
    </row>
    <row r="18613" spans="1:1">
      <c r="A18613" s="27">
        <v>3</v>
      </c>
    </row>
    <row r="18614" spans="1:1">
      <c r="A18614" s="27">
        <v>2</v>
      </c>
    </row>
    <row r="18615" spans="1:1">
      <c r="A18615" s="27">
        <v>2</v>
      </c>
    </row>
    <row r="18616" spans="1:1">
      <c r="A18616" s="27">
        <v>0.2</v>
      </c>
    </row>
    <row r="18617" spans="1:1">
      <c r="A18617" s="27">
        <v>0</v>
      </c>
    </row>
    <row r="18618" spans="1:1">
      <c r="A18618" s="27">
        <v>0</v>
      </c>
    </row>
    <row r="18619" spans="1:1">
      <c r="A18619" s="27">
        <v>0</v>
      </c>
    </row>
    <row r="18620" spans="1:1">
      <c r="A18620" s="27">
        <v>0</v>
      </c>
    </row>
    <row r="18621" spans="1:1">
      <c r="A18621" s="27">
        <v>0</v>
      </c>
    </row>
    <row r="18622" spans="1:1">
      <c r="A18622" s="27">
        <v>0</v>
      </c>
    </row>
    <row r="18623" spans="1:1">
      <c r="A18623" s="27">
        <v>7</v>
      </c>
    </row>
    <row r="18624" spans="1:1">
      <c r="A18624" s="27">
        <v>0</v>
      </c>
    </row>
    <row r="18625" spans="1:1">
      <c r="A18625" s="29">
        <v>0.33749999999999997</v>
      </c>
    </row>
    <row r="18626" spans="1:1">
      <c r="A18626" s="27">
        <v>11.3</v>
      </c>
    </row>
    <row r="18627" spans="1:1">
      <c r="A18627" s="28">
        <v>75</v>
      </c>
    </row>
    <row r="18628" spans="1:1">
      <c r="A18628" s="25">
        <v>838</v>
      </c>
    </row>
    <row r="18629" spans="1:1" ht="30">
      <c r="A18629" s="26" t="s">
        <v>1037</v>
      </c>
    </row>
    <row r="18630" spans="1:1">
      <c r="A18630" s="27" t="s">
        <v>42</v>
      </c>
    </row>
    <row r="18631" spans="1:1">
      <c r="A18631" s="27">
        <v>17</v>
      </c>
    </row>
    <row r="18632" spans="1:1">
      <c r="A18632" s="27">
        <v>0</v>
      </c>
    </row>
    <row r="18633" spans="1:1">
      <c r="A18633" s="27">
        <v>3</v>
      </c>
    </row>
    <row r="18634" spans="1:1">
      <c r="A18634" s="27">
        <v>3</v>
      </c>
    </row>
    <row r="18635" spans="1:1">
      <c r="A18635" s="27">
        <v>-3</v>
      </c>
    </row>
    <row r="18636" spans="1:1">
      <c r="A18636" s="27">
        <v>6</v>
      </c>
    </row>
    <row r="18637" spans="1:1">
      <c r="A18637" s="27">
        <v>0.18</v>
      </c>
    </row>
    <row r="18638" spans="1:1">
      <c r="A18638" s="27">
        <v>0</v>
      </c>
    </row>
    <row r="18639" spans="1:1">
      <c r="A18639" s="27">
        <v>0</v>
      </c>
    </row>
    <row r="18640" spans="1:1">
      <c r="A18640" s="27">
        <v>0</v>
      </c>
    </row>
    <row r="18641" spans="1:1">
      <c r="A18641" s="27">
        <v>0</v>
      </c>
    </row>
    <row r="18642" spans="1:1">
      <c r="A18642" s="27">
        <v>0</v>
      </c>
    </row>
    <row r="18643" spans="1:1">
      <c r="A18643" s="27">
        <v>0</v>
      </c>
    </row>
    <row r="18644" spans="1:1">
      <c r="A18644" s="27">
        <v>22</v>
      </c>
    </row>
    <row r="18645" spans="1:1">
      <c r="A18645" s="27">
        <v>0</v>
      </c>
    </row>
    <row r="18646" spans="1:1">
      <c r="A18646" s="29">
        <v>0.49583333333333335</v>
      </c>
    </row>
    <row r="18647" spans="1:1">
      <c r="A18647" s="27">
        <v>16</v>
      </c>
    </row>
    <row r="18648" spans="1:1">
      <c r="A18648" s="28">
        <v>0</v>
      </c>
    </row>
    <row r="18649" spans="1:1">
      <c r="A18649" s="25">
        <v>839</v>
      </c>
    </row>
    <row r="18650" spans="1:1" ht="45">
      <c r="A18650" s="26" t="s">
        <v>983</v>
      </c>
    </row>
    <row r="18651" spans="1:1">
      <c r="A18651" s="27" t="s">
        <v>42</v>
      </c>
    </row>
    <row r="18652" spans="1:1">
      <c r="A18652" s="27">
        <v>10</v>
      </c>
    </row>
    <row r="18653" spans="1:1">
      <c r="A18653" s="27">
        <v>0</v>
      </c>
    </row>
    <row r="18654" spans="1:1">
      <c r="A18654" s="27">
        <v>3</v>
      </c>
    </row>
    <row r="18655" spans="1:1">
      <c r="A18655" s="27">
        <v>3</v>
      </c>
    </row>
    <row r="18656" spans="1:1">
      <c r="A18656" s="27">
        <v>3</v>
      </c>
    </row>
    <row r="18657" spans="1:1">
      <c r="A18657" s="27">
        <v>19</v>
      </c>
    </row>
    <row r="18658" spans="1:1">
      <c r="A18658" s="27">
        <v>0.3</v>
      </c>
    </row>
    <row r="18659" spans="1:1">
      <c r="A18659" s="27">
        <v>0</v>
      </c>
    </row>
    <row r="18660" spans="1:1">
      <c r="A18660" s="27">
        <v>0</v>
      </c>
    </row>
    <row r="18661" spans="1:1">
      <c r="A18661" s="27">
        <v>0</v>
      </c>
    </row>
    <row r="18662" spans="1:1">
      <c r="A18662" s="27">
        <v>0</v>
      </c>
    </row>
    <row r="18663" spans="1:1">
      <c r="A18663" s="27">
        <v>0</v>
      </c>
    </row>
    <row r="18664" spans="1:1">
      <c r="A18664" s="27">
        <v>0</v>
      </c>
    </row>
    <row r="18665" spans="1:1">
      <c r="A18665" s="27">
        <v>7</v>
      </c>
    </row>
    <row r="18666" spans="1:1">
      <c r="A18666" s="27">
        <v>0</v>
      </c>
    </row>
    <row r="18667" spans="1:1">
      <c r="A18667" s="29">
        <v>0.55902777777777779</v>
      </c>
    </row>
    <row r="18668" spans="1:1">
      <c r="A18668" s="27">
        <v>18.100000000000001</v>
      </c>
    </row>
    <row r="18669" spans="1:1">
      <c r="A18669" s="28">
        <v>0</v>
      </c>
    </row>
    <row r="18670" spans="1:1">
      <c r="A18670" s="25">
        <v>840</v>
      </c>
    </row>
    <row r="18671" spans="1:1" ht="30">
      <c r="A18671" s="26" t="s">
        <v>1067</v>
      </c>
    </row>
    <row r="18672" spans="1:1">
      <c r="A18672" s="27" t="s">
        <v>42</v>
      </c>
    </row>
    <row r="18673" spans="1:1">
      <c r="A18673" s="27">
        <v>23</v>
      </c>
    </row>
    <row r="18674" spans="1:1">
      <c r="A18674" s="27">
        <v>0</v>
      </c>
    </row>
    <row r="18675" spans="1:1">
      <c r="A18675" s="27">
        <v>3</v>
      </c>
    </row>
    <row r="18676" spans="1:1">
      <c r="A18676" s="27">
        <v>3</v>
      </c>
    </row>
    <row r="18677" spans="1:1">
      <c r="A18677" s="27">
        <v>2</v>
      </c>
    </row>
    <row r="18678" spans="1:1">
      <c r="A18678" s="27">
        <v>4</v>
      </c>
    </row>
    <row r="18679" spans="1:1">
      <c r="A18679" s="27">
        <v>0.13</v>
      </c>
    </row>
    <row r="18680" spans="1:1">
      <c r="A18680" s="27">
        <v>0</v>
      </c>
    </row>
    <row r="18681" spans="1:1">
      <c r="A18681" s="27">
        <v>0</v>
      </c>
    </row>
    <row r="18682" spans="1:1">
      <c r="A18682" s="27">
        <v>0</v>
      </c>
    </row>
    <row r="18683" spans="1:1">
      <c r="A18683" s="27">
        <v>0</v>
      </c>
    </row>
    <row r="18684" spans="1:1">
      <c r="A18684" s="27">
        <v>0</v>
      </c>
    </row>
    <row r="18685" spans="1:1">
      <c r="A18685" s="27">
        <v>0</v>
      </c>
    </row>
    <row r="18686" spans="1:1">
      <c r="A18686" s="27">
        <v>25</v>
      </c>
    </row>
    <row r="18687" spans="1:1">
      <c r="A18687" s="27">
        <v>0</v>
      </c>
    </row>
    <row r="18688" spans="1:1">
      <c r="A18688" s="29">
        <v>0.57430555555555551</v>
      </c>
    </row>
    <row r="18689" spans="1:1">
      <c r="A18689" s="27">
        <v>19.600000000000001</v>
      </c>
    </row>
    <row r="18690" spans="1:1">
      <c r="A18690" s="28">
        <v>0</v>
      </c>
    </row>
    <row r="18691" spans="1:1">
      <c r="A18691" s="25">
        <v>841</v>
      </c>
    </row>
    <row r="18692" spans="1:1" ht="30">
      <c r="A18692" s="26" t="s">
        <v>694</v>
      </c>
    </row>
    <row r="18693" spans="1:1">
      <c r="A18693" s="27" t="s">
        <v>653</v>
      </c>
    </row>
    <row r="18694" spans="1:1">
      <c r="A18694" s="27">
        <v>21</v>
      </c>
    </row>
    <row r="18695" spans="1:1">
      <c r="A18695" s="27">
        <v>0</v>
      </c>
    </row>
    <row r="18696" spans="1:1">
      <c r="A18696" s="27">
        <v>3</v>
      </c>
    </row>
    <row r="18697" spans="1:1">
      <c r="A18697" s="27">
        <v>3</v>
      </c>
    </row>
    <row r="18698" spans="1:1">
      <c r="A18698" s="27">
        <v>-8</v>
      </c>
    </row>
    <row r="18699" spans="1:1">
      <c r="A18699" s="27">
        <v>13</v>
      </c>
    </row>
    <row r="18700" spans="1:1">
      <c r="A18700" s="27">
        <v>0.14000000000000001</v>
      </c>
    </row>
    <row r="18701" spans="1:1">
      <c r="A18701" s="27">
        <v>0</v>
      </c>
    </row>
    <row r="18702" spans="1:1">
      <c r="A18702" s="27">
        <v>0</v>
      </c>
    </row>
    <row r="18703" spans="1:1">
      <c r="A18703" s="27">
        <v>0</v>
      </c>
    </row>
    <row r="18704" spans="1:1">
      <c r="A18704" s="27">
        <v>0</v>
      </c>
    </row>
    <row r="18705" spans="1:1">
      <c r="A18705" s="27">
        <v>0</v>
      </c>
    </row>
    <row r="18706" spans="1:1">
      <c r="A18706" s="27">
        <v>0</v>
      </c>
    </row>
    <row r="18707" spans="1:1">
      <c r="A18707" s="27">
        <v>21</v>
      </c>
    </row>
    <row r="18708" spans="1:1">
      <c r="A18708" s="27">
        <v>0</v>
      </c>
    </row>
    <row r="18709" spans="1:1">
      <c r="A18709" s="29">
        <v>0.5083333333333333</v>
      </c>
    </row>
    <row r="18710" spans="1:1">
      <c r="A18710" s="27">
        <v>16</v>
      </c>
    </row>
    <row r="18711" spans="1:1">
      <c r="A18711" s="28">
        <v>53</v>
      </c>
    </row>
    <row r="18712" spans="1:1">
      <c r="A18712" s="25">
        <v>842</v>
      </c>
    </row>
    <row r="18713" spans="1:1" ht="45">
      <c r="A18713" s="26" t="s">
        <v>934</v>
      </c>
    </row>
    <row r="18714" spans="1:1">
      <c r="A18714" s="27" t="s">
        <v>653</v>
      </c>
    </row>
    <row r="18715" spans="1:1">
      <c r="A18715" s="27">
        <v>15</v>
      </c>
    </row>
    <row r="18716" spans="1:1">
      <c r="A18716" s="27">
        <v>2</v>
      </c>
    </row>
    <row r="18717" spans="1:1">
      <c r="A18717" s="27">
        <v>0</v>
      </c>
    </row>
    <row r="18718" spans="1:1">
      <c r="A18718" s="27">
        <v>2</v>
      </c>
    </row>
    <row r="18719" spans="1:1">
      <c r="A18719" s="27">
        <v>-4</v>
      </c>
    </row>
    <row r="18720" spans="1:1">
      <c r="A18720" s="27">
        <v>0</v>
      </c>
    </row>
    <row r="18721" spans="1:1">
      <c r="A18721" s="27">
        <v>0.13</v>
      </c>
    </row>
    <row r="18722" spans="1:1">
      <c r="A18722" s="27">
        <v>0</v>
      </c>
    </row>
    <row r="18723" spans="1:1">
      <c r="A18723" s="27">
        <v>0</v>
      </c>
    </row>
    <row r="18724" spans="1:1">
      <c r="A18724" s="27">
        <v>0</v>
      </c>
    </row>
    <row r="18725" spans="1:1">
      <c r="A18725" s="27">
        <v>0</v>
      </c>
    </row>
    <row r="18726" spans="1:1">
      <c r="A18726" s="27">
        <v>0</v>
      </c>
    </row>
    <row r="18727" spans="1:1">
      <c r="A18727" s="27">
        <v>0</v>
      </c>
    </row>
    <row r="18728" spans="1:1">
      <c r="A18728" s="27">
        <v>27</v>
      </c>
    </row>
    <row r="18729" spans="1:1">
      <c r="A18729" s="27">
        <v>7.4</v>
      </c>
    </row>
    <row r="18730" spans="1:1">
      <c r="A18730" s="29">
        <v>0.49027777777777781</v>
      </c>
    </row>
    <row r="18731" spans="1:1">
      <c r="A18731" s="27">
        <v>15.7</v>
      </c>
    </row>
    <row r="18732" spans="1:1">
      <c r="A18732" s="28">
        <v>20</v>
      </c>
    </row>
    <row r="18733" spans="1:1">
      <c r="A18733" s="25">
        <v>843</v>
      </c>
    </row>
    <row r="18734" spans="1:1" ht="30">
      <c r="A18734" s="26" t="s">
        <v>735</v>
      </c>
    </row>
    <row r="18735" spans="1:1">
      <c r="A18735" s="27" t="s">
        <v>653</v>
      </c>
    </row>
    <row r="18736" spans="1:1">
      <c r="A18736" s="27">
        <v>6</v>
      </c>
    </row>
    <row r="18737" spans="1:1">
      <c r="A18737" s="27">
        <v>2</v>
      </c>
    </row>
    <row r="18738" spans="1:1">
      <c r="A18738" s="27">
        <v>0</v>
      </c>
    </row>
    <row r="18739" spans="1:1">
      <c r="A18739" s="27">
        <v>2</v>
      </c>
    </row>
    <row r="18740" spans="1:1">
      <c r="A18740" s="27">
        <v>2</v>
      </c>
    </row>
    <row r="18741" spans="1:1">
      <c r="A18741" s="27">
        <v>2</v>
      </c>
    </row>
    <row r="18742" spans="1:1">
      <c r="A18742" s="27">
        <v>0.33</v>
      </c>
    </row>
    <row r="18743" spans="1:1">
      <c r="A18743" s="27">
        <v>0</v>
      </c>
    </row>
    <row r="18744" spans="1:1">
      <c r="A18744" s="27">
        <v>0</v>
      </c>
    </row>
    <row r="18745" spans="1:1">
      <c r="A18745" s="27">
        <v>0</v>
      </c>
    </row>
    <row r="18746" spans="1:1">
      <c r="A18746" s="27">
        <v>0</v>
      </c>
    </row>
    <row r="18747" spans="1:1">
      <c r="A18747" s="27">
        <v>0</v>
      </c>
    </row>
    <row r="18748" spans="1:1">
      <c r="A18748" s="27">
        <v>0</v>
      </c>
    </row>
    <row r="18749" spans="1:1">
      <c r="A18749" s="27">
        <v>9</v>
      </c>
    </row>
    <row r="18750" spans="1:1">
      <c r="A18750" s="27">
        <v>22.2</v>
      </c>
    </row>
    <row r="18751" spans="1:1">
      <c r="A18751" s="29">
        <v>0.40069444444444446</v>
      </c>
    </row>
    <row r="18752" spans="1:1">
      <c r="A18752" s="27">
        <v>12.7</v>
      </c>
    </row>
    <row r="18753" spans="1:1">
      <c r="A18753" s="28">
        <v>50</v>
      </c>
    </row>
    <row r="18754" spans="1:1">
      <c r="A18754" s="25">
        <v>844</v>
      </c>
    </row>
    <row r="18755" spans="1:1" ht="30">
      <c r="A18755" s="26" t="s">
        <v>996</v>
      </c>
    </row>
    <row r="18756" spans="1:1">
      <c r="A18756" s="27" t="s">
        <v>42</v>
      </c>
    </row>
    <row r="18757" spans="1:1">
      <c r="A18757" s="27">
        <v>2</v>
      </c>
    </row>
    <row r="18758" spans="1:1">
      <c r="A18758" s="27">
        <v>2</v>
      </c>
    </row>
    <row r="18759" spans="1:1">
      <c r="A18759" s="27">
        <v>0</v>
      </c>
    </row>
    <row r="18760" spans="1:1">
      <c r="A18760" s="27">
        <v>2</v>
      </c>
    </row>
    <row r="18761" spans="1:1">
      <c r="A18761" s="27">
        <v>-1</v>
      </c>
    </row>
    <row r="18762" spans="1:1">
      <c r="A18762" s="27">
        <v>2</v>
      </c>
    </row>
    <row r="18763" spans="1:1">
      <c r="A18763" s="27">
        <v>1</v>
      </c>
    </row>
    <row r="18764" spans="1:1">
      <c r="A18764" s="27">
        <v>0</v>
      </c>
    </row>
    <row r="18765" spans="1:1">
      <c r="A18765" s="27">
        <v>0</v>
      </c>
    </row>
    <row r="18766" spans="1:1">
      <c r="A18766" s="27">
        <v>0</v>
      </c>
    </row>
    <row r="18767" spans="1:1">
      <c r="A18767" s="27">
        <v>0</v>
      </c>
    </row>
    <row r="18768" spans="1:1">
      <c r="A18768" s="27">
        <v>1</v>
      </c>
    </row>
    <row r="18769" spans="1:1">
      <c r="A18769" s="27">
        <v>0</v>
      </c>
    </row>
    <row r="18770" spans="1:1">
      <c r="A18770" s="27">
        <v>4</v>
      </c>
    </row>
    <row r="18771" spans="1:1">
      <c r="A18771" s="27">
        <v>50</v>
      </c>
    </row>
    <row r="18772" spans="1:1">
      <c r="A18772" s="29">
        <v>0.60763888888888895</v>
      </c>
    </row>
    <row r="18773" spans="1:1">
      <c r="A18773" s="27">
        <v>22</v>
      </c>
    </row>
    <row r="18774" spans="1:1">
      <c r="A18774" s="28">
        <v>0</v>
      </c>
    </row>
    <row r="18775" spans="1:1">
      <c r="A18775" s="25">
        <v>845</v>
      </c>
    </row>
    <row r="18776" spans="1:1" ht="30">
      <c r="A18776" s="26" t="s">
        <v>284</v>
      </c>
    </row>
    <row r="18777" spans="1:1">
      <c r="A18777" s="27" t="s">
        <v>653</v>
      </c>
    </row>
    <row r="18778" spans="1:1">
      <c r="A18778" s="27">
        <v>14</v>
      </c>
    </row>
    <row r="18779" spans="1:1">
      <c r="A18779" s="27">
        <v>2</v>
      </c>
    </row>
    <row r="18780" spans="1:1">
      <c r="A18780" s="27">
        <v>0</v>
      </c>
    </row>
    <row r="18781" spans="1:1">
      <c r="A18781" s="27">
        <v>2</v>
      </c>
    </row>
    <row r="18782" spans="1:1">
      <c r="A18782" s="27">
        <v>-2</v>
      </c>
    </row>
    <row r="18783" spans="1:1">
      <c r="A18783" s="27">
        <v>4</v>
      </c>
    </row>
    <row r="18784" spans="1:1">
      <c r="A18784" s="27">
        <v>0.14000000000000001</v>
      </c>
    </row>
    <row r="18785" spans="1:1">
      <c r="A18785" s="27">
        <v>0</v>
      </c>
    </row>
    <row r="18786" spans="1:1">
      <c r="A18786" s="27">
        <v>0</v>
      </c>
    </row>
    <row r="18787" spans="1:1">
      <c r="A18787" s="27">
        <v>0</v>
      </c>
    </row>
    <row r="18788" spans="1:1">
      <c r="A18788" s="27">
        <v>0</v>
      </c>
    </row>
    <row r="18789" spans="1:1">
      <c r="A18789" s="27">
        <v>0</v>
      </c>
    </row>
    <row r="18790" spans="1:1">
      <c r="A18790" s="27">
        <v>0</v>
      </c>
    </row>
    <row r="18791" spans="1:1">
      <c r="A18791" s="27">
        <v>23</v>
      </c>
    </row>
    <row r="18792" spans="1:1">
      <c r="A18792" s="27">
        <v>8.6999999999999993</v>
      </c>
    </row>
    <row r="18793" spans="1:1">
      <c r="A18793" s="29">
        <v>0.50486111111111109</v>
      </c>
    </row>
    <row r="18794" spans="1:1">
      <c r="A18794" s="27">
        <v>16</v>
      </c>
    </row>
    <row r="18795" spans="1:1">
      <c r="A18795" s="28">
        <v>30</v>
      </c>
    </row>
    <row r="18796" spans="1:1">
      <c r="A18796" s="25">
        <v>846</v>
      </c>
    </row>
    <row r="18797" spans="1:1" ht="45">
      <c r="A18797" s="26" t="s">
        <v>179</v>
      </c>
    </row>
    <row r="18798" spans="1:1">
      <c r="A18798" s="27" t="s">
        <v>42</v>
      </c>
    </row>
    <row r="18799" spans="1:1">
      <c r="A18799" s="27">
        <v>8</v>
      </c>
    </row>
    <row r="18800" spans="1:1">
      <c r="A18800" s="27">
        <v>1</v>
      </c>
    </row>
    <row r="18801" spans="1:1">
      <c r="A18801" s="27">
        <v>1</v>
      </c>
    </row>
    <row r="18802" spans="1:1">
      <c r="A18802" s="27">
        <v>2</v>
      </c>
    </row>
    <row r="18803" spans="1:1">
      <c r="A18803" s="27">
        <v>1</v>
      </c>
    </row>
    <row r="18804" spans="1:1">
      <c r="A18804" s="27">
        <v>24</v>
      </c>
    </row>
    <row r="18805" spans="1:1">
      <c r="A18805" s="27">
        <v>0.25</v>
      </c>
    </row>
    <row r="18806" spans="1:1">
      <c r="A18806" s="27">
        <v>0</v>
      </c>
    </row>
    <row r="18807" spans="1:1">
      <c r="A18807" s="27">
        <v>0</v>
      </c>
    </row>
    <row r="18808" spans="1:1">
      <c r="A18808" s="27">
        <v>0</v>
      </c>
    </row>
    <row r="18809" spans="1:1">
      <c r="A18809" s="27">
        <v>0</v>
      </c>
    </row>
    <row r="18810" spans="1:1">
      <c r="A18810" s="27">
        <v>0</v>
      </c>
    </row>
    <row r="18811" spans="1:1">
      <c r="A18811" s="27">
        <v>0</v>
      </c>
    </row>
    <row r="18812" spans="1:1">
      <c r="A18812" s="27">
        <v>5</v>
      </c>
    </row>
    <row r="18813" spans="1:1">
      <c r="A18813" s="27">
        <v>20</v>
      </c>
    </row>
    <row r="18814" spans="1:1">
      <c r="A18814" s="29">
        <v>0.46111111111111108</v>
      </c>
    </row>
    <row r="18815" spans="1:1">
      <c r="A18815" s="27">
        <v>15</v>
      </c>
    </row>
    <row r="18816" spans="1:1">
      <c r="A18816" s="28">
        <v>0</v>
      </c>
    </row>
    <row r="18817" spans="1:1">
      <c r="A18817" s="25">
        <v>847</v>
      </c>
    </row>
    <row r="18818" spans="1:1" ht="30">
      <c r="A18818" s="26" t="s">
        <v>1006</v>
      </c>
    </row>
    <row r="18819" spans="1:1">
      <c r="A18819" s="27" t="s">
        <v>44</v>
      </c>
    </row>
    <row r="18820" spans="1:1">
      <c r="A18820" s="27">
        <v>8</v>
      </c>
    </row>
    <row r="18821" spans="1:1">
      <c r="A18821" s="27">
        <v>1</v>
      </c>
    </row>
    <row r="18822" spans="1:1">
      <c r="A18822" s="27">
        <v>1</v>
      </c>
    </row>
    <row r="18823" spans="1:1">
      <c r="A18823" s="27">
        <v>2</v>
      </c>
    </row>
    <row r="18824" spans="1:1">
      <c r="A18824" s="27">
        <v>0</v>
      </c>
    </row>
    <row r="18825" spans="1:1">
      <c r="A18825" s="27">
        <v>0</v>
      </c>
    </row>
    <row r="18826" spans="1:1">
      <c r="A18826" s="27">
        <v>0.25</v>
      </c>
    </row>
    <row r="18827" spans="1:1">
      <c r="A18827" s="27">
        <v>0</v>
      </c>
    </row>
    <row r="18828" spans="1:1">
      <c r="A18828" s="27">
        <v>0</v>
      </c>
    </row>
    <row r="18829" spans="1:1">
      <c r="A18829" s="27">
        <v>1</v>
      </c>
    </row>
    <row r="18830" spans="1:1">
      <c r="A18830" s="27">
        <v>1</v>
      </c>
    </row>
    <row r="18831" spans="1:1">
      <c r="A18831" s="27">
        <v>1</v>
      </c>
    </row>
    <row r="18832" spans="1:1">
      <c r="A18832" s="27">
        <v>0</v>
      </c>
    </row>
    <row r="18833" spans="1:1">
      <c r="A18833" s="27">
        <v>9</v>
      </c>
    </row>
    <row r="18834" spans="1:1">
      <c r="A18834" s="27">
        <v>11.1</v>
      </c>
    </row>
    <row r="18835" spans="1:1">
      <c r="A18835" s="29">
        <v>0.38750000000000001</v>
      </c>
    </row>
    <row r="18836" spans="1:1">
      <c r="A18836" s="27">
        <v>14.5</v>
      </c>
    </row>
    <row r="18837" spans="1:1">
      <c r="A18837" s="28">
        <v>0</v>
      </c>
    </row>
    <row r="18838" spans="1:1">
      <c r="A18838" s="25">
        <v>848</v>
      </c>
    </row>
    <row r="18839" spans="1:1" ht="30">
      <c r="A18839" s="26" t="s">
        <v>696</v>
      </c>
    </row>
    <row r="18840" spans="1:1">
      <c r="A18840" s="27" t="s">
        <v>653</v>
      </c>
    </row>
    <row r="18841" spans="1:1">
      <c r="A18841" s="27">
        <v>28</v>
      </c>
    </row>
    <row r="18842" spans="1:1">
      <c r="A18842" s="27">
        <v>1</v>
      </c>
    </row>
    <row r="18843" spans="1:1">
      <c r="A18843" s="27">
        <v>1</v>
      </c>
    </row>
    <row r="18844" spans="1:1">
      <c r="A18844" s="27">
        <v>2</v>
      </c>
    </row>
    <row r="18845" spans="1:1">
      <c r="A18845" s="27">
        <v>-6</v>
      </c>
    </row>
    <row r="18846" spans="1:1">
      <c r="A18846" s="27">
        <v>8</v>
      </c>
    </row>
    <row r="18847" spans="1:1">
      <c r="A18847" s="27">
        <v>7.0000000000000007E-2</v>
      </c>
    </row>
    <row r="18848" spans="1:1">
      <c r="A18848" s="27">
        <v>0</v>
      </c>
    </row>
    <row r="18849" spans="1:1">
      <c r="A18849" s="27">
        <v>0</v>
      </c>
    </row>
    <row r="18850" spans="1:1">
      <c r="A18850" s="27">
        <v>0</v>
      </c>
    </row>
    <row r="18851" spans="1:1">
      <c r="A18851" s="27">
        <v>0</v>
      </c>
    </row>
    <row r="18852" spans="1:1">
      <c r="A18852" s="27">
        <v>0</v>
      </c>
    </row>
    <row r="18853" spans="1:1">
      <c r="A18853" s="27">
        <v>0</v>
      </c>
    </row>
    <row r="18854" spans="1:1">
      <c r="A18854" s="27">
        <v>24</v>
      </c>
    </row>
    <row r="18855" spans="1:1">
      <c r="A18855" s="27">
        <v>4.2</v>
      </c>
    </row>
    <row r="18856" spans="1:1">
      <c r="A18856" s="29">
        <v>0.42638888888888887</v>
      </c>
    </row>
    <row r="18857" spans="1:1">
      <c r="A18857" s="27">
        <v>14.5</v>
      </c>
    </row>
    <row r="18858" spans="1:1">
      <c r="A18858" s="28">
        <v>52.9</v>
      </c>
    </row>
    <row r="18859" spans="1:1">
      <c r="A18859" s="25">
        <v>849</v>
      </c>
    </row>
    <row r="18860" spans="1:1" ht="45">
      <c r="A18860" s="26" t="s">
        <v>1046</v>
      </c>
    </row>
    <row r="18861" spans="1:1">
      <c r="A18861" s="27" t="s">
        <v>43</v>
      </c>
    </row>
    <row r="18862" spans="1:1">
      <c r="A18862" s="27">
        <v>7</v>
      </c>
    </row>
    <row r="18863" spans="1:1">
      <c r="A18863" s="27">
        <v>1</v>
      </c>
    </row>
    <row r="18864" spans="1:1">
      <c r="A18864" s="27">
        <v>1</v>
      </c>
    </row>
    <row r="18865" spans="1:1">
      <c r="A18865" s="27">
        <v>2</v>
      </c>
    </row>
    <row r="18866" spans="1:1">
      <c r="A18866" s="27">
        <v>2</v>
      </c>
    </row>
    <row r="18867" spans="1:1">
      <c r="A18867" s="27">
        <v>6</v>
      </c>
    </row>
    <row r="18868" spans="1:1">
      <c r="A18868" s="27">
        <v>0.28999999999999998</v>
      </c>
    </row>
    <row r="18869" spans="1:1">
      <c r="A18869" s="27">
        <v>0</v>
      </c>
    </row>
    <row r="18870" spans="1:1">
      <c r="A18870" s="27">
        <v>0</v>
      </c>
    </row>
    <row r="18871" spans="1:1">
      <c r="A18871" s="27">
        <v>0</v>
      </c>
    </row>
    <row r="18872" spans="1:1">
      <c r="A18872" s="27">
        <v>0</v>
      </c>
    </row>
    <row r="18873" spans="1:1">
      <c r="A18873" s="27">
        <v>1</v>
      </c>
    </row>
    <row r="18874" spans="1:1">
      <c r="A18874" s="27">
        <v>0</v>
      </c>
    </row>
    <row r="18875" spans="1:1">
      <c r="A18875" s="27">
        <v>9</v>
      </c>
    </row>
    <row r="18876" spans="1:1">
      <c r="A18876" s="27">
        <v>11.1</v>
      </c>
    </row>
    <row r="18877" spans="1:1">
      <c r="A18877" s="29">
        <v>0.31875000000000003</v>
      </c>
    </row>
    <row r="18878" spans="1:1">
      <c r="A18878" s="27">
        <v>13</v>
      </c>
    </row>
    <row r="18879" spans="1:1">
      <c r="A18879" s="28">
        <v>0</v>
      </c>
    </row>
    <row r="18880" spans="1:1">
      <c r="A18880" s="25">
        <v>850</v>
      </c>
    </row>
    <row r="18881" spans="1:1" ht="30">
      <c r="A18881" s="26" t="s">
        <v>926</v>
      </c>
    </row>
    <row r="18882" spans="1:1">
      <c r="A18882" s="27" t="s">
        <v>653</v>
      </c>
    </row>
    <row r="18883" spans="1:1">
      <c r="A18883" s="27">
        <v>17</v>
      </c>
    </row>
    <row r="18884" spans="1:1">
      <c r="A18884" s="27">
        <v>1</v>
      </c>
    </row>
    <row r="18885" spans="1:1">
      <c r="A18885" s="27">
        <v>1</v>
      </c>
    </row>
    <row r="18886" spans="1:1">
      <c r="A18886" s="27">
        <v>2</v>
      </c>
    </row>
    <row r="18887" spans="1:1">
      <c r="A18887" s="27">
        <v>4</v>
      </c>
    </row>
    <row r="18888" spans="1:1">
      <c r="A18888" s="27">
        <v>28</v>
      </c>
    </row>
    <row r="18889" spans="1:1">
      <c r="A18889" s="27">
        <v>0.12</v>
      </c>
    </row>
    <row r="18890" spans="1:1">
      <c r="A18890" s="27">
        <v>0</v>
      </c>
    </row>
    <row r="18891" spans="1:1">
      <c r="A18891" s="27">
        <v>0</v>
      </c>
    </row>
    <row r="18892" spans="1:1">
      <c r="A18892" s="27">
        <v>0</v>
      </c>
    </row>
    <row r="18893" spans="1:1">
      <c r="A18893" s="27">
        <v>0</v>
      </c>
    </row>
    <row r="18894" spans="1:1">
      <c r="A18894" s="27">
        <v>0</v>
      </c>
    </row>
    <row r="18895" spans="1:1">
      <c r="A18895" s="27">
        <v>0</v>
      </c>
    </row>
    <row r="18896" spans="1:1">
      <c r="A18896" s="27">
        <v>17</v>
      </c>
    </row>
    <row r="18897" spans="1:1">
      <c r="A18897" s="27">
        <v>5.9</v>
      </c>
    </row>
    <row r="18898" spans="1:1">
      <c r="A18898" s="29">
        <v>0.30624999999999997</v>
      </c>
    </row>
    <row r="18899" spans="1:1">
      <c r="A18899" s="27">
        <v>11.1</v>
      </c>
    </row>
    <row r="18900" spans="1:1">
      <c r="A18900" s="28">
        <v>25</v>
      </c>
    </row>
    <row r="18901" spans="1:1">
      <c r="A18901" s="25">
        <v>851</v>
      </c>
    </row>
    <row r="18902" spans="1:1" ht="30">
      <c r="A18902" s="26" t="s">
        <v>846</v>
      </c>
    </row>
    <row r="18903" spans="1:1">
      <c r="A18903" s="27" t="s">
        <v>653</v>
      </c>
    </row>
    <row r="18904" spans="1:1">
      <c r="A18904" s="27">
        <v>9</v>
      </c>
    </row>
    <row r="18905" spans="1:1">
      <c r="A18905" s="27">
        <v>1</v>
      </c>
    </row>
    <row r="18906" spans="1:1">
      <c r="A18906" s="27">
        <v>1</v>
      </c>
    </row>
    <row r="18907" spans="1:1">
      <c r="A18907" s="27">
        <v>2</v>
      </c>
    </row>
    <row r="18908" spans="1:1">
      <c r="A18908" s="27">
        <v>-1</v>
      </c>
    </row>
    <row r="18909" spans="1:1">
      <c r="A18909" s="27">
        <v>6</v>
      </c>
    </row>
    <row r="18910" spans="1:1">
      <c r="A18910" s="27">
        <v>0.22</v>
      </c>
    </row>
    <row r="18911" spans="1:1">
      <c r="A18911" s="27">
        <v>0</v>
      </c>
    </row>
    <row r="18912" spans="1:1">
      <c r="A18912" s="27">
        <v>0</v>
      </c>
    </row>
    <row r="18913" spans="1:1">
      <c r="A18913" s="27">
        <v>0</v>
      </c>
    </row>
    <row r="18914" spans="1:1">
      <c r="A18914" s="27">
        <v>0</v>
      </c>
    </row>
    <row r="18915" spans="1:1">
      <c r="A18915" s="27">
        <v>1</v>
      </c>
    </row>
    <row r="18916" spans="1:1">
      <c r="A18916" s="27">
        <v>0</v>
      </c>
    </row>
    <row r="18917" spans="1:1">
      <c r="A18917" s="27">
        <v>9</v>
      </c>
    </row>
    <row r="18918" spans="1:1">
      <c r="A18918" s="27">
        <v>11.1</v>
      </c>
    </row>
    <row r="18919" spans="1:1">
      <c r="A18919" s="29">
        <v>0.35138888888888892</v>
      </c>
    </row>
    <row r="18920" spans="1:1">
      <c r="A18920" s="27">
        <v>13.2</v>
      </c>
    </row>
    <row r="18921" spans="1:1">
      <c r="A18921" s="28">
        <v>41.9</v>
      </c>
    </row>
    <row r="18922" spans="1:1">
      <c r="A18922" s="25">
        <v>852</v>
      </c>
    </row>
    <row r="18923" spans="1:1" ht="30">
      <c r="A18923" s="26" t="s">
        <v>737</v>
      </c>
    </row>
    <row r="18924" spans="1:1">
      <c r="A18924" s="27" t="s">
        <v>44</v>
      </c>
    </row>
    <row r="18925" spans="1:1">
      <c r="A18925" s="27">
        <v>14</v>
      </c>
    </row>
    <row r="18926" spans="1:1">
      <c r="A18926" s="27">
        <v>1</v>
      </c>
    </row>
    <row r="18927" spans="1:1">
      <c r="A18927" s="27">
        <v>1</v>
      </c>
    </row>
    <row r="18928" spans="1:1">
      <c r="A18928" s="27">
        <v>2</v>
      </c>
    </row>
    <row r="18929" spans="1:1">
      <c r="A18929" s="27">
        <v>-4</v>
      </c>
    </row>
    <row r="18930" spans="1:1">
      <c r="A18930" s="27">
        <v>4</v>
      </c>
    </row>
    <row r="18931" spans="1:1">
      <c r="A18931" s="27">
        <v>0.14000000000000001</v>
      </c>
    </row>
    <row r="18932" spans="1:1">
      <c r="A18932" s="27">
        <v>0</v>
      </c>
    </row>
    <row r="18933" spans="1:1">
      <c r="A18933" s="27">
        <v>0</v>
      </c>
    </row>
    <row r="18934" spans="1:1">
      <c r="A18934" s="27">
        <v>0</v>
      </c>
    </row>
    <row r="18935" spans="1:1">
      <c r="A18935" s="27">
        <v>0</v>
      </c>
    </row>
    <row r="18936" spans="1:1">
      <c r="A18936" s="27">
        <v>0</v>
      </c>
    </row>
    <row r="18937" spans="1:1">
      <c r="A18937" s="27">
        <v>0</v>
      </c>
    </row>
    <row r="18938" spans="1:1">
      <c r="A18938" s="27">
        <v>22</v>
      </c>
    </row>
    <row r="18939" spans="1:1">
      <c r="A18939" s="27">
        <v>4.5</v>
      </c>
    </row>
    <row r="18940" spans="1:1">
      <c r="A18940" s="29">
        <v>0.42152777777777778</v>
      </c>
    </row>
    <row r="18941" spans="1:1">
      <c r="A18941" s="27">
        <v>14.2</v>
      </c>
    </row>
    <row r="18942" spans="1:1">
      <c r="A18942" s="28">
        <v>50</v>
      </c>
    </row>
    <row r="18943" spans="1:1">
      <c r="A18943" s="25">
        <v>853</v>
      </c>
    </row>
    <row r="18944" spans="1:1" ht="30">
      <c r="A18944" s="26" t="s">
        <v>1059</v>
      </c>
    </row>
    <row r="18945" spans="1:1">
      <c r="A18945" s="27" t="s">
        <v>43</v>
      </c>
    </row>
    <row r="18946" spans="1:1">
      <c r="A18946" s="27">
        <v>11</v>
      </c>
    </row>
    <row r="18947" spans="1:1">
      <c r="A18947" s="27">
        <v>1</v>
      </c>
    </row>
    <row r="18948" spans="1:1">
      <c r="A18948" s="27">
        <v>1</v>
      </c>
    </row>
    <row r="18949" spans="1:1">
      <c r="A18949" s="27">
        <v>2</v>
      </c>
    </row>
    <row r="18950" spans="1:1">
      <c r="A18950" s="27">
        <v>-3</v>
      </c>
    </row>
    <row r="18951" spans="1:1">
      <c r="A18951" s="27">
        <v>13</v>
      </c>
    </row>
    <row r="18952" spans="1:1">
      <c r="A18952" s="27">
        <v>0.18</v>
      </c>
    </row>
    <row r="18953" spans="1:1">
      <c r="A18953" s="27">
        <v>0</v>
      </c>
    </row>
    <row r="18954" spans="1:1">
      <c r="A18954" s="27">
        <v>0</v>
      </c>
    </row>
    <row r="18955" spans="1:1">
      <c r="A18955" s="27">
        <v>0</v>
      </c>
    </row>
    <row r="18956" spans="1:1">
      <c r="A18956" s="27">
        <v>0</v>
      </c>
    </row>
    <row r="18957" spans="1:1">
      <c r="A18957" s="27">
        <v>0</v>
      </c>
    </row>
    <row r="18958" spans="1:1">
      <c r="A18958" s="27">
        <v>0</v>
      </c>
    </row>
    <row r="18959" spans="1:1">
      <c r="A18959" s="27">
        <v>9</v>
      </c>
    </row>
    <row r="18960" spans="1:1">
      <c r="A18960" s="27">
        <v>11.1</v>
      </c>
    </row>
    <row r="18961" spans="1:1">
      <c r="A18961" s="29">
        <v>0.26041666666666669</v>
      </c>
    </row>
    <row r="18962" spans="1:1">
      <c r="A18962" s="27">
        <v>9.9</v>
      </c>
    </row>
    <row r="18963" spans="1:1">
      <c r="A18963" s="28">
        <v>0</v>
      </c>
    </row>
    <row r="18964" spans="1:1">
      <c r="A18964" s="25">
        <v>854</v>
      </c>
    </row>
    <row r="18965" spans="1:1" ht="30">
      <c r="A18965" s="26" t="s">
        <v>1077</v>
      </c>
    </row>
    <row r="18966" spans="1:1">
      <c r="A18966" s="27" t="s">
        <v>44</v>
      </c>
    </row>
    <row r="18967" spans="1:1">
      <c r="A18967" s="27">
        <v>21</v>
      </c>
    </row>
    <row r="18968" spans="1:1">
      <c r="A18968" s="27">
        <v>1</v>
      </c>
    </row>
    <row r="18969" spans="1:1">
      <c r="A18969" s="27">
        <v>1</v>
      </c>
    </row>
    <row r="18970" spans="1:1">
      <c r="A18970" s="27">
        <v>2</v>
      </c>
    </row>
    <row r="18971" spans="1:1">
      <c r="A18971" s="27">
        <v>-2</v>
      </c>
    </row>
    <row r="18972" spans="1:1">
      <c r="A18972" s="27">
        <v>7</v>
      </c>
    </row>
    <row r="18973" spans="1:1">
      <c r="A18973" s="27">
        <v>0.1</v>
      </c>
    </row>
    <row r="18974" spans="1:1">
      <c r="A18974" s="27">
        <v>0</v>
      </c>
    </row>
    <row r="18975" spans="1:1">
      <c r="A18975" s="27">
        <v>0</v>
      </c>
    </row>
    <row r="18976" spans="1:1">
      <c r="A18976" s="27">
        <v>0</v>
      </c>
    </row>
    <row r="18977" spans="1:1">
      <c r="A18977" s="27">
        <v>0</v>
      </c>
    </row>
    <row r="18978" spans="1:1">
      <c r="A18978" s="27">
        <v>0</v>
      </c>
    </row>
    <row r="18979" spans="1:1">
      <c r="A18979" s="27">
        <v>0</v>
      </c>
    </row>
    <row r="18980" spans="1:1">
      <c r="A18980" s="27">
        <v>26</v>
      </c>
    </row>
    <row r="18981" spans="1:1">
      <c r="A18981" s="27">
        <v>3.8</v>
      </c>
    </row>
    <row r="18982" spans="1:1">
      <c r="A18982" s="29">
        <v>0.37847222222222227</v>
      </c>
    </row>
    <row r="18983" spans="1:1">
      <c r="A18983" s="27">
        <v>12.8</v>
      </c>
    </row>
    <row r="18984" spans="1:1">
      <c r="A18984" s="28">
        <v>0</v>
      </c>
    </row>
    <row r="18985" spans="1:1">
      <c r="A18985" s="25">
        <v>855</v>
      </c>
    </row>
    <row r="18986" spans="1:1" ht="30">
      <c r="A18986" s="26" t="s">
        <v>1013</v>
      </c>
    </row>
    <row r="18987" spans="1:1">
      <c r="A18987" s="27" t="s">
        <v>43</v>
      </c>
    </row>
    <row r="18988" spans="1:1">
      <c r="A18988" s="27">
        <v>7</v>
      </c>
    </row>
    <row r="18989" spans="1:1">
      <c r="A18989" s="27">
        <v>1</v>
      </c>
    </row>
    <row r="18990" spans="1:1">
      <c r="A18990" s="27">
        <v>1</v>
      </c>
    </row>
    <row r="18991" spans="1:1">
      <c r="A18991" s="27">
        <v>2</v>
      </c>
    </row>
    <row r="18992" spans="1:1">
      <c r="A18992" s="27">
        <v>2</v>
      </c>
    </row>
    <row r="18993" spans="1:1">
      <c r="A18993" s="27">
        <v>0</v>
      </c>
    </row>
    <row r="18994" spans="1:1">
      <c r="A18994" s="27">
        <v>0.28999999999999998</v>
      </c>
    </row>
    <row r="18995" spans="1:1">
      <c r="A18995" s="27">
        <v>0</v>
      </c>
    </row>
    <row r="18996" spans="1:1">
      <c r="A18996" s="27">
        <v>1</v>
      </c>
    </row>
    <row r="18997" spans="1:1">
      <c r="A18997" s="27">
        <v>0</v>
      </c>
    </row>
    <row r="18998" spans="1:1">
      <c r="A18998" s="27">
        <v>0</v>
      </c>
    </row>
    <row r="18999" spans="1:1">
      <c r="A18999" s="27">
        <v>0</v>
      </c>
    </row>
    <row r="19000" spans="1:1">
      <c r="A19000" s="27">
        <v>0</v>
      </c>
    </row>
    <row r="19001" spans="1:1">
      <c r="A19001" s="27">
        <v>5</v>
      </c>
    </row>
    <row r="19002" spans="1:1">
      <c r="A19002" s="27">
        <v>20</v>
      </c>
    </row>
    <row r="19003" spans="1:1">
      <c r="A19003" s="29">
        <v>0.53194444444444444</v>
      </c>
    </row>
    <row r="19004" spans="1:1">
      <c r="A19004" s="27">
        <v>17.899999999999999</v>
      </c>
    </row>
    <row r="19005" spans="1:1">
      <c r="A19005" s="28">
        <v>0</v>
      </c>
    </row>
    <row r="19006" spans="1:1">
      <c r="A19006" s="25">
        <v>856</v>
      </c>
    </row>
    <row r="19007" spans="1:1" ht="30">
      <c r="A19007" s="26" t="s">
        <v>838</v>
      </c>
    </row>
    <row r="19008" spans="1:1">
      <c r="A19008" s="27" t="s">
        <v>653</v>
      </c>
    </row>
    <row r="19009" spans="1:1">
      <c r="A19009" s="27">
        <v>10</v>
      </c>
    </row>
    <row r="19010" spans="1:1">
      <c r="A19010" s="27">
        <v>1</v>
      </c>
    </row>
    <row r="19011" spans="1:1">
      <c r="A19011" s="27">
        <v>1</v>
      </c>
    </row>
    <row r="19012" spans="1:1">
      <c r="A19012" s="27">
        <v>2</v>
      </c>
    </row>
    <row r="19013" spans="1:1">
      <c r="A19013" s="27">
        <v>3</v>
      </c>
    </row>
    <row r="19014" spans="1:1">
      <c r="A19014" s="27">
        <v>4</v>
      </c>
    </row>
    <row r="19015" spans="1:1">
      <c r="A19015" s="27">
        <v>0.2</v>
      </c>
    </row>
    <row r="19016" spans="1:1">
      <c r="A19016" s="27">
        <v>0</v>
      </c>
    </row>
    <row r="19017" spans="1:1">
      <c r="A19017" s="27">
        <v>0</v>
      </c>
    </row>
    <row r="19018" spans="1:1">
      <c r="A19018" s="27">
        <v>0</v>
      </c>
    </row>
    <row r="19019" spans="1:1">
      <c r="A19019" s="27">
        <v>1</v>
      </c>
    </row>
    <row r="19020" spans="1:1">
      <c r="A19020" s="27">
        <v>0</v>
      </c>
    </row>
    <row r="19021" spans="1:1">
      <c r="A19021" s="27">
        <v>0</v>
      </c>
    </row>
    <row r="19022" spans="1:1">
      <c r="A19022" s="27">
        <v>17</v>
      </c>
    </row>
    <row r="19023" spans="1:1">
      <c r="A19023" s="27">
        <v>5.9</v>
      </c>
    </row>
    <row r="19024" spans="1:1">
      <c r="A19024" s="29">
        <v>0.48055555555555557</v>
      </c>
    </row>
    <row r="19025" spans="1:1">
      <c r="A19025" s="27">
        <v>16.7</v>
      </c>
    </row>
    <row r="19026" spans="1:1">
      <c r="A19026" s="28">
        <v>42.9</v>
      </c>
    </row>
    <row r="19027" spans="1:1">
      <c r="A19027" s="25">
        <v>857</v>
      </c>
    </row>
    <row r="19028" spans="1:1" ht="30">
      <c r="A19028" s="26" t="s">
        <v>741</v>
      </c>
    </row>
    <row r="19029" spans="1:1">
      <c r="A19029" s="27" t="s">
        <v>43</v>
      </c>
    </row>
    <row r="19030" spans="1:1">
      <c r="A19030" s="27">
        <v>12</v>
      </c>
    </row>
    <row r="19031" spans="1:1">
      <c r="A19031" s="27">
        <v>1</v>
      </c>
    </row>
    <row r="19032" spans="1:1">
      <c r="A19032" s="27">
        <v>1</v>
      </c>
    </row>
    <row r="19033" spans="1:1">
      <c r="A19033" s="27">
        <v>2</v>
      </c>
    </row>
    <row r="19034" spans="1:1">
      <c r="A19034" s="27">
        <v>2</v>
      </c>
    </row>
    <row r="19035" spans="1:1">
      <c r="A19035" s="27">
        <v>4</v>
      </c>
    </row>
    <row r="19036" spans="1:1">
      <c r="A19036" s="27">
        <v>0.17</v>
      </c>
    </row>
    <row r="19037" spans="1:1">
      <c r="A19037" s="27">
        <v>0</v>
      </c>
    </row>
    <row r="19038" spans="1:1">
      <c r="A19038" s="27">
        <v>0</v>
      </c>
    </row>
    <row r="19039" spans="1:1">
      <c r="A19039" s="27">
        <v>0</v>
      </c>
    </row>
    <row r="19040" spans="1:1">
      <c r="A19040" s="27">
        <v>0</v>
      </c>
    </row>
    <row r="19041" spans="1:1">
      <c r="A19041" s="27">
        <v>0</v>
      </c>
    </row>
    <row r="19042" spans="1:1">
      <c r="A19042" s="27">
        <v>0</v>
      </c>
    </row>
    <row r="19043" spans="1:1">
      <c r="A19043" s="27">
        <v>13</v>
      </c>
    </row>
    <row r="19044" spans="1:1">
      <c r="A19044" s="27">
        <v>7.7</v>
      </c>
    </row>
    <row r="19045" spans="1:1">
      <c r="A19045" s="29">
        <v>0.4152777777777778</v>
      </c>
    </row>
    <row r="19046" spans="1:1">
      <c r="A19046" s="27">
        <v>16.8</v>
      </c>
    </row>
    <row r="19047" spans="1:1">
      <c r="A19047" s="28">
        <v>50</v>
      </c>
    </row>
    <row r="19048" spans="1:1">
      <c r="A19048" s="25">
        <v>858</v>
      </c>
    </row>
    <row r="19049" spans="1:1" ht="30">
      <c r="A19049" s="26" t="s">
        <v>657</v>
      </c>
    </row>
    <row r="19050" spans="1:1">
      <c r="A19050" s="27" t="s">
        <v>44</v>
      </c>
    </row>
    <row r="19051" spans="1:1">
      <c r="A19051" s="27">
        <v>10</v>
      </c>
    </row>
    <row r="19052" spans="1:1">
      <c r="A19052" s="27">
        <v>0</v>
      </c>
    </row>
    <row r="19053" spans="1:1">
      <c r="A19053" s="27">
        <v>2</v>
      </c>
    </row>
    <row r="19054" spans="1:1">
      <c r="A19054" s="27">
        <v>2</v>
      </c>
    </row>
    <row r="19055" spans="1:1">
      <c r="A19055" s="27">
        <v>-1</v>
      </c>
    </row>
    <row r="19056" spans="1:1">
      <c r="A19056" s="27">
        <v>0</v>
      </c>
    </row>
    <row r="19057" spans="1:1">
      <c r="A19057" s="27">
        <v>0.2</v>
      </c>
    </row>
    <row r="19058" spans="1:1">
      <c r="A19058" s="27">
        <v>0</v>
      </c>
    </row>
    <row r="19059" spans="1:1">
      <c r="A19059" s="27">
        <v>0</v>
      </c>
    </row>
    <row r="19060" spans="1:1">
      <c r="A19060" s="27">
        <v>0</v>
      </c>
    </row>
    <row r="19061" spans="1:1">
      <c r="A19061" s="27">
        <v>0</v>
      </c>
    </row>
    <row r="19062" spans="1:1">
      <c r="A19062" s="27">
        <v>0</v>
      </c>
    </row>
    <row r="19063" spans="1:1">
      <c r="A19063" s="27">
        <v>0</v>
      </c>
    </row>
    <row r="19064" spans="1:1">
      <c r="A19064" s="27">
        <v>11</v>
      </c>
    </row>
    <row r="19065" spans="1:1">
      <c r="A19065" s="27">
        <v>0</v>
      </c>
    </row>
    <row r="19066" spans="1:1">
      <c r="A19066" s="29">
        <v>0.36458333333333331</v>
      </c>
    </row>
    <row r="19067" spans="1:1">
      <c r="A19067" s="27">
        <v>11.8</v>
      </c>
    </row>
    <row r="19068" spans="1:1">
      <c r="A19068" s="28">
        <v>100</v>
      </c>
    </row>
    <row r="19069" spans="1:1">
      <c r="A19069" s="25">
        <v>859</v>
      </c>
    </row>
    <row r="19070" spans="1:1" ht="45">
      <c r="A19070" s="26" t="s">
        <v>1033</v>
      </c>
    </row>
    <row r="19071" spans="1:1">
      <c r="A19071" s="27" t="s">
        <v>42</v>
      </c>
    </row>
    <row r="19072" spans="1:1">
      <c r="A19072" s="27">
        <v>11</v>
      </c>
    </row>
    <row r="19073" spans="1:1">
      <c r="A19073" s="27">
        <v>0</v>
      </c>
    </row>
    <row r="19074" spans="1:1">
      <c r="A19074" s="27">
        <v>2</v>
      </c>
    </row>
    <row r="19075" spans="1:1">
      <c r="A19075" s="27">
        <v>2</v>
      </c>
    </row>
    <row r="19076" spans="1:1">
      <c r="A19076" s="27">
        <v>7</v>
      </c>
    </row>
    <row r="19077" spans="1:1">
      <c r="A19077" s="27">
        <v>26</v>
      </c>
    </row>
    <row r="19078" spans="1:1">
      <c r="A19078" s="27">
        <v>0.18</v>
      </c>
    </row>
    <row r="19079" spans="1:1">
      <c r="A19079" s="27">
        <v>0</v>
      </c>
    </row>
    <row r="19080" spans="1:1">
      <c r="A19080" s="27">
        <v>0</v>
      </c>
    </row>
    <row r="19081" spans="1:1">
      <c r="A19081" s="27">
        <v>0</v>
      </c>
    </row>
    <row r="19082" spans="1:1">
      <c r="A19082" s="27">
        <v>0</v>
      </c>
    </row>
    <row r="19083" spans="1:1">
      <c r="A19083" s="27">
        <v>0</v>
      </c>
    </row>
    <row r="19084" spans="1:1">
      <c r="A19084" s="27">
        <v>0</v>
      </c>
    </row>
    <row r="19085" spans="1:1">
      <c r="A19085" s="27">
        <v>11</v>
      </c>
    </row>
    <row r="19086" spans="1:1">
      <c r="A19086" s="27">
        <v>0</v>
      </c>
    </row>
    <row r="19087" spans="1:1">
      <c r="A19087" s="29">
        <v>0.43958333333333338</v>
      </c>
    </row>
    <row r="19088" spans="1:1">
      <c r="A19088" s="27">
        <v>15.2</v>
      </c>
    </row>
    <row r="19089" spans="1:1">
      <c r="A19089" s="28">
        <v>0</v>
      </c>
    </row>
    <row r="19090" spans="1:1">
      <c r="A19090" s="25">
        <v>860</v>
      </c>
    </row>
    <row r="19091" spans="1:1" ht="45">
      <c r="A19091" s="26" t="s">
        <v>868</v>
      </c>
    </row>
    <row r="19092" spans="1:1">
      <c r="A19092" s="27" t="s">
        <v>653</v>
      </c>
    </row>
    <row r="19093" spans="1:1">
      <c r="A19093" s="27">
        <v>18</v>
      </c>
    </row>
    <row r="19094" spans="1:1">
      <c r="A19094" s="27">
        <v>0</v>
      </c>
    </row>
    <row r="19095" spans="1:1">
      <c r="A19095" s="27">
        <v>2</v>
      </c>
    </row>
    <row r="19096" spans="1:1">
      <c r="A19096" s="27">
        <v>2</v>
      </c>
    </row>
    <row r="19097" spans="1:1">
      <c r="A19097" s="27">
        <v>1</v>
      </c>
    </row>
    <row r="19098" spans="1:1">
      <c r="A19098" s="27">
        <v>2</v>
      </c>
    </row>
    <row r="19099" spans="1:1">
      <c r="A19099" s="27">
        <v>0.11</v>
      </c>
    </row>
    <row r="19100" spans="1:1">
      <c r="A19100" s="27">
        <v>0</v>
      </c>
    </row>
    <row r="19101" spans="1:1">
      <c r="A19101" s="27">
        <v>0</v>
      </c>
    </row>
    <row r="19102" spans="1:1">
      <c r="A19102" s="27">
        <v>0</v>
      </c>
    </row>
    <row r="19103" spans="1:1">
      <c r="A19103" s="27">
        <v>0</v>
      </c>
    </row>
    <row r="19104" spans="1:1">
      <c r="A19104" s="27">
        <v>0</v>
      </c>
    </row>
    <row r="19105" spans="1:1">
      <c r="A19105" s="27">
        <v>0</v>
      </c>
    </row>
    <row r="19106" spans="1:1">
      <c r="A19106" s="27">
        <v>16</v>
      </c>
    </row>
    <row r="19107" spans="1:1">
      <c r="A19107" s="27">
        <v>0</v>
      </c>
    </row>
    <row r="19108" spans="1:1">
      <c r="A19108" s="29">
        <v>0.53055555555555556</v>
      </c>
    </row>
    <row r="19109" spans="1:1">
      <c r="A19109" s="27">
        <v>17.899999999999999</v>
      </c>
    </row>
    <row r="19110" spans="1:1">
      <c r="A19110" s="28">
        <v>38.6</v>
      </c>
    </row>
    <row r="19111" spans="1:1">
      <c r="A19111" s="25">
        <v>861</v>
      </c>
    </row>
    <row r="19112" spans="1:1" ht="30">
      <c r="A19112" s="26" t="s">
        <v>1005</v>
      </c>
    </row>
    <row r="19113" spans="1:1">
      <c r="A19113" s="27" t="s">
        <v>42</v>
      </c>
    </row>
    <row r="19114" spans="1:1">
      <c r="A19114" s="27">
        <v>11</v>
      </c>
    </row>
    <row r="19115" spans="1:1">
      <c r="A19115" s="27">
        <v>0</v>
      </c>
    </row>
    <row r="19116" spans="1:1">
      <c r="A19116" s="27">
        <v>2</v>
      </c>
    </row>
    <row r="19117" spans="1:1">
      <c r="A19117" s="27">
        <v>2</v>
      </c>
    </row>
    <row r="19118" spans="1:1">
      <c r="A19118" s="27">
        <v>0</v>
      </c>
    </row>
    <row r="19119" spans="1:1">
      <c r="A19119" s="27">
        <v>0</v>
      </c>
    </row>
    <row r="19120" spans="1:1">
      <c r="A19120" s="27">
        <v>0.18</v>
      </c>
    </row>
    <row r="19121" spans="1:1">
      <c r="A19121" s="27">
        <v>0</v>
      </c>
    </row>
    <row r="19122" spans="1:1">
      <c r="A19122" s="27">
        <v>0</v>
      </c>
    </row>
    <row r="19123" spans="1:1">
      <c r="A19123" s="27">
        <v>0</v>
      </c>
    </row>
    <row r="19124" spans="1:1">
      <c r="A19124" s="27">
        <v>0</v>
      </c>
    </row>
    <row r="19125" spans="1:1">
      <c r="A19125" s="27">
        <v>0</v>
      </c>
    </row>
    <row r="19126" spans="1:1">
      <c r="A19126" s="27">
        <v>0</v>
      </c>
    </row>
    <row r="19127" spans="1:1">
      <c r="A19127" s="27">
        <v>14</v>
      </c>
    </row>
    <row r="19128" spans="1:1">
      <c r="A19128" s="27">
        <v>0</v>
      </c>
    </row>
    <row r="19129" spans="1:1">
      <c r="A19129" s="29">
        <v>0.65347222222222223</v>
      </c>
    </row>
    <row r="19130" spans="1:1">
      <c r="A19130" s="27">
        <v>18.8</v>
      </c>
    </row>
    <row r="19131" spans="1:1">
      <c r="A19131" s="28">
        <v>0</v>
      </c>
    </row>
    <row r="19132" spans="1:1">
      <c r="A19132" s="25">
        <v>862</v>
      </c>
    </row>
    <row r="19133" spans="1:1" ht="45">
      <c r="A19133" s="26" t="s">
        <v>658</v>
      </c>
    </row>
    <row r="19134" spans="1:1">
      <c r="A19134" s="27" t="s">
        <v>42</v>
      </c>
    </row>
    <row r="19135" spans="1:1">
      <c r="A19135" s="27">
        <v>13</v>
      </c>
    </row>
    <row r="19136" spans="1:1">
      <c r="A19136" s="27">
        <v>0</v>
      </c>
    </row>
    <row r="19137" spans="1:1">
      <c r="A19137" s="27">
        <v>2</v>
      </c>
    </row>
    <row r="19138" spans="1:1">
      <c r="A19138" s="27">
        <v>2</v>
      </c>
    </row>
    <row r="19139" spans="1:1">
      <c r="A19139" s="27">
        <v>-5</v>
      </c>
    </row>
    <row r="19140" spans="1:1">
      <c r="A19140" s="27">
        <v>14</v>
      </c>
    </row>
    <row r="19141" spans="1:1">
      <c r="A19141" s="27">
        <v>0.15</v>
      </c>
    </row>
    <row r="19142" spans="1:1">
      <c r="A19142" s="27">
        <v>0</v>
      </c>
    </row>
    <row r="19143" spans="1:1">
      <c r="A19143" s="27">
        <v>0</v>
      </c>
    </row>
    <row r="19144" spans="1:1">
      <c r="A19144" s="27">
        <v>0</v>
      </c>
    </row>
    <row r="19145" spans="1:1">
      <c r="A19145" s="27">
        <v>0</v>
      </c>
    </row>
    <row r="19146" spans="1:1">
      <c r="A19146" s="27">
        <v>0</v>
      </c>
    </row>
    <row r="19147" spans="1:1">
      <c r="A19147" s="27">
        <v>0</v>
      </c>
    </row>
    <row r="19148" spans="1:1">
      <c r="A19148" s="27">
        <v>24</v>
      </c>
    </row>
    <row r="19149" spans="1:1">
      <c r="A19149" s="27">
        <v>0</v>
      </c>
    </row>
    <row r="19150" spans="1:1">
      <c r="A19150" s="29">
        <v>0.81458333333333333</v>
      </c>
    </row>
    <row r="19151" spans="1:1">
      <c r="A19151" s="27">
        <v>25.2</v>
      </c>
    </row>
    <row r="19152" spans="1:1">
      <c r="A19152" s="28">
        <v>100</v>
      </c>
    </row>
    <row r="19153" spans="1:1">
      <c r="A19153" s="25">
        <v>863</v>
      </c>
    </row>
    <row r="19154" spans="1:1" ht="45">
      <c r="A19154" s="26" t="s">
        <v>1024</v>
      </c>
    </row>
    <row r="19155" spans="1:1">
      <c r="A19155" s="27" t="s">
        <v>42</v>
      </c>
    </row>
    <row r="19156" spans="1:1">
      <c r="A19156" s="27">
        <v>25</v>
      </c>
    </row>
    <row r="19157" spans="1:1">
      <c r="A19157" s="27">
        <v>0</v>
      </c>
    </row>
    <row r="19158" spans="1:1">
      <c r="A19158" s="27">
        <v>2</v>
      </c>
    </row>
    <row r="19159" spans="1:1">
      <c r="A19159" s="27">
        <v>2</v>
      </c>
    </row>
    <row r="19160" spans="1:1">
      <c r="A19160" s="27">
        <v>-7</v>
      </c>
    </row>
    <row r="19161" spans="1:1">
      <c r="A19161" s="27">
        <v>12</v>
      </c>
    </row>
    <row r="19162" spans="1:1">
      <c r="A19162" s="27">
        <v>0.08</v>
      </c>
    </row>
    <row r="19163" spans="1:1">
      <c r="A19163" s="27">
        <v>0</v>
      </c>
    </row>
    <row r="19164" spans="1:1">
      <c r="A19164" s="27">
        <v>1</v>
      </c>
    </row>
    <row r="19165" spans="1:1">
      <c r="A19165" s="27">
        <v>0</v>
      </c>
    </row>
    <row r="19166" spans="1:1">
      <c r="A19166" s="27">
        <v>0</v>
      </c>
    </row>
    <row r="19167" spans="1:1">
      <c r="A19167" s="27">
        <v>0</v>
      </c>
    </row>
    <row r="19168" spans="1:1">
      <c r="A19168" s="27">
        <v>0</v>
      </c>
    </row>
    <row r="19169" spans="1:1">
      <c r="A19169" s="27">
        <v>24</v>
      </c>
    </row>
    <row r="19170" spans="1:1">
      <c r="A19170" s="27">
        <v>0</v>
      </c>
    </row>
    <row r="19171" spans="1:1">
      <c r="A19171" s="29">
        <v>0.58124999999999993</v>
      </c>
    </row>
    <row r="19172" spans="1:1">
      <c r="A19172" s="27">
        <v>21</v>
      </c>
    </row>
    <row r="19173" spans="1:1">
      <c r="A19173" s="28">
        <v>0</v>
      </c>
    </row>
    <row r="19174" spans="1:1">
      <c r="A19174" s="25">
        <v>864</v>
      </c>
    </row>
    <row r="19175" spans="1:1" ht="30">
      <c r="A19175" s="26" t="s">
        <v>906</v>
      </c>
    </row>
    <row r="19176" spans="1:1">
      <c r="A19176" s="27" t="s">
        <v>653</v>
      </c>
    </row>
    <row r="19177" spans="1:1">
      <c r="A19177" s="27">
        <v>15</v>
      </c>
    </row>
    <row r="19178" spans="1:1">
      <c r="A19178" s="27">
        <v>0</v>
      </c>
    </row>
    <row r="19179" spans="1:1">
      <c r="A19179" s="27">
        <v>2</v>
      </c>
    </row>
    <row r="19180" spans="1:1">
      <c r="A19180" s="27">
        <v>2</v>
      </c>
    </row>
    <row r="19181" spans="1:1">
      <c r="A19181" s="27">
        <v>2</v>
      </c>
    </row>
    <row r="19182" spans="1:1">
      <c r="A19182" s="27">
        <v>11</v>
      </c>
    </row>
    <row r="19183" spans="1:1">
      <c r="A19183" s="27">
        <v>0.13</v>
      </c>
    </row>
    <row r="19184" spans="1:1">
      <c r="A19184" s="27">
        <v>0</v>
      </c>
    </row>
    <row r="19185" spans="1:1">
      <c r="A19185" s="27">
        <v>0</v>
      </c>
    </row>
    <row r="19186" spans="1:1">
      <c r="A19186" s="27">
        <v>0</v>
      </c>
    </row>
    <row r="19187" spans="1:1">
      <c r="A19187" s="27">
        <v>0</v>
      </c>
    </row>
    <row r="19188" spans="1:1">
      <c r="A19188" s="27">
        <v>0</v>
      </c>
    </row>
    <row r="19189" spans="1:1">
      <c r="A19189" s="27">
        <v>0</v>
      </c>
    </row>
    <row r="19190" spans="1:1">
      <c r="A19190" s="27">
        <v>10</v>
      </c>
    </row>
    <row r="19191" spans="1:1">
      <c r="A19191" s="27">
        <v>0</v>
      </c>
    </row>
    <row r="19192" spans="1:1">
      <c r="A19192" s="29">
        <v>0.38055555555555554</v>
      </c>
    </row>
    <row r="19193" spans="1:1">
      <c r="A19193" s="27">
        <v>12.7</v>
      </c>
    </row>
    <row r="19194" spans="1:1">
      <c r="A19194" s="28">
        <v>32.9</v>
      </c>
    </row>
    <row r="19195" spans="1:1">
      <c r="A19195" s="25">
        <v>865</v>
      </c>
    </row>
    <row r="19196" spans="1:1" ht="30">
      <c r="A19196" s="26" t="s">
        <v>739</v>
      </c>
    </row>
    <row r="19197" spans="1:1">
      <c r="A19197" s="27" t="s">
        <v>44</v>
      </c>
    </row>
    <row r="19198" spans="1:1">
      <c r="A19198" s="27">
        <v>13</v>
      </c>
    </row>
    <row r="19199" spans="1:1">
      <c r="A19199" s="27">
        <v>0</v>
      </c>
    </row>
    <row r="19200" spans="1:1">
      <c r="A19200" s="27">
        <v>2</v>
      </c>
    </row>
    <row r="19201" spans="1:1">
      <c r="A19201" s="27">
        <v>2</v>
      </c>
    </row>
    <row r="19202" spans="1:1">
      <c r="A19202" s="27">
        <v>2</v>
      </c>
    </row>
    <row r="19203" spans="1:1">
      <c r="A19203" s="27">
        <v>8</v>
      </c>
    </row>
    <row r="19204" spans="1:1">
      <c r="A19204" s="27">
        <v>0.15</v>
      </c>
    </row>
    <row r="19205" spans="1:1">
      <c r="A19205" s="27">
        <v>0</v>
      </c>
    </row>
    <row r="19206" spans="1:1">
      <c r="A19206" s="27">
        <v>0</v>
      </c>
    </row>
    <row r="19207" spans="1:1">
      <c r="A19207" s="27">
        <v>0</v>
      </c>
    </row>
    <row r="19208" spans="1:1">
      <c r="A19208" s="27">
        <v>0</v>
      </c>
    </row>
    <row r="19209" spans="1:1">
      <c r="A19209" s="27">
        <v>0</v>
      </c>
    </row>
    <row r="19210" spans="1:1">
      <c r="A19210" s="27">
        <v>0</v>
      </c>
    </row>
    <row r="19211" spans="1:1">
      <c r="A19211" s="27">
        <v>22</v>
      </c>
    </row>
    <row r="19212" spans="1:1">
      <c r="A19212" s="27">
        <v>0</v>
      </c>
    </row>
    <row r="19213" spans="1:1">
      <c r="A19213" s="29">
        <v>0.42430555555555555</v>
      </c>
    </row>
    <row r="19214" spans="1:1">
      <c r="A19214" s="27">
        <v>14</v>
      </c>
    </row>
    <row r="19215" spans="1:1">
      <c r="A19215" s="28">
        <v>50</v>
      </c>
    </row>
    <row r="19216" spans="1:1">
      <c r="A19216" s="25">
        <v>866</v>
      </c>
    </row>
    <row r="19217" spans="1:1" ht="30">
      <c r="A19217" s="26" t="s">
        <v>1009</v>
      </c>
    </row>
    <row r="19218" spans="1:1">
      <c r="A19218" s="27" t="s">
        <v>42</v>
      </c>
    </row>
    <row r="19219" spans="1:1">
      <c r="A19219" s="27">
        <v>5</v>
      </c>
    </row>
    <row r="19220" spans="1:1">
      <c r="A19220" s="27">
        <v>0</v>
      </c>
    </row>
    <row r="19221" spans="1:1">
      <c r="A19221" s="27">
        <v>2</v>
      </c>
    </row>
    <row r="19222" spans="1:1">
      <c r="A19222" s="27">
        <v>2</v>
      </c>
    </row>
    <row r="19223" spans="1:1">
      <c r="A19223" s="27">
        <v>-1</v>
      </c>
    </row>
    <row r="19224" spans="1:1">
      <c r="A19224" s="27">
        <v>0</v>
      </c>
    </row>
    <row r="19225" spans="1:1">
      <c r="A19225" s="27">
        <v>0.4</v>
      </c>
    </row>
    <row r="19226" spans="1:1">
      <c r="A19226" s="27">
        <v>0</v>
      </c>
    </row>
    <row r="19227" spans="1:1">
      <c r="A19227" s="27">
        <v>0</v>
      </c>
    </row>
    <row r="19228" spans="1:1">
      <c r="A19228" s="27">
        <v>0</v>
      </c>
    </row>
    <row r="19229" spans="1:1">
      <c r="A19229" s="27">
        <v>0</v>
      </c>
    </row>
    <row r="19230" spans="1:1">
      <c r="A19230" s="27">
        <v>0</v>
      </c>
    </row>
    <row r="19231" spans="1:1">
      <c r="A19231" s="27">
        <v>0</v>
      </c>
    </row>
    <row r="19232" spans="1:1">
      <c r="A19232" s="27">
        <v>2</v>
      </c>
    </row>
    <row r="19233" spans="1:1">
      <c r="A19233" s="27">
        <v>0</v>
      </c>
    </row>
    <row r="19234" spans="1:1">
      <c r="A19234" s="29">
        <v>0.51666666666666672</v>
      </c>
    </row>
    <row r="19235" spans="1:1">
      <c r="A19235" s="27">
        <v>17.600000000000001</v>
      </c>
    </row>
    <row r="19236" spans="1:1">
      <c r="A19236" s="28">
        <v>0</v>
      </c>
    </row>
    <row r="19237" spans="1:1">
      <c r="A19237" s="25">
        <v>867</v>
      </c>
    </row>
    <row r="19238" spans="1:1" ht="30">
      <c r="A19238" s="26" t="s">
        <v>1001</v>
      </c>
    </row>
    <row r="19239" spans="1:1">
      <c r="A19239" s="27" t="s">
        <v>42</v>
      </c>
    </row>
    <row r="19240" spans="1:1">
      <c r="A19240" s="27">
        <v>6</v>
      </c>
    </row>
    <row r="19241" spans="1:1">
      <c r="A19241" s="27">
        <v>0</v>
      </c>
    </row>
    <row r="19242" spans="1:1">
      <c r="A19242" s="27">
        <v>2</v>
      </c>
    </row>
    <row r="19243" spans="1:1">
      <c r="A19243" s="27">
        <v>2</v>
      </c>
    </row>
    <row r="19244" spans="1:1">
      <c r="A19244" s="27">
        <v>0</v>
      </c>
    </row>
    <row r="19245" spans="1:1">
      <c r="A19245" s="27">
        <v>2</v>
      </c>
    </row>
    <row r="19246" spans="1:1">
      <c r="A19246" s="27">
        <v>0.33</v>
      </c>
    </row>
    <row r="19247" spans="1:1">
      <c r="A19247" s="27">
        <v>0</v>
      </c>
    </row>
    <row r="19248" spans="1:1">
      <c r="A19248" s="27">
        <v>0</v>
      </c>
    </row>
    <row r="19249" spans="1:1">
      <c r="A19249" s="27">
        <v>0</v>
      </c>
    </row>
    <row r="19250" spans="1:1">
      <c r="A19250" s="27">
        <v>0</v>
      </c>
    </row>
    <row r="19251" spans="1:1">
      <c r="A19251" s="27">
        <v>0</v>
      </c>
    </row>
    <row r="19252" spans="1:1">
      <c r="A19252" s="27">
        <v>0</v>
      </c>
    </row>
    <row r="19253" spans="1:1">
      <c r="A19253" s="27">
        <v>5</v>
      </c>
    </row>
    <row r="19254" spans="1:1">
      <c r="A19254" s="27">
        <v>0</v>
      </c>
    </row>
    <row r="19255" spans="1:1">
      <c r="A19255" s="29">
        <v>0.50902777777777775</v>
      </c>
    </row>
    <row r="19256" spans="1:1">
      <c r="A19256" s="27">
        <v>16.3</v>
      </c>
    </row>
    <row r="19257" spans="1:1">
      <c r="A19257" s="28">
        <v>0</v>
      </c>
    </row>
    <row r="19258" spans="1:1">
      <c r="A19258" s="25">
        <v>868</v>
      </c>
    </row>
    <row r="19259" spans="1:1" ht="30">
      <c r="A19259" s="26" t="s">
        <v>195</v>
      </c>
    </row>
    <row r="19260" spans="1:1">
      <c r="A19260" s="27" t="s">
        <v>42</v>
      </c>
    </row>
    <row r="19261" spans="1:1">
      <c r="A19261" s="27">
        <v>7</v>
      </c>
    </row>
    <row r="19262" spans="1:1">
      <c r="A19262" s="27">
        <v>0</v>
      </c>
    </row>
    <row r="19263" spans="1:1">
      <c r="A19263" s="27">
        <v>2</v>
      </c>
    </row>
    <row r="19264" spans="1:1">
      <c r="A19264" s="27">
        <v>2</v>
      </c>
    </row>
    <row r="19265" spans="1:1">
      <c r="A19265" s="27">
        <v>1</v>
      </c>
    </row>
    <row r="19266" spans="1:1">
      <c r="A19266" s="27">
        <v>2</v>
      </c>
    </row>
    <row r="19267" spans="1:1">
      <c r="A19267" s="27">
        <v>0.28999999999999998</v>
      </c>
    </row>
    <row r="19268" spans="1:1">
      <c r="A19268" s="27">
        <v>0</v>
      </c>
    </row>
    <row r="19269" spans="1:1">
      <c r="A19269" s="27">
        <v>0</v>
      </c>
    </row>
    <row r="19270" spans="1:1">
      <c r="A19270" s="27">
        <v>0</v>
      </c>
    </row>
    <row r="19271" spans="1:1">
      <c r="A19271" s="27">
        <v>0</v>
      </c>
    </row>
    <row r="19272" spans="1:1">
      <c r="A19272" s="27">
        <v>0</v>
      </c>
    </row>
    <row r="19273" spans="1:1">
      <c r="A19273" s="27">
        <v>0</v>
      </c>
    </row>
    <row r="19274" spans="1:1">
      <c r="A19274" s="27">
        <v>7</v>
      </c>
    </row>
    <row r="19275" spans="1:1">
      <c r="A19275" s="27">
        <v>0</v>
      </c>
    </row>
    <row r="19276" spans="1:1">
      <c r="A19276" s="29">
        <v>0.61111111111111105</v>
      </c>
    </row>
    <row r="19277" spans="1:1">
      <c r="A19277" s="27">
        <v>19.600000000000001</v>
      </c>
    </row>
    <row r="19278" spans="1:1">
      <c r="A19278" s="28">
        <v>0</v>
      </c>
    </row>
    <row r="19279" spans="1:1">
      <c r="A19279" s="25">
        <v>869</v>
      </c>
    </row>
    <row r="19280" spans="1:1" ht="30">
      <c r="A19280" s="26" t="s">
        <v>974</v>
      </c>
    </row>
    <row r="19281" spans="1:1">
      <c r="A19281" s="27" t="s">
        <v>42</v>
      </c>
    </row>
    <row r="19282" spans="1:1">
      <c r="A19282" s="27">
        <v>3</v>
      </c>
    </row>
    <row r="19283" spans="1:1">
      <c r="A19283" s="27">
        <v>0</v>
      </c>
    </row>
    <row r="19284" spans="1:1">
      <c r="A19284" s="27">
        <v>2</v>
      </c>
    </row>
    <row r="19285" spans="1:1">
      <c r="A19285" s="27">
        <v>2</v>
      </c>
    </row>
    <row r="19286" spans="1:1">
      <c r="A19286" s="27">
        <v>1</v>
      </c>
    </row>
    <row r="19287" spans="1:1">
      <c r="A19287" s="27">
        <v>0</v>
      </c>
    </row>
    <row r="19288" spans="1:1">
      <c r="A19288" s="27">
        <v>0.67</v>
      </c>
    </row>
    <row r="19289" spans="1:1">
      <c r="A19289" s="27">
        <v>0</v>
      </c>
    </row>
    <row r="19290" spans="1:1">
      <c r="A19290" s="27">
        <v>0</v>
      </c>
    </row>
    <row r="19291" spans="1:1">
      <c r="A19291" s="27">
        <v>0</v>
      </c>
    </row>
    <row r="19292" spans="1:1">
      <c r="A19292" s="27">
        <v>0</v>
      </c>
    </row>
    <row r="19293" spans="1:1">
      <c r="A19293" s="27">
        <v>0</v>
      </c>
    </row>
    <row r="19294" spans="1:1">
      <c r="A19294" s="27">
        <v>0</v>
      </c>
    </row>
    <row r="19295" spans="1:1">
      <c r="A19295" s="27">
        <v>0</v>
      </c>
    </row>
    <row r="19296" spans="1:1">
      <c r="A19296" s="27">
        <v>0</v>
      </c>
    </row>
    <row r="19297" spans="1:1">
      <c r="A19297" s="29">
        <v>0.58402777777777781</v>
      </c>
    </row>
    <row r="19298" spans="1:1">
      <c r="A19298" s="27">
        <v>17.3</v>
      </c>
    </row>
    <row r="19299" spans="1:1">
      <c r="A19299" s="28">
        <v>0</v>
      </c>
    </row>
    <row r="19300" spans="1:1">
      <c r="A19300" s="25">
        <v>870</v>
      </c>
    </row>
    <row r="19301" spans="1:1" ht="45">
      <c r="A19301" s="26" t="s">
        <v>1010</v>
      </c>
    </row>
    <row r="19302" spans="1:1">
      <c r="A19302" s="27" t="s">
        <v>42</v>
      </c>
    </row>
    <row r="19303" spans="1:1">
      <c r="A19303" s="27">
        <v>7</v>
      </c>
    </row>
    <row r="19304" spans="1:1">
      <c r="A19304" s="27">
        <v>1</v>
      </c>
    </row>
    <row r="19305" spans="1:1">
      <c r="A19305" s="27">
        <v>0</v>
      </c>
    </row>
    <row r="19306" spans="1:1">
      <c r="A19306" s="27">
        <v>1</v>
      </c>
    </row>
    <row r="19307" spans="1:1">
      <c r="A19307" s="27">
        <v>-5</v>
      </c>
    </row>
    <row r="19308" spans="1:1">
      <c r="A19308" s="27">
        <v>2</v>
      </c>
    </row>
    <row r="19309" spans="1:1">
      <c r="A19309" s="27">
        <v>0.14000000000000001</v>
      </c>
    </row>
    <row r="19310" spans="1:1">
      <c r="A19310" s="27">
        <v>1</v>
      </c>
    </row>
    <row r="19311" spans="1:1">
      <c r="A19311" s="27">
        <v>1</v>
      </c>
    </row>
    <row r="19312" spans="1:1">
      <c r="A19312" s="27">
        <v>0</v>
      </c>
    </row>
    <row r="19313" spans="1:1">
      <c r="A19313" s="27">
        <v>0</v>
      </c>
    </row>
    <row r="19314" spans="1:1">
      <c r="A19314" s="27">
        <v>0</v>
      </c>
    </row>
    <row r="19315" spans="1:1">
      <c r="A19315" s="27">
        <v>0</v>
      </c>
    </row>
    <row r="19316" spans="1:1">
      <c r="A19316" s="27">
        <v>10</v>
      </c>
    </row>
    <row r="19317" spans="1:1">
      <c r="A19317" s="27">
        <v>10</v>
      </c>
    </row>
    <row r="19318" spans="1:1">
      <c r="A19318" s="29">
        <v>0.51458333333333328</v>
      </c>
    </row>
    <row r="19319" spans="1:1">
      <c r="A19319" s="27">
        <v>16</v>
      </c>
    </row>
    <row r="19320" spans="1:1">
      <c r="A19320" s="28">
        <v>0</v>
      </c>
    </row>
    <row r="19321" spans="1:1">
      <c r="A19321" s="25">
        <v>871</v>
      </c>
    </row>
    <row r="19322" spans="1:1" ht="30">
      <c r="A19322" s="26" t="s">
        <v>1036</v>
      </c>
    </row>
    <row r="19323" spans="1:1">
      <c r="A19323" s="27" t="s">
        <v>42</v>
      </c>
    </row>
    <row r="19324" spans="1:1">
      <c r="A19324" s="27">
        <v>16</v>
      </c>
    </row>
    <row r="19325" spans="1:1">
      <c r="A19325" s="27">
        <v>1</v>
      </c>
    </row>
    <row r="19326" spans="1:1">
      <c r="A19326" s="27">
        <v>0</v>
      </c>
    </row>
    <row r="19327" spans="1:1">
      <c r="A19327" s="27">
        <v>1</v>
      </c>
    </row>
    <row r="19328" spans="1:1">
      <c r="A19328" s="27">
        <v>-1</v>
      </c>
    </row>
    <row r="19329" spans="1:1">
      <c r="A19329" s="27">
        <v>2</v>
      </c>
    </row>
    <row r="19330" spans="1:1">
      <c r="A19330" s="27">
        <v>0.06</v>
      </c>
    </row>
    <row r="19331" spans="1:1">
      <c r="A19331" s="27">
        <v>0</v>
      </c>
    </row>
    <row r="19332" spans="1:1">
      <c r="A19332" s="27">
        <v>0</v>
      </c>
    </row>
    <row r="19333" spans="1:1">
      <c r="A19333" s="27">
        <v>0</v>
      </c>
    </row>
    <row r="19334" spans="1:1">
      <c r="A19334" s="27">
        <v>0</v>
      </c>
    </row>
    <row r="19335" spans="1:1">
      <c r="A19335" s="27">
        <v>1</v>
      </c>
    </row>
    <row r="19336" spans="1:1">
      <c r="A19336" s="27">
        <v>0</v>
      </c>
    </row>
    <row r="19337" spans="1:1">
      <c r="A19337" s="27">
        <v>11</v>
      </c>
    </row>
    <row r="19338" spans="1:1">
      <c r="A19338" s="27">
        <v>9.1</v>
      </c>
    </row>
    <row r="19339" spans="1:1">
      <c r="A19339" s="29">
        <v>0.64722222222222225</v>
      </c>
    </row>
    <row r="19340" spans="1:1">
      <c r="A19340" s="27">
        <v>21.9</v>
      </c>
    </row>
    <row r="19341" spans="1:1">
      <c r="A19341" s="28">
        <v>0</v>
      </c>
    </row>
    <row r="19342" spans="1:1">
      <c r="A19342" s="25">
        <v>872</v>
      </c>
    </row>
    <row r="19343" spans="1:1" ht="45">
      <c r="A19343" s="26" t="s">
        <v>901</v>
      </c>
    </row>
    <row r="19344" spans="1:1">
      <c r="A19344" s="27" t="s">
        <v>44</v>
      </c>
    </row>
    <row r="19345" spans="1:1">
      <c r="A19345" s="27">
        <v>10</v>
      </c>
    </row>
    <row r="19346" spans="1:1">
      <c r="A19346" s="27">
        <v>1</v>
      </c>
    </row>
    <row r="19347" spans="1:1">
      <c r="A19347" s="27">
        <v>0</v>
      </c>
    </row>
    <row r="19348" spans="1:1">
      <c r="A19348" s="27">
        <v>1</v>
      </c>
    </row>
    <row r="19349" spans="1:1">
      <c r="A19349" s="27">
        <v>-2</v>
      </c>
    </row>
    <row r="19350" spans="1:1">
      <c r="A19350" s="27">
        <v>6</v>
      </c>
    </row>
    <row r="19351" spans="1:1">
      <c r="A19351" s="27">
        <v>0.1</v>
      </c>
    </row>
    <row r="19352" spans="1:1">
      <c r="A19352" s="27">
        <v>0</v>
      </c>
    </row>
    <row r="19353" spans="1:1">
      <c r="A19353" s="27">
        <v>0</v>
      </c>
    </row>
    <row r="19354" spans="1:1">
      <c r="A19354" s="27">
        <v>0</v>
      </c>
    </row>
    <row r="19355" spans="1:1">
      <c r="A19355" s="27">
        <v>0</v>
      </c>
    </row>
    <row r="19356" spans="1:1">
      <c r="A19356" s="27">
        <v>0</v>
      </c>
    </row>
    <row r="19357" spans="1:1">
      <c r="A19357" s="27">
        <v>0</v>
      </c>
    </row>
    <row r="19358" spans="1:1">
      <c r="A19358" s="27">
        <v>16</v>
      </c>
    </row>
    <row r="19359" spans="1:1">
      <c r="A19359" s="27">
        <v>6.3</v>
      </c>
    </row>
    <row r="19360" spans="1:1">
      <c r="A19360" s="29">
        <v>0.45833333333333331</v>
      </c>
    </row>
    <row r="19361" spans="1:1">
      <c r="A19361" s="27">
        <v>14.5</v>
      </c>
    </row>
    <row r="19362" spans="1:1">
      <c r="A19362" s="28">
        <v>33.299999999999997</v>
      </c>
    </row>
    <row r="19363" spans="1:1">
      <c r="A19363" s="25">
        <v>873</v>
      </c>
    </row>
    <row r="19364" spans="1:1" ht="45">
      <c r="A19364" s="26" t="s">
        <v>231</v>
      </c>
    </row>
    <row r="19365" spans="1:1">
      <c r="A19365" s="27" t="s">
        <v>44</v>
      </c>
    </row>
    <row r="19366" spans="1:1">
      <c r="A19366" s="27">
        <v>14</v>
      </c>
    </row>
    <row r="19367" spans="1:1">
      <c r="A19367" s="27">
        <v>1</v>
      </c>
    </row>
    <row r="19368" spans="1:1">
      <c r="A19368" s="27">
        <v>0</v>
      </c>
    </row>
    <row r="19369" spans="1:1">
      <c r="A19369" s="27">
        <v>1</v>
      </c>
    </row>
    <row r="19370" spans="1:1">
      <c r="A19370" s="27">
        <v>-1</v>
      </c>
    </row>
    <row r="19371" spans="1:1">
      <c r="A19371" s="27">
        <v>4</v>
      </c>
    </row>
    <row r="19372" spans="1:1">
      <c r="A19372" s="27">
        <v>7.0000000000000007E-2</v>
      </c>
    </row>
    <row r="19373" spans="1:1">
      <c r="A19373" s="27">
        <v>0</v>
      </c>
    </row>
    <row r="19374" spans="1:1">
      <c r="A19374" s="27">
        <v>0</v>
      </c>
    </row>
    <row r="19375" spans="1:1">
      <c r="A19375" s="27">
        <v>0</v>
      </c>
    </row>
    <row r="19376" spans="1:1">
      <c r="A19376" s="27">
        <v>0</v>
      </c>
    </row>
    <row r="19377" spans="1:1">
      <c r="A19377" s="27">
        <v>0</v>
      </c>
    </row>
    <row r="19378" spans="1:1">
      <c r="A19378" s="27">
        <v>0</v>
      </c>
    </row>
    <row r="19379" spans="1:1">
      <c r="A19379" s="27">
        <v>13</v>
      </c>
    </row>
    <row r="19380" spans="1:1">
      <c r="A19380" s="27">
        <v>7.7</v>
      </c>
    </row>
    <row r="19381" spans="1:1">
      <c r="A19381" s="29">
        <v>0.43541666666666662</v>
      </c>
    </row>
    <row r="19382" spans="1:1">
      <c r="A19382" s="27">
        <v>16.600000000000001</v>
      </c>
    </row>
    <row r="19383" spans="1:1">
      <c r="A19383" s="28">
        <v>0</v>
      </c>
    </row>
    <row r="19384" spans="1:1">
      <c r="A19384" s="25">
        <v>874</v>
      </c>
    </row>
    <row r="19385" spans="1:1" ht="30">
      <c r="A19385" s="26" t="s">
        <v>1007</v>
      </c>
    </row>
    <row r="19386" spans="1:1">
      <c r="A19386" s="27" t="s">
        <v>653</v>
      </c>
    </row>
    <row r="19387" spans="1:1">
      <c r="A19387" s="27">
        <v>4</v>
      </c>
    </row>
    <row r="19388" spans="1:1">
      <c r="A19388" s="27">
        <v>1</v>
      </c>
    </row>
    <row r="19389" spans="1:1">
      <c r="A19389" s="27">
        <v>0</v>
      </c>
    </row>
    <row r="19390" spans="1:1">
      <c r="A19390" s="27">
        <v>1</v>
      </c>
    </row>
    <row r="19391" spans="1:1">
      <c r="A19391" s="27">
        <v>1</v>
      </c>
    </row>
    <row r="19392" spans="1:1">
      <c r="A19392" s="27">
        <v>0</v>
      </c>
    </row>
    <row r="19393" spans="1:1">
      <c r="A19393" s="27">
        <v>0.25</v>
      </c>
    </row>
    <row r="19394" spans="1:1">
      <c r="A19394" s="27">
        <v>0</v>
      </c>
    </row>
    <row r="19395" spans="1:1">
      <c r="A19395" s="27">
        <v>0</v>
      </c>
    </row>
    <row r="19396" spans="1:1">
      <c r="A19396" s="27">
        <v>0</v>
      </c>
    </row>
    <row r="19397" spans="1:1">
      <c r="A19397" s="27">
        <v>0</v>
      </c>
    </row>
    <row r="19398" spans="1:1">
      <c r="A19398" s="27">
        <v>0</v>
      </c>
    </row>
    <row r="19399" spans="1:1">
      <c r="A19399" s="27">
        <v>0</v>
      </c>
    </row>
    <row r="19400" spans="1:1">
      <c r="A19400" s="27">
        <v>5</v>
      </c>
    </row>
    <row r="19401" spans="1:1">
      <c r="A19401" s="27">
        <v>20</v>
      </c>
    </row>
    <row r="19402" spans="1:1">
      <c r="A19402" s="29">
        <v>0.35555555555555557</v>
      </c>
    </row>
    <row r="19403" spans="1:1">
      <c r="A19403" s="27">
        <v>12.8</v>
      </c>
    </row>
    <row r="19404" spans="1:1">
      <c r="A19404" s="28">
        <v>0</v>
      </c>
    </row>
    <row r="19405" spans="1:1">
      <c r="A19405" s="25">
        <v>875</v>
      </c>
    </row>
    <row r="19406" spans="1:1" ht="30">
      <c r="A19406" s="26" t="s">
        <v>957</v>
      </c>
    </row>
    <row r="19407" spans="1:1">
      <c r="A19407" s="27" t="s">
        <v>44</v>
      </c>
    </row>
    <row r="19408" spans="1:1">
      <c r="A19408" s="27">
        <v>3</v>
      </c>
    </row>
    <row r="19409" spans="1:1">
      <c r="A19409" s="27">
        <v>1</v>
      </c>
    </row>
    <row r="19410" spans="1:1">
      <c r="A19410" s="27">
        <v>0</v>
      </c>
    </row>
    <row r="19411" spans="1:1">
      <c r="A19411" s="27">
        <v>1</v>
      </c>
    </row>
    <row r="19412" spans="1:1">
      <c r="A19412" s="27">
        <v>-3</v>
      </c>
    </row>
    <row r="19413" spans="1:1">
      <c r="A19413" s="27">
        <v>2</v>
      </c>
    </row>
    <row r="19414" spans="1:1">
      <c r="A19414" s="27">
        <v>0.33</v>
      </c>
    </row>
    <row r="19415" spans="1:1">
      <c r="A19415" s="27">
        <v>0</v>
      </c>
    </row>
    <row r="19416" spans="1:1">
      <c r="A19416" s="27">
        <v>0</v>
      </c>
    </row>
    <row r="19417" spans="1:1">
      <c r="A19417" s="27">
        <v>0</v>
      </c>
    </row>
    <row r="19418" spans="1:1">
      <c r="A19418" s="27">
        <v>0</v>
      </c>
    </row>
    <row r="19419" spans="1:1">
      <c r="A19419" s="27">
        <v>0</v>
      </c>
    </row>
    <row r="19420" spans="1:1">
      <c r="A19420" s="27">
        <v>0</v>
      </c>
    </row>
    <row r="19421" spans="1:1">
      <c r="A19421" s="27">
        <v>3</v>
      </c>
    </row>
    <row r="19422" spans="1:1">
      <c r="A19422" s="27">
        <v>33.299999999999997</v>
      </c>
    </row>
    <row r="19423" spans="1:1">
      <c r="A19423" s="29">
        <v>0.35347222222222219</v>
      </c>
    </row>
    <row r="19424" spans="1:1">
      <c r="A19424" s="27">
        <v>12.7</v>
      </c>
    </row>
    <row r="19425" spans="1:1">
      <c r="A19425" s="28">
        <v>0</v>
      </c>
    </row>
    <row r="19426" spans="1:1">
      <c r="A19426" s="25">
        <v>876</v>
      </c>
    </row>
    <row r="19427" spans="1:1" ht="45">
      <c r="A19427" s="26" t="s">
        <v>1014</v>
      </c>
    </row>
    <row r="19428" spans="1:1">
      <c r="A19428" s="27" t="s">
        <v>43</v>
      </c>
    </row>
    <row r="19429" spans="1:1">
      <c r="A19429" s="27">
        <v>12</v>
      </c>
    </row>
    <row r="19430" spans="1:1">
      <c r="A19430" s="27">
        <v>1</v>
      </c>
    </row>
    <row r="19431" spans="1:1">
      <c r="A19431" s="27">
        <v>0</v>
      </c>
    </row>
    <row r="19432" spans="1:1">
      <c r="A19432" s="27">
        <v>1</v>
      </c>
    </row>
    <row r="19433" spans="1:1">
      <c r="A19433" s="27">
        <v>1</v>
      </c>
    </row>
    <row r="19434" spans="1:1">
      <c r="A19434" s="27">
        <v>2</v>
      </c>
    </row>
    <row r="19435" spans="1:1">
      <c r="A19435" s="27">
        <v>0.08</v>
      </c>
    </row>
    <row r="19436" spans="1:1">
      <c r="A19436" s="27">
        <v>0</v>
      </c>
    </row>
    <row r="19437" spans="1:1">
      <c r="A19437" s="27">
        <v>0</v>
      </c>
    </row>
    <row r="19438" spans="1:1">
      <c r="A19438" s="27">
        <v>0</v>
      </c>
    </row>
    <row r="19439" spans="1:1">
      <c r="A19439" s="27">
        <v>0</v>
      </c>
    </row>
    <row r="19440" spans="1:1">
      <c r="A19440" s="27">
        <v>0</v>
      </c>
    </row>
    <row r="19441" spans="1:1">
      <c r="A19441" s="27">
        <v>0</v>
      </c>
    </row>
    <row r="19442" spans="1:1">
      <c r="A19442" s="27">
        <v>9</v>
      </c>
    </row>
    <row r="19443" spans="1:1">
      <c r="A19443" s="27">
        <v>11.1</v>
      </c>
    </row>
    <row r="19444" spans="1:1">
      <c r="A19444" s="29">
        <v>0.3611111111111111</v>
      </c>
    </row>
    <row r="19445" spans="1:1">
      <c r="A19445" s="27">
        <v>12.3</v>
      </c>
    </row>
    <row r="19446" spans="1:1">
      <c r="A19446" s="28">
        <v>0</v>
      </c>
    </row>
    <row r="19447" spans="1:1">
      <c r="A19447" s="25">
        <v>877</v>
      </c>
    </row>
    <row r="19448" spans="1:1" ht="30">
      <c r="A19448" s="26" t="s">
        <v>90</v>
      </c>
    </row>
    <row r="19449" spans="1:1">
      <c r="A19449" s="27" t="s">
        <v>42</v>
      </c>
    </row>
    <row r="19450" spans="1:1">
      <c r="A19450" s="27">
        <v>22</v>
      </c>
    </row>
    <row r="19451" spans="1:1">
      <c r="A19451" s="27">
        <v>1</v>
      </c>
    </row>
    <row r="19452" spans="1:1">
      <c r="A19452" s="27">
        <v>0</v>
      </c>
    </row>
    <row r="19453" spans="1:1">
      <c r="A19453" s="27">
        <v>1</v>
      </c>
    </row>
    <row r="19454" spans="1:1">
      <c r="A19454" s="27">
        <v>-6</v>
      </c>
    </row>
    <row r="19455" spans="1:1">
      <c r="A19455" s="27">
        <v>2</v>
      </c>
    </row>
    <row r="19456" spans="1:1">
      <c r="A19456" s="27">
        <v>0.05</v>
      </c>
    </row>
    <row r="19457" spans="1:1">
      <c r="A19457" s="27">
        <v>0</v>
      </c>
    </row>
    <row r="19458" spans="1:1">
      <c r="A19458" s="27">
        <v>0</v>
      </c>
    </row>
    <row r="19459" spans="1:1">
      <c r="A19459" s="27">
        <v>0</v>
      </c>
    </row>
    <row r="19460" spans="1:1">
      <c r="A19460" s="27">
        <v>0</v>
      </c>
    </row>
    <row r="19461" spans="1:1">
      <c r="A19461" s="27">
        <v>0</v>
      </c>
    </row>
    <row r="19462" spans="1:1">
      <c r="A19462" s="27">
        <v>0</v>
      </c>
    </row>
    <row r="19463" spans="1:1">
      <c r="A19463" s="27">
        <v>22</v>
      </c>
    </row>
    <row r="19464" spans="1:1">
      <c r="A19464" s="27">
        <v>4.5</v>
      </c>
    </row>
    <row r="19465" spans="1:1">
      <c r="A19465" s="29">
        <v>0.60625000000000007</v>
      </c>
    </row>
    <row r="19466" spans="1:1">
      <c r="A19466" s="27">
        <v>18.8</v>
      </c>
    </row>
    <row r="19467" spans="1:1">
      <c r="A19467" s="28">
        <v>0</v>
      </c>
    </row>
    <row r="19468" spans="1:1">
      <c r="A19468" s="25">
        <v>878</v>
      </c>
    </row>
    <row r="19469" spans="1:1" ht="45">
      <c r="A19469" s="26" t="s">
        <v>969</v>
      </c>
    </row>
    <row r="19470" spans="1:1">
      <c r="A19470" s="27" t="s">
        <v>42</v>
      </c>
    </row>
    <row r="19471" spans="1:1">
      <c r="A19471" s="27">
        <v>2</v>
      </c>
    </row>
    <row r="19472" spans="1:1">
      <c r="A19472" s="27">
        <v>1</v>
      </c>
    </row>
    <row r="19473" spans="1:1">
      <c r="A19473" s="27">
        <v>0</v>
      </c>
    </row>
    <row r="19474" spans="1:1">
      <c r="A19474" s="27">
        <v>1</v>
      </c>
    </row>
    <row r="19475" spans="1:1">
      <c r="A19475" s="27">
        <v>1</v>
      </c>
    </row>
    <row r="19476" spans="1:1">
      <c r="A19476" s="27">
        <v>0</v>
      </c>
    </row>
    <row r="19477" spans="1:1">
      <c r="A19477" s="27">
        <v>0.5</v>
      </c>
    </row>
    <row r="19478" spans="1:1">
      <c r="A19478" s="27">
        <v>0</v>
      </c>
    </row>
    <row r="19479" spans="1:1">
      <c r="A19479" s="27">
        <v>0</v>
      </c>
    </row>
    <row r="19480" spans="1:1">
      <c r="A19480" s="27">
        <v>0</v>
      </c>
    </row>
    <row r="19481" spans="1:1">
      <c r="A19481" s="27">
        <v>0</v>
      </c>
    </row>
    <row r="19482" spans="1:1">
      <c r="A19482" s="27">
        <v>0</v>
      </c>
    </row>
    <row r="19483" spans="1:1">
      <c r="A19483" s="27">
        <v>0</v>
      </c>
    </row>
    <row r="19484" spans="1:1">
      <c r="A19484" s="27">
        <v>1</v>
      </c>
    </row>
    <row r="19485" spans="1:1">
      <c r="A19485" s="27">
        <v>100</v>
      </c>
    </row>
    <row r="19486" spans="1:1">
      <c r="A19486" s="29">
        <v>0.50208333333333333</v>
      </c>
    </row>
    <row r="19487" spans="1:1">
      <c r="A19487" s="27">
        <v>16.5</v>
      </c>
    </row>
    <row r="19488" spans="1:1">
      <c r="A19488" s="28">
        <v>0</v>
      </c>
    </row>
    <row r="19489" spans="1:1">
      <c r="A19489" s="25">
        <v>879</v>
      </c>
    </row>
    <row r="19490" spans="1:1" ht="30">
      <c r="A19490" s="26" t="s">
        <v>1012</v>
      </c>
    </row>
    <row r="19491" spans="1:1">
      <c r="A19491" s="27" t="s">
        <v>44</v>
      </c>
    </row>
    <row r="19492" spans="1:1">
      <c r="A19492" s="27">
        <v>5</v>
      </c>
    </row>
    <row r="19493" spans="1:1">
      <c r="A19493" s="27">
        <v>1</v>
      </c>
    </row>
    <row r="19494" spans="1:1">
      <c r="A19494" s="27">
        <v>0</v>
      </c>
    </row>
    <row r="19495" spans="1:1">
      <c r="A19495" s="27">
        <v>1</v>
      </c>
    </row>
    <row r="19496" spans="1:1">
      <c r="A19496" s="27">
        <v>0</v>
      </c>
    </row>
    <row r="19497" spans="1:1">
      <c r="A19497" s="27">
        <v>2</v>
      </c>
    </row>
    <row r="19498" spans="1:1">
      <c r="A19498" s="27">
        <v>0.2</v>
      </c>
    </row>
    <row r="19499" spans="1:1">
      <c r="A19499" s="27">
        <v>0</v>
      </c>
    </row>
    <row r="19500" spans="1:1">
      <c r="A19500" s="27">
        <v>0</v>
      </c>
    </row>
    <row r="19501" spans="1:1">
      <c r="A19501" s="27">
        <v>0</v>
      </c>
    </row>
    <row r="19502" spans="1:1">
      <c r="A19502" s="27">
        <v>0</v>
      </c>
    </row>
    <row r="19503" spans="1:1">
      <c r="A19503" s="27">
        <v>0</v>
      </c>
    </row>
    <row r="19504" spans="1:1">
      <c r="A19504" s="27">
        <v>0</v>
      </c>
    </row>
    <row r="19505" spans="1:1">
      <c r="A19505" s="27">
        <v>5</v>
      </c>
    </row>
    <row r="19506" spans="1:1">
      <c r="A19506" s="27">
        <v>20</v>
      </c>
    </row>
    <row r="19507" spans="1:1">
      <c r="A19507" s="29">
        <v>0.3979166666666667</v>
      </c>
    </row>
    <row r="19508" spans="1:1">
      <c r="A19508" s="27">
        <v>14.2</v>
      </c>
    </row>
    <row r="19509" spans="1:1">
      <c r="A19509" s="28">
        <v>0</v>
      </c>
    </row>
    <row r="19510" spans="1:1">
      <c r="A19510" s="25">
        <v>880</v>
      </c>
    </row>
    <row r="19511" spans="1:1" ht="30">
      <c r="A19511" s="26" t="s">
        <v>544</v>
      </c>
    </row>
    <row r="19512" spans="1:1">
      <c r="A19512" s="27" t="s">
        <v>653</v>
      </c>
    </row>
    <row r="19513" spans="1:1">
      <c r="A19513" s="27">
        <v>13</v>
      </c>
    </row>
    <row r="19514" spans="1:1">
      <c r="A19514" s="27">
        <v>1</v>
      </c>
    </row>
    <row r="19515" spans="1:1">
      <c r="A19515" s="27">
        <v>0</v>
      </c>
    </row>
    <row r="19516" spans="1:1">
      <c r="A19516" s="27">
        <v>1</v>
      </c>
    </row>
    <row r="19517" spans="1:1">
      <c r="A19517" s="27">
        <v>-4</v>
      </c>
    </row>
    <row r="19518" spans="1:1">
      <c r="A19518" s="27">
        <v>2</v>
      </c>
    </row>
    <row r="19519" spans="1:1">
      <c r="A19519" s="27">
        <v>0.08</v>
      </c>
    </row>
    <row r="19520" spans="1:1">
      <c r="A19520" s="27">
        <v>0</v>
      </c>
    </row>
    <row r="19521" spans="1:1">
      <c r="A19521" s="27">
        <v>0</v>
      </c>
    </row>
    <row r="19522" spans="1:1">
      <c r="A19522" s="27">
        <v>0</v>
      </c>
    </row>
    <row r="19523" spans="1:1">
      <c r="A19523" s="27">
        <v>0</v>
      </c>
    </row>
    <row r="19524" spans="1:1">
      <c r="A19524" s="27">
        <v>0</v>
      </c>
    </row>
    <row r="19525" spans="1:1">
      <c r="A19525" s="27">
        <v>0</v>
      </c>
    </row>
    <row r="19526" spans="1:1">
      <c r="A19526" s="27">
        <v>11</v>
      </c>
    </row>
    <row r="19527" spans="1:1">
      <c r="A19527" s="27">
        <v>9.1</v>
      </c>
    </row>
    <row r="19528" spans="1:1">
      <c r="A19528" s="29">
        <v>0.35902777777777778</v>
      </c>
    </row>
    <row r="19529" spans="1:1">
      <c r="A19529" s="27">
        <v>12.9</v>
      </c>
    </row>
    <row r="19530" spans="1:1">
      <c r="A19530" s="28">
        <v>38.5</v>
      </c>
    </row>
    <row r="19531" spans="1:1">
      <c r="A19531" s="25">
        <v>881</v>
      </c>
    </row>
    <row r="19532" spans="1:1" ht="30">
      <c r="A19532" s="26" t="s">
        <v>988</v>
      </c>
    </row>
    <row r="19533" spans="1:1">
      <c r="A19533" s="27" t="s">
        <v>43</v>
      </c>
    </row>
    <row r="19534" spans="1:1">
      <c r="A19534" s="27">
        <v>7</v>
      </c>
    </row>
    <row r="19535" spans="1:1">
      <c r="A19535" s="27">
        <v>1</v>
      </c>
    </row>
    <row r="19536" spans="1:1">
      <c r="A19536" s="27">
        <v>0</v>
      </c>
    </row>
    <row r="19537" spans="1:1">
      <c r="A19537" s="27">
        <v>1</v>
      </c>
    </row>
    <row r="19538" spans="1:1">
      <c r="A19538" s="27">
        <v>-6</v>
      </c>
    </row>
    <row r="19539" spans="1:1">
      <c r="A19539" s="27">
        <v>0</v>
      </c>
    </row>
    <row r="19540" spans="1:1">
      <c r="A19540" s="27">
        <v>0.14000000000000001</v>
      </c>
    </row>
    <row r="19541" spans="1:1">
      <c r="A19541" s="27">
        <v>0</v>
      </c>
    </row>
    <row r="19542" spans="1:1">
      <c r="A19542" s="27">
        <v>0</v>
      </c>
    </row>
    <row r="19543" spans="1:1">
      <c r="A19543" s="27">
        <v>0</v>
      </c>
    </row>
    <row r="19544" spans="1:1">
      <c r="A19544" s="27">
        <v>0</v>
      </c>
    </row>
    <row r="19545" spans="1:1">
      <c r="A19545" s="27">
        <v>0</v>
      </c>
    </row>
    <row r="19546" spans="1:1">
      <c r="A19546" s="27">
        <v>0</v>
      </c>
    </row>
    <row r="19547" spans="1:1">
      <c r="A19547" s="27">
        <v>17</v>
      </c>
    </row>
    <row r="19548" spans="1:1">
      <c r="A19548" s="27">
        <v>5.9</v>
      </c>
    </row>
    <row r="19549" spans="1:1">
      <c r="A19549" s="29">
        <v>0.46319444444444446</v>
      </c>
    </row>
    <row r="19550" spans="1:1">
      <c r="A19550" s="27">
        <v>16.399999999999999</v>
      </c>
    </row>
    <row r="19551" spans="1:1">
      <c r="A19551" s="28">
        <v>0</v>
      </c>
    </row>
    <row r="19552" spans="1:1">
      <c r="A19552" s="25">
        <v>882</v>
      </c>
    </row>
    <row r="19553" spans="1:1" ht="45">
      <c r="A19553" s="26" t="s">
        <v>1031</v>
      </c>
    </row>
    <row r="19554" spans="1:1">
      <c r="A19554" s="27" t="s">
        <v>42</v>
      </c>
    </row>
    <row r="19555" spans="1:1">
      <c r="A19555" s="27">
        <v>10</v>
      </c>
    </row>
    <row r="19556" spans="1:1">
      <c r="A19556" s="27">
        <v>1</v>
      </c>
    </row>
    <row r="19557" spans="1:1">
      <c r="A19557" s="27">
        <v>0</v>
      </c>
    </row>
    <row r="19558" spans="1:1">
      <c r="A19558" s="27">
        <v>1</v>
      </c>
    </row>
    <row r="19559" spans="1:1">
      <c r="A19559" s="27">
        <v>-4</v>
      </c>
    </row>
    <row r="19560" spans="1:1">
      <c r="A19560" s="27">
        <v>2</v>
      </c>
    </row>
    <row r="19561" spans="1:1">
      <c r="A19561" s="27">
        <v>0.1</v>
      </c>
    </row>
    <row r="19562" spans="1:1">
      <c r="A19562" s="27">
        <v>0</v>
      </c>
    </row>
    <row r="19563" spans="1:1">
      <c r="A19563" s="27">
        <v>0</v>
      </c>
    </row>
    <row r="19564" spans="1:1">
      <c r="A19564" s="27">
        <v>0</v>
      </c>
    </row>
    <row r="19565" spans="1:1">
      <c r="A19565" s="27">
        <v>0</v>
      </c>
    </row>
    <row r="19566" spans="1:1">
      <c r="A19566" s="27">
        <v>0</v>
      </c>
    </row>
    <row r="19567" spans="1:1">
      <c r="A19567" s="27">
        <v>0</v>
      </c>
    </row>
    <row r="19568" spans="1:1">
      <c r="A19568" s="27">
        <v>7</v>
      </c>
    </row>
    <row r="19569" spans="1:1">
      <c r="A19569" s="27">
        <v>14.3</v>
      </c>
    </row>
    <row r="19570" spans="1:1">
      <c r="A19570" s="29">
        <v>0.61597222222222225</v>
      </c>
    </row>
    <row r="19571" spans="1:1">
      <c r="A19571" s="27">
        <v>20.6</v>
      </c>
    </row>
    <row r="19572" spans="1:1">
      <c r="A19572" s="28">
        <v>0</v>
      </c>
    </row>
    <row r="19573" spans="1:1">
      <c r="A19573" s="25">
        <v>883</v>
      </c>
    </row>
    <row r="19574" spans="1:1" ht="45">
      <c r="A19574" s="26" t="s">
        <v>418</v>
      </c>
    </row>
    <row r="19575" spans="1:1">
      <c r="A19575" s="27" t="s">
        <v>653</v>
      </c>
    </row>
    <row r="19576" spans="1:1">
      <c r="A19576" s="27">
        <v>21</v>
      </c>
    </row>
    <row r="19577" spans="1:1">
      <c r="A19577" s="27">
        <v>1</v>
      </c>
    </row>
    <row r="19578" spans="1:1">
      <c r="A19578" s="27">
        <v>0</v>
      </c>
    </row>
    <row r="19579" spans="1:1">
      <c r="A19579" s="27">
        <v>1</v>
      </c>
    </row>
    <row r="19580" spans="1:1">
      <c r="A19580" s="27">
        <v>-2</v>
      </c>
    </row>
    <row r="19581" spans="1:1">
      <c r="A19581" s="27">
        <v>0</v>
      </c>
    </row>
    <row r="19582" spans="1:1">
      <c r="A19582" s="27">
        <v>0.05</v>
      </c>
    </row>
    <row r="19583" spans="1:1">
      <c r="A19583" s="27">
        <v>0</v>
      </c>
    </row>
    <row r="19584" spans="1:1">
      <c r="A19584" s="27">
        <v>0</v>
      </c>
    </row>
    <row r="19585" spans="1:1">
      <c r="A19585" s="27">
        <v>0</v>
      </c>
    </row>
    <row r="19586" spans="1:1">
      <c r="A19586" s="27">
        <v>0</v>
      </c>
    </row>
    <row r="19587" spans="1:1">
      <c r="A19587" s="27">
        <v>1</v>
      </c>
    </row>
    <row r="19588" spans="1:1">
      <c r="A19588" s="27">
        <v>0</v>
      </c>
    </row>
    <row r="19589" spans="1:1">
      <c r="A19589" s="27">
        <v>4</v>
      </c>
    </row>
    <row r="19590" spans="1:1">
      <c r="A19590" s="27">
        <v>25</v>
      </c>
    </row>
    <row r="19591" spans="1:1">
      <c r="A19591" s="29">
        <v>0.2590277777777778</v>
      </c>
    </row>
    <row r="19592" spans="1:1">
      <c r="A19592" s="27">
        <v>8.8000000000000007</v>
      </c>
    </row>
    <row r="19593" spans="1:1">
      <c r="A19593" s="28">
        <v>54.1</v>
      </c>
    </row>
    <row r="19594" spans="1:1">
      <c r="A19594" s="25">
        <v>884</v>
      </c>
    </row>
    <row r="19595" spans="1:1" ht="30">
      <c r="A19595" s="26" t="s">
        <v>1004</v>
      </c>
    </row>
    <row r="19596" spans="1:1">
      <c r="A19596" s="27" t="s">
        <v>42</v>
      </c>
    </row>
    <row r="19597" spans="1:1">
      <c r="A19597" s="27">
        <v>6</v>
      </c>
    </row>
    <row r="19598" spans="1:1">
      <c r="A19598" s="27">
        <v>1</v>
      </c>
    </row>
    <row r="19599" spans="1:1">
      <c r="A19599" s="27">
        <v>0</v>
      </c>
    </row>
    <row r="19600" spans="1:1">
      <c r="A19600" s="27">
        <v>1</v>
      </c>
    </row>
    <row r="19601" spans="1:1">
      <c r="A19601" s="27">
        <v>0</v>
      </c>
    </row>
    <row r="19602" spans="1:1">
      <c r="A19602" s="27">
        <v>4</v>
      </c>
    </row>
    <row r="19603" spans="1:1">
      <c r="A19603" s="27">
        <v>0.17</v>
      </c>
    </row>
    <row r="19604" spans="1:1">
      <c r="A19604" s="27">
        <v>0</v>
      </c>
    </row>
    <row r="19605" spans="1:1">
      <c r="A19605" s="27">
        <v>0</v>
      </c>
    </row>
    <row r="19606" spans="1:1">
      <c r="A19606" s="27">
        <v>0</v>
      </c>
    </row>
    <row r="19607" spans="1:1">
      <c r="A19607" s="27">
        <v>0</v>
      </c>
    </row>
    <row r="19608" spans="1:1">
      <c r="A19608" s="27">
        <v>0</v>
      </c>
    </row>
    <row r="19609" spans="1:1">
      <c r="A19609" s="27">
        <v>0</v>
      </c>
    </row>
    <row r="19610" spans="1:1">
      <c r="A19610" s="27">
        <v>10</v>
      </c>
    </row>
    <row r="19611" spans="1:1">
      <c r="A19611" s="27">
        <v>10</v>
      </c>
    </row>
    <row r="19612" spans="1:1">
      <c r="A19612" s="29">
        <v>0.6020833333333333</v>
      </c>
    </row>
    <row r="19613" spans="1:1">
      <c r="A19613" s="27">
        <v>18.7</v>
      </c>
    </row>
    <row r="19614" spans="1:1">
      <c r="A19614" s="28">
        <v>0</v>
      </c>
    </row>
    <row r="19615" spans="1:1">
      <c r="A19615" s="25">
        <v>885</v>
      </c>
    </row>
    <row r="19616" spans="1:1" ht="45">
      <c r="A19616" s="26" t="s">
        <v>1023</v>
      </c>
    </row>
    <row r="19617" spans="1:1">
      <c r="A19617" s="27" t="s">
        <v>653</v>
      </c>
    </row>
    <row r="19618" spans="1:1">
      <c r="A19618" s="27">
        <v>8</v>
      </c>
    </row>
    <row r="19619" spans="1:1">
      <c r="A19619" s="27">
        <v>0</v>
      </c>
    </row>
    <row r="19620" spans="1:1">
      <c r="A19620" s="27">
        <v>1</v>
      </c>
    </row>
    <row r="19621" spans="1:1">
      <c r="A19621" s="27">
        <v>1</v>
      </c>
    </row>
    <row r="19622" spans="1:1">
      <c r="A19622" s="27">
        <v>-5</v>
      </c>
    </row>
    <row r="19623" spans="1:1">
      <c r="A19623" s="27">
        <v>2</v>
      </c>
    </row>
    <row r="19624" spans="1:1">
      <c r="A19624" s="27">
        <v>0.13</v>
      </c>
    </row>
    <row r="19625" spans="1:1">
      <c r="A19625" s="27">
        <v>0</v>
      </c>
    </row>
    <row r="19626" spans="1:1">
      <c r="A19626" s="27">
        <v>0</v>
      </c>
    </row>
    <row r="19627" spans="1:1">
      <c r="A19627" s="27">
        <v>0</v>
      </c>
    </row>
    <row r="19628" spans="1:1">
      <c r="A19628" s="27">
        <v>0</v>
      </c>
    </row>
    <row r="19629" spans="1:1">
      <c r="A19629" s="27">
        <v>0</v>
      </c>
    </row>
    <row r="19630" spans="1:1">
      <c r="A19630" s="27">
        <v>0</v>
      </c>
    </row>
    <row r="19631" spans="1:1">
      <c r="A19631" s="27">
        <v>9</v>
      </c>
    </row>
    <row r="19632" spans="1:1">
      <c r="A19632" s="27">
        <v>0</v>
      </c>
    </row>
    <row r="19633" spans="1:1">
      <c r="A19633" s="29">
        <v>0.3520833333333333</v>
      </c>
    </row>
    <row r="19634" spans="1:1">
      <c r="A19634" s="27">
        <v>11</v>
      </c>
    </row>
    <row r="19635" spans="1:1">
      <c r="A19635" s="28">
        <v>0</v>
      </c>
    </row>
    <row r="19636" spans="1:1">
      <c r="A19636" s="25">
        <v>886</v>
      </c>
    </row>
    <row r="19637" spans="1:1" ht="45">
      <c r="A19637" s="26" t="s">
        <v>678</v>
      </c>
    </row>
    <row r="19638" spans="1:1">
      <c r="A19638" s="27" t="s">
        <v>653</v>
      </c>
    </row>
    <row r="19639" spans="1:1">
      <c r="A19639" s="27">
        <v>2</v>
      </c>
    </row>
    <row r="19640" spans="1:1">
      <c r="A19640" s="27">
        <v>0</v>
      </c>
    </row>
    <row r="19641" spans="1:1">
      <c r="A19641" s="27">
        <v>1</v>
      </c>
    </row>
    <row r="19642" spans="1:1">
      <c r="A19642" s="27">
        <v>1</v>
      </c>
    </row>
    <row r="19643" spans="1:1">
      <c r="A19643" s="27">
        <v>2</v>
      </c>
    </row>
    <row r="19644" spans="1:1">
      <c r="A19644" s="27">
        <v>2</v>
      </c>
    </row>
    <row r="19645" spans="1:1">
      <c r="A19645" s="27">
        <v>0.5</v>
      </c>
    </row>
    <row r="19646" spans="1:1">
      <c r="A19646" s="27">
        <v>0</v>
      </c>
    </row>
    <row r="19647" spans="1:1">
      <c r="A19647" s="27">
        <v>0</v>
      </c>
    </row>
    <row r="19648" spans="1:1">
      <c r="A19648" s="27">
        <v>0</v>
      </c>
    </row>
    <row r="19649" spans="1:1">
      <c r="A19649" s="27">
        <v>0</v>
      </c>
    </row>
    <row r="19650" spans="1:1">
      <c r="A19650" s="27">
        <v>0</v>
      </c>
    </row>
    <row r="19651" spans="1:1">
      <c r="A19651" s="27">
        <v>0</v>
      </c>
    </row>
    <row r="19652" spans="1:1">
      <c r="A19652" s="27">
        <v>3</v>
      </c>
    </row>
    <row r="19653" spans="1:1">
      <c r="A19653" s="27">
        <v>0</v>
      </c>
    </row>
    <row r="19654" spans="1:1">
      <c r="A19654" s="29">
        <v>0.50555555555555554</v>
      </c>
    </row>
    <row r="19655" spans="1:1">
      <c r="A19655" s="27">
        <v>16.5</v>
      </c>
    </row>
    <row r="19656" spans="1:1">
      <c r="A19656" s="28">
        <v>60</v>
      </c>
    </row>
    <row r="19657" spans="1:1">
      <c r="A19657" s="25">
        <v>887</v>
      </c>
    </row>
    <row r="19658" spans="1:1" ht="45">
      <c r="A19658" s="26" t="s">
        <v>994</v>
      </c>
    </row>
    <row r="19659" spans="1:1">
      <c r="A19659" s="27" t="s">
        <v>43</v>
      </c>
    </row>
    <row r="19660" spans="1:1">
      <c r="A19660" s="27">
        <v>2</v>
      </c>
    </row>
    <row r="19661" spans="1:1">
      <c r="A19661" s="27">
        <v>0</v>
      </c>
    </row>
    <row r="19662" spans="1:1">
      <c r="A19662" s="27">
        <v>1</v>
      </c>
    </row>
    <row r="19663" spans="1:1">
      <c r="A19663" s="27">
        <v>1</v>
      </c>
    </row>
    <row r="19664" spans="1:1">
      <c r="A19664" s="27">
        <v>1</v>
      </c>
    </row>
    <row r="19665" spans="1:1">
      <c r="A19665" s="27">
        <v>0</v>
      </c>
    </row>
    <row r="19666" spans="1:1">
      <c r="A19666" s="27">
        <v>0.5</v>
      </c>
    </row>
    <row r="19667" spans="1:1">
      <c r="A19667" s="27">
        <v>0</v>
      </c>
    </row>
    <row r="19668" spans="1:1">
      <c r="A19668" s="27">
        <v>0</v>
      </c>
    </row>
    <row r="19669" spans="1:1">
      <c r="A19669" s="27">
        <v>0</v>
      </c>
    </row>
    <row r="19670" spans="1:1">
      <c r="A19670" s="27">
        <v>0</v>
      </c>
    </row>
    <row r="19671" spans="1:1">
      <c r="A19671" s="27">
        <v>0</v>
      </c>
    </row>
    <row r="19672" spans="1:1">
      <c r="A19672" s="27">
        <v>0</v>
      </c>
    </row>
    <row r="19673" spans="1:1">
      <c r="A19673" s="27">
        <v>3</v>
      </c>
    </row>
    <row r="19674" spans="1:1">
      <c r="A19674" s="27">
        <v>0</v>
      </c>
    </row>
    <row r="19675" spans="1:1">
      <c r="A19675" s="29">
        <v>0.24374999999999999</v>
      </c>
    </row>
    <row r="19676" spans="1:1">
      <c r="A19676" s="27">
        <v>12.5</v>
      </c>
    </row>
    <row r="19677" spans="1:1">
      <c r="A19677" s="28">
        <v>0</v>
      </c>
    </row>
    <row r="19678" spans="1:1">
      <c r="A19678" s="25">
        <v>888</v>
      </c>
    </row>
    <row r="19679" spans="1:1" ht="45">
      <c r="A19679" s="26" t="s">
        <v>965</v>
      </c>
    </row>
    <row r="19680" spans="1:1">
      <c r="A19680" s="27" t="s">
        <v>44</v>
      </c>
    </row>
    <row r="19681" spans="1:1">
      <c r="A19681" s="27">
        <v>5</v>
      </c>
    </row>
    <row r="19682" spans="1:1">
      <c r="A19682" s="27">
        <v>0</v>
      </c>
    </row>
    <row r="19683" spans="1:1">
      <c r="A19683" s="27">
        <v>1</v>
      </c>
    </row>
    <row r="19684" spans="1:1">
      <c r="A19684" s="27">
        <v>1</v>
      </c>
    </row>
    <row r="19685" spans="1:1">
      <c r="A19685" s="27">
        <v>0</v>
      </c>
    </row>
    <row r="19686" spans="1:1">
      <c r="A19686" s="27">
        <v>0</v>
      </c>
    </row>
    <row r="19687" spans="1:1">
      <c r="A19687" s="27">
        <v>0.2</v>
      </c>
    </row>
    <row r="19688" spans="1:1">
      <c r="A19688" s="27">
        <v>0</v>
      </c>
    </row>
    <row r="19689" spans="1:1">
      <c r="A19689" s="27">
        <v>0</v>
      </c>
    </row>
    <row r="19690" spans="1:1">
      <c r="A19690" s="27">
        <v>0</v>
      </c>
    </row>
    <row r="19691" spans="1:1">
      <c r="A19691" s="27">
        <v>0</v>
      </c>
    </row>
    <row r="19692" spans="1:1">
      <c r="A19692" s="27">
        <v>0</v>
      </c>
    </row>
    <row r="19693" spans="1:1">
      <c r="A19693" s="27">
        <v>0</v>
      </c>
    </row>
    <row r="19694" spans="1:1">
      <c r="A19694" s="27">
        <v>1</v>
      </c>
    </row>
    <row r="19695" spans="1:1">
      <c r="A19695" s="27">
        <v>0</v>
      </c>
    </row>
    <row r="19696" spans="1:1">
      <c r="A19696" s="29">
        <v>0.28472222222222221</v>
      </c>
    </row>
    <row r="19697" spans="1:1">
      <c r="A19697" s="27">
        <v>10</v>
      </c>
    </row>
    <row r="19698" spans="1:1">
      <c r="A19698" s="28">
        <v>0</v>
      </c>
    </row>
    <row r="19699" spans="1:1">
      <c r="A19699" s="25">
        <v>889</v>
      </c>
    </row>
    <row r="19700" spans="1:1" ht="30">
      <c r="A19700" s="26" t="s">
        <v>776</v>
      </c>
    </row>
    <row r="19701" spans="1:1">
      <c r="A19701" s="27" t="s">
        <v>653</v>
      </c>
    </row>
    <row r="19702" spans="1:1">
      <c r="A19702" s="27">
        <v>15</v>
      </c>
    </row>
    <row r="19703" spans="1:1">
      <c r="A19703" s="27">
        <v>0</v>
      </c>
    </row>
    <row r="19704" spans="1:1">
      <c r="A19704" s="27">
        <v>1</v>
      </c>
    </row>
    <row r="19705" spans="1:1">
      <c r="A19705" s="27">
        <v>1</v>
      </c>
    </row>
    <row r="19706" spans="1:1">
      <c r="A19706" s="27">
        <v>-8</v>
      </c>
    </row>
    <row r="19707" spans="1:1">
      <c r="A19707" s="27">
        <v>8</v>
      </c>
    </row>
    <row r="19708" spans="1:1">
      <c r="A19708" s="27">
        <v>7.0000000000000007E-2</v>
      </c>
    </row>
    <row r="19709" spans="1:1">
      <c r="A19709" s="27">
        <v>0</v>
      </c>
    </row>
    <row r="19710" spans="1:1">
      <c r="A19710" s="27">
        <v>1</v>
      </c>
    </row>
    <row r="19711" spans="1:1">
      <c r="A19711" s="27">
        <v>0</v>
      </c>
    </row>
    <row r="19712" spans="1:1">
      <c r="A19712" s="27">
        <v>0</v>
      </c>
    </row>
    <row r="19713" spans="1:1">
      <c r="A19713" s="27">
        <v>0</v>
      </c>
    </row>
    <row r="19714" spans="1:1">
      <c r="A19714" s="27">
        <v>0</v>
      </c>
    </row>
    <row r="19715" spans="1:1">
      <c r="A19715" s="27">
        <v>19</v>
      </c>
    </row>
    <row r="19716" spans="1:1">
      <c r="A19716" s="27">
        <v>0</v>
      </c>
    </row>
    <row r="19717" spans="1:1">
      <c r="A19717" s="29">
        <v>0.45069444444444445</v>
      </c>
    </row>
    <row r="19718" spans="1:1">
      <c r="A19718" s="27">
        <v>15.9</v>
      </c>
    </row>
    <row r="19719" spans="1:1">
      <c r="A19719" s="28">
        <v>48.1</v>
      </c>
    </row>
    <row r="19720" spans="1:1">
      <c r="A19720" s="25">
        <v>890</v>
      </c>
    </row>
    <row r="19721" spans="1:1" ht="30">
      <c r="A19721" s="26" t="s">
        <v>1085</v>
      </c>
    </row>
    <row r="19722" spans="1:1">
      <c r="A19722" s="27" t="s">
        <v>42</v>
      </c>
    </row>
    <row r="19723" spans="1:1">
      <c r="A19723" s="27">
        <v>21</v>
      </c>
    </row>
    <row r="19724" spans="1:1">
      <c r="A19724" s="27">
        <v>0</v>
      </c>
    </row>
    <row r="19725" spans="1:1">
      <c r="A19725" s="27">
        <v>1</v>
      </c>
    </row>
    <row r="19726" spans="1:1">
      <c r="A19726" s="27">
        <v>1</v>
      </c>
    </row>
    <row r="19727" spans="1:1">
      <c r="A19727" s="27">
        <v>-6</v>
      </c>
    </row>
    <row r="19728" spans="1:1">
      <c r="A19728" s="27">
        <v>6</v>
      </c>
    </row>
    <row r="19729" spans="1:1">
      <c r="A19729" s="27">
        <v>0.05</v>
      </c>
    </row>
    <row r="19730" spans="1:1">
      <c r="A19730" s="27">
        <v>0</v>
      </c>
    </row>
    <row r="19731" spans="1:1">
      <c r="A19731" s="27">
        <v>0</v>
      </c>
    </row>
    <row r="19732" spans="1:1">
      <c r="A19732" s="27">
        <v>0</v>
      </c>
    </row>
    <row r="19733" spans="1:1">
      <c r="A19733" s="27">
        <v>1</v>
      </c>
    </row>
    <row r="19734" spans="1:1">
      <c r="A19734" s="27">
        <v>0</v>
      </c>
    </row>
    <row r="19735" spans="1:1">
      <c r="A19735" s="27">
        <v>0</v>
      </c>
    </row>
    <row r="19736" spans="1:1">
      <c r="A19736" s="27">
        <v>17</v>
      </c>
    </row>
    <row r="19737" spans="1:1">
      <c r="A19737" s="27">
        <v>0</v>
      </c>
    </row>
    <row r="19738" spans="1:1">
      <c r="A19738" s="29">
        <v>0.68541666666666667</v>
      </c>
    </row>
    <row r="19739" spans="1:1">
      <c r="A19739" s="27">
        <v>21.8</v>
      </c>
    </row>
    <row r="19740" spans="1:1">
      <c r="A19740" s="28">
        <v>0</v>
      </c>
    </row>
    <row r="19741" spans="1:1">
      <c r="A19741" s="25">
        <v>891</v>
      </c>
    </row>
    <row r="19742" spans="1:1" ht="30">
      <c r="A19742" s="26" t="s">
        <v>1021</v>
      </c>
    </row>
    <row r="19743" spans="1:1">
      <c r="A19743" s="27" t="s">
        <v>42</v>
      </c>
    </row>
    <row r="19744" spans="1:1">
      <c r="A19744" s="27">
        <v>10</v>
      </c>
    </row>
    <row r="19745" spans="1:1">
      <c r="A19745" s="27">
        <v>0</v>
      </c>
    </row>
    <row r="19746" spans="1:1">
      <c r="A19746" s="27">
        <v>1</v>
      </c>
    </row>
    <row r="19747" spans="1:1">
      <c r="A19747" s="27">
        <v>1</v>
      </c>
    </row>
    <row r="19748" spans="1:1">
      <c r="A19748" s="27">
        <v>-2</v>
      </c>
    </row>
    <row r="19749" spans="1:1">
      <c r="A19749" s="27">
        <v>4</v>
      </c>
    </row>
    <row r="19750" spans="1:1">
      <c r="A19750" s="27">
        <v>0.1</v>
      </c>
    </row>
    <row r="19751" spans="1:1">
      <c r="A19751" s="27">
        <v>0</v>
      </c>
    </row>
    <row r="19752" spans="1:1">
      <c r="A19752" s="27">
        <v>0</v>
      </c>
    </row>
    <row r="19753" spans="1:1">
      <c r="A19753" s="27">
        <v>0</v>
      </c>
    </row>
    <row r="19754" spans="1:1">
      <c r="A19754" s="27">
        <v>0</v>
      </c>
    </row>
    <row r="19755" spans="1:1">
      <c r="A19755" s="27">
        <v>0</v>
      </c>
    </row>
    <row r="19756" spans="1:1">
      <c r="A19756" s="27">
        <v>0</v>
      </c>
    </row>
    <row r="19757" spans="1:1">
      <c r="A19757" s="27">
        <v>6</v>
      </c>
    </row>
    <row r="19758" spans="1:1">
      <c r="A19758" s="27">
        <v>0</v>
      </c>
    </row>
    <row r="19759" spans="1:1">
      <c r="A19759" s="29">
        <v>0.51527777777777783</v>
      </c>
    </row>
    <row r="19760" spans="1:1">
      <c r="A19760" s="27">
        <v>16</v>
      </c>
    </row>
    <row r="19761" spans="1:1">
      <c r="A19761" s="28">
        <v>0</v>
      </c>
    </row>
    <row r="19762" spans="1:1">
      <c r="A19762" s="25">
        <v>892</v>
      </c>
    </row>
    <row r="19763" spans="1:1" ht="30">
      <c r="A19763" s="26" t="s">
        <v>336</v>
      </c>
    </row>
    <row r="19764" spans="1:1">
      <c r="A19764" s="27" t="s">
        <v>653</v>
      </c>
    </row>
    <row r="19765" spans="1:1">
      <c r="A19765" s="27">
        <v>15</v>
      </c>
    </row>
    <row r="19766" spans="1:1">
      <c r="A19766" s="27">
        <v>0</v>
      </c>
    </row>
    <row r="19767" spans="1:1">
      <c r="A19767" s="27">
        <v>1</v>
      </c>
    </row>
    <row r="19768" spans="1:1">
      <c r="A19768" s="27">
        <v>1</v>
      </c>
    </row>
    <row r="19769" spans="1:1">
      <c r="A19769" s="27">
        <v>-2</v>
      </c>
    </row>
    <row r="19770" spans="1:1">
      <c r="A19770" s="27">
        <v>2</v>
      </c>
    </row>
    <row r="19771" spans="1:1">
      <c r="A19771" s="27">
        <v>7.0000000000000007E-2</v>
      </c>
    </row>
    <row r="19772" spans="1:1">
      <c r="A19772" s="27">
        <v>0</v>
      </c>
    </row>
    <row r="19773" spans="1:1">
      <c r="A19773" s="27">
        <v>0</v>
      </c>
    </row>
    <row r="19774" spans="1:1">
      <c r="A19774" s="27">
        <v>0</v>
      </c>
    </row>
    <row r="19775" spans="1:1">
      <c r="A19775" s="27">
        <v>0</v>
      </c>
    </row>
    <row r="19776" spans="1:1">
      <c r="A19776" s="27">
        <v>0</v>
      </c>
    </row>
    <row r="19777" spans="1:1">
      <c r="A19777" s="27">
        <v>0</v>
      </c>
    </row>
    <row r="19778" spans="1:1">
      <c r="A19778" s="27">
        <v>9</v>
      </c>
    </row>
    <row r="19779" spans="1:1">
      <c r="A19779" s="27">
        <v>0</v>
      </c>
    </row>
    <row r="19780" spans="1:1">
      <c r="A19780" s="29">
        <v>0.3611111111111111</v>
      </c>
    </row>
    <row r="19781" spans="1:1">
      <c r="A19781" s="27">
        <v>12.4</v>
      </c>
    </row>
    <row r="19782" spans="1:1">
      <c r="A19782" s="28">
        <v>18.8</v>
      </c>
    </row>
    <row r="19783" spans="1:1">
      <c r="A19783" s="25">
        <v>893</v>
      </c>
    </row>
    <row r="19784" spans="1:1" ht="30">
      <c r="A19784" s="26" t="s">
        <v>1050</v>
      </c>
    </row>
    <row r="19785" spans="1:1">
      <c r="A19785" s="27" t="s">
        <v>44</v>
      </c>
    </row>
    <row r="19786" spans="1:1">
      <c r="A19786" s="27">
        <v>11</v>
      </c>
    </row>
    <row r="19787" spans="1:1">
      <c r="A19787" s="27">
        <v>0</v>
      </c>
    </row>
    <row r="19788" spans="1:1">
      <c r="A19788" s="27">
        <v>1</v>
      </c>
    </row>
    <row r="19789" spans="1:1">
      <c r="A19789" s="27">
        <v>1</v>
      </c>
    </row>
    <row r="19790" spans="1:1">
      <c r="A19790" s="27">
        <v>0</v>
      </c>
    </row>
    <row r="19791" spans="1:1">
      <c r="A19791" s="27">
        <v>32</v>
      </c>
    </row>
    <row r="19792" spans="1:1">
      <c r="A19792" s="27">
        <v>0.09</v>
      </c>
    </row>
    <row r="19793" spans="1:1">
      <c r="A19793" s="27">
        <v>0</v>
      </c>
    </row>
    <row r="19794" spans="1:1">
      <c r="A19794" s="27">
        <v>0</v>
      </c>
    </row>
    <row r="19795" spans="1:1">
      <c r="A19795" s="27">
        <v>0</v>
      </c>
    </row>
    <row r="19796" spans="1:1">
      <c r="A19796" s="27">
        <v>0</v>
      </c>
    </row>
    <row r="19797" spans="1:1">
      <c r="A19797" s="27">
        <v>0</v>
      </c>
    </row>
    <row r="19798" spans="1:1">
      <c r="A19798" s="27">
        <v>0</v>
      </c>
    </row>
    <row r="19799" spans="1:1">
      <c r="A19799" s="27">
        <v>6</v>
      </c>
    </row>
    <row r="19800" spans="1:1">
      <c r="A19800" s="27">
        <v>0</v>
      </c>
    </row>
    <row r="19801" spans="1:1">
      <c r="A19801" s="29">
        <v>0.27152777777777776</v>
      </c>
    </row>
    <row r="19802" spans="1:1">
      <c r="A19802" s="27">
        <v>9.6999999999999993</v>
      </c>
    </row>
    <row r="19803" spans="1:1">
      <c r="A19803" s="28">
        <v>0</v>
      </c>
    </row>
    <row r="19804" spans="1:1">
      <c r="A19804" s="25">
        <v>894</v>
      </c>
    </row>
    <row r="19805" spans="1:1" ht="45">
      <c r="A19805" s="26" t="s">
        <v>774</v>
      </c>
    </row>
    <row r="19806" spans="1:1">
      <c r="A19806" s="27" t="s">
        <v>653</v>
      </c>
    </row>
    <row r="19807" spans="1:1">
      <c r="A19807" s="27">
        <v>16</v>
      </c>
    </row>
    <row r="19808" spans="1:1">
      <c r="A19808" s="27">
        <v>0</v>
      </c>
    </row>
    <row r="19809" spans="1:1">
      <c r="A19809" s="27">
        <v>1</v>
      </c>
    </row>
    <row r="19810" spans="1:1">
      <c r="A19810" s="27">
        <v>1</v>
      </c>
    </row>
    <row r="19811" spans="1:1">
      <c r="A19811" s="27">
        <v>-3</v>
      </c>
    </row>
    <row r="19812" spans="1:1">
      <c r="A19812" s="27">
        <v>4</v>
      </c>
    </row>
    <row r="19813" spans="1:1">
      <c r="A19813" s="27">
        <v>0.06</v>
      </c>
    </row>
    <row r="19814" spans="1:1">
      <c r="A19814" s="27">
        <v>0</v>
      </c>
    </row>
    <row r="19815" spans="1:1">
      <c r="A19815" s="27">
        <v>0</v>
      </c>
    </row>
    <row r="19816" spans="1:1">
      <c r="A19816" s="27">
        <v>0</v>
      </c>
    </row>
    <row r="19817" spans="1:1">
      <c r="A19817" s="27">
        <v>0</v>
      </c>
    </row>
    <row r="19818" spans="1:1">
      <c r="A19818" s="27">
        <v>0</v>
      </c>
    </row>
    <row r="19819" spans="1:1">
      <c r="A19819" s="27">
        <v>0</v>
      </c>
    </row>
    <row r="19820" spans="1:1">
      <c r="A19820" s="27">
        <v>17</v>
      </c>
    </row>
    <row r="19821" spans="1:1">
      <c r="A19821" s="27">
        <v>0</v>
      </c>
    </row>
    <row r="19822" spans="1:1">
      <c r="A19822" s="29">
        <v>0.38680555555555557</v>
      </c>
    </row>
    <row r="19823" spans="1:1">
      <c r="A19823" s="27">
        <v>13.5</v>
      </c>
    </row>
    <row r="19824" spans="1:1">
      <c r="A19824" s="28">
        <v>48.3</v>
      </c>
    </row>
    <row r="19825" spans="1:1">
      <c r="A19825" s="25">
        <v>895</v>
      </c>
    </row>
    <row r="19826" spans="1:1" ht="45">
      <c r="A19826" s="26" t="s">
        <v>985</v>
      </c>
    </row>
    <row r="19827" spans="1:1">
      <c r="A19827" s="27" t="s">
        <v>42</v>
      </c>
    </row>
    <row r="19828" spans="1:1">
      <c r="A19828" s="27">
        <v>4</v>
      </c>
    </row>
    <row r="19829" spans="1:1">
      <c r="A19829" s="27">
        <v>0</v>
      </c>
    </row>
    <row r="19830" spans="1:1">
      <c r="A19830" s="27">
        <v>1</v>
      </c>
    </row>
    <row r="19831" spans="1:1">
      <c r="A19831" s="27">
        <v>1</v>
      </c>
    </row>
    <row r="19832" spans="1:1">
      <c r="A19832" s="27">
        <v>-1</v>
      </c>
    </row>
    <row r="19833" spans="1:1">
      <c r="A19833" s="27">
        <v>2</v>
      </c>
    </row>
    <row r="19834" spans="1:1">
      <c r="A19834" s="27">
        <v>0.25</v>
      </c>
    </row>
    <row r="19835" spans="1:1">
      <c r="A19835" s="27">
        <v>0</v>
      </c>
    </row>
    <row r="19836" spans="1:1">
      <c r="A19836" s="27">
        <v>0</v>
      </c>
    </row>
    <row r="19837" spans="1:1">
      <c r="A19837" s="27">
        <v>0</v>
      </c>
    </row>
    <row r="19838" spans="1:1">
      <c r="A19838" s="27">
        <v>0</v>
      </c>
    </row>
    <row r="19839" spans="1:1">
      <c r="A19839" s="27">
        <v>0</v>
      </c>
    </row>
    <row r="19840" spans="1:1">
      <c r="A19840" s="27">
        <v>0</v>
      </c>
    </row>
    <row r="19841" spans="1:1">
      <c r="A19841" s="27">
        <v>0</v>
      </c>
    </row>
    <row r="19842" spans="1:1">
      <c r="A19842" s="27">
        <v>0</v>
      </c>
    </row>
    <row r="19843" spans="1:1">
      <c r="A19843" s="29">
        <v>0.33333333333333331</v>
      </c>
    </row>
    <row r="19844" spans="1:1">
      <c r="A19844" s="27">
        <v>11.3</v>
      </c>
    </row>
    <row r="19845" spans="1:1">
      <c r="A19845" s="28">
        <v>0</v>
      </c>
    </row>
    <row r="19846" spans="1:1">
      <c r="A19846" s="25">
        <v>896</v>
      </c>
    </row>
    <row r="19847" spans="1:1" ht="30">
      <c r="A19847" s="26" t="s">
        <v>956</v>
      </c>
    </row>
    <row r="19848" spans="1:1">
      <c r="A19848" s="27" t="s">
        <v>42</v>
      </c>
    </row>
    <row r="19849" spans="1:1">
      <c r="A19849" s="27">
        <v>1</v>
      </c>
    </row>
    <row r="19850" spans="1:1">
      <c r="A19850" s="27">
        <v>0</v>
      </c>
    </row>
    <row r="19851" spans="1:1">
      <c r="A19851" s="27">
        <v>1</v>
      </c>
    </row>
    <row r="19852" spans="1:1">
      <c r="A19852" s="27">
        <v>1</v>
      </c>
    </row>
    <row r="19853" spans="1:1">
      <c r="A19853" s="27">
        <v>-1</v>
      </c>
    </row>
    <row r="19854" spans="1:1">
      <c r="A19854" s="27">
        <v>0</v>
      </c>
    </row>
    <row r="19855" spans="1:1">
      <c r="A19855" s="27">
        <v>1</v>
      </c>
    </row>
    <row r="19856" spans="1:1">
      <c r="A19856" s="27">
        <v>0</v>
      </c>
    </row>
    <row r="19857" spans="1:1">
      <c r="A19857" s="27">
        <v>0</v>
      </c>
    </row>
    <row r="19858" spans="1:1">
      <c r="A19858" s="27">
        <v>0</v>
      </c>
    </row>
    <row r="19859" spans="1:1">
      <c r="A19859" s="27">
        <v>0</v>
      </c>
    </row>
    <row r="19860" spans="1:1">
      <c r="A19860" s="27">
        <v>0</v>
      </c>
    </row>
    <row r="19861" spans="1:1">
      <c r="A19861" s="27">
        <v>0</v>
      </c>
    </row>
    <row r="19862" spans="1:1">
      <c r="A19862" s="27">
        <v>1</v>
      </c>
    </row>
    <row r="19863" spans="1:1">
      <c r="A19863" s="27">
        <v>0</v>
      </c>
    </row>
    <row r="19864" spans="1:1">
      <c r="A19864" s="29">
        <v>0.87708333333333333</v>
      </c>
    </row>
    <row r="19865" spans="1:1">
      <c r="A19865" s="27">
        <v>22</v>
      </c>
    </row>
    <row r="19866" spans="1:1">
      <c r="A19866" s="28">
        <v>0</v>
      </c>
    </row>
    <row r="19867" spans="1:1">
      <c r="A19867" s="25">
        <v>897</v>
      </c>
    </row>
    <row r="19868" spans="1:1" ht="45">
      <c r="A19868" s="26" t="s">
        <v>1045</v>
      </c>
    </row>
    <row r="19869" spans="1:1">
      <c r="A19869" s="27" t="s">
        <v>44</v>
      </c>
    </row>
    <row r="19870" spans="1:1">
      <c r="A19870" s="27">
        <v>6</v>
      </c>
    </row>
    <row r="19871" spans="1:1">
      <c r="A19871" s="27">
        <v>0</v>
      </c>
    </row>
    <row r="19872" spans="1:1">
      <c r="A19872" s="27">
        <v>1</v>
      </c>
    </row>
    <row r="19873" spans="1:1">
      <c r="A19873" s="27">
        <v>1</v>
      </c>
    </row>
    <row r="19874" spans="1:1">
      <c r="A19874" s="27">
        <v>1</v>
      </c>
    </row>
    <row r="19875" spans="1:1">
      <c r="A19875" s="27">
        <v>0</v>
      </c>
    </row>
    <row r="19876" spans="1:1">
      <c r="A19876" s="27">
        <v>0.17</v>
      </c>
    </row>
    <row r="19877" spans="1:1">
      <c r="A19877" s="27">
        <v>0</v>
      </c>
    </row>
    <row r="19878" spans="1:1">
      <c r="A19878" s="27">
        <v>0</v>
      </c>
    </row>
    <row r="19879" spans="1:1">
      <c r="A19879" s="27">
        <v>0</v>
      </c>
    </row>
    <row r="19880" spans="1:1">
      <c r="A19880" s="27">
        <v>0</v>
      </c>
    </row>
    <row r="19881" spans="1:1">
      <c r="A19881" s="27">
        <v>0</v>
      </c>
    </row>
    <row r="19882" spans="1:1">
      <c r="A19882" s="27">
        <v>0</v>
      </c>
    </row>
    <row r="19883" spans="1:1">
      <c r="A19883" s="27">
        <v>5</v>
      </c>
    </row>
    <row r="19884" spans="1:1">
      <c r="A19884" s="27">
        <v>0</v>
      </c>
    </row>
    <row r="19885" spans="1:1">
      <c r="A19885" s="29">
        <v>0.32569444444444445</v>
      </c>
    </row>
    <row r="19886" spans="1:1">
      <c r="A19886" s="27">
        <v>11.8</v>
      </c>
    </row>
    <row r="19887" spans="1:1">
      <c r="A19887" s="28">
        <v>0</v>
      </c>
    </row>
    <row r="19888" spans="1:1">
      <c r="A19888" s="25">
        <v>898</v>
      </c>
    </row>
    <row r="19889" spans="1:1" ht="30">
      <c r="A19889" s="26" t="s">
        <v>1040</v>
      </c>
    </row>
    <row r="19890" spans="1:1">
      <c r="A19890" s="27" t="s">
        <v>44</v>
      </c>
    </row>
    <row r="19891" spans="1:1">
      <c r="A19891" s="27">
        <v>8</v>
      </c>
    </row>
    <row r="19892" spans="1:1">
      <c r="A19892" s="27">
        <v>0</v>
      </c>
    </row>
    <row r="19893" spans="1:1">
      <c r="A19893" s="27">
        <v>1</v>
      </c>
    </row>
    <row r="19894" spans="1:1">
      <c r="A19894" s="27">
        <v>1</v>
      </c>
    </row>
    <row r="19895" spans="1:1">
      <c r="A19895" s="27">
        <v>-1</v>
      </c>
    </row>
    <row r="19896" spans="1:1">
      <c r="A19896" s="27">
        <v>21</v>
      </c>
    </row>
    <row r="19897" spans="1:1">
      <c r="A19897" s="27">
        <v>0.13</v>
      </c>
    </row>
    <row r="19898" spans="1:1">
      <c r="A19898" s="27">
        <v>0</v>
      </c>
    </row>
    <row r="19899" spans="1:1">
      <c r="A19899" s="27">
        <v>0</v>
      </c>
    </row>
    <row r="19900" spans="1:1">
      <c r="A19900" s="27">
        <v>0</v>
      </c>
    </row>
    <row r="19901" spans="1:1">
      <c r="A19901" s="27">
        <v>0</v>
      </c>
    </row>
    <row r="19902" spans="1:1">
      <c r="A19902" s="27">
        <v>0</v>
      </c>
    </row>
    <row r="19903" spans="1:1">
      <c r="A19903" s="27">
        <v>0</v>
      </c>
    </row>
    <row r="19904" spans="1:1">
      <c r="A19904" s="27">
        <v>3</v>
      </c>
    </row>
    <row r="19905" spans="1:1">
      <c r="A19905" s="27">
        <v>0</v>
      </c>
    </row>
    <row r="19906" spans="1:1">
      <c r="A19906" s="29">
        <v>0.21736111111111112</v>
      </c>
    </row>
    <row r="19907" spans="1:1">
      <c r="A19907" s="27">
        <v>8.8000000000000007</v>
      </c>
    </row>
    <row r="19908" spans="1:1">
      <c r="A19908" s="28">
        <v>0</v>
      </c>
    </row>
    <row r="19909" spans="1:1">
      <c r="A19909" s="25">
        <v>899</v>
      </c>
    </row>
    <row r="19910" spans="1:1" ht="30">
      <c r="A19910" s="26" t="s">
        <v>980</v>
      </c>
    </row>
    <row r="19911" spans="1:1">
      <c r="A19911" s="27" t="s">
        <v>653</v>
      </c>
    </row>
    <row r="19912" spans="1:1">
      <c r="A19912" s="27">
        <v>1</v>
      </c>
    </row>
    <row r="19913" spans="1:1">
      <c r="A19913" s="27">
        <v>0</v>
      </c>
    </row>
    <row r="19914" spans="1:1">
      <c r="A19914" s="27">
        <v>1</v>
      </c>
    </row>
    <row r="19915" spans="1:1">
      <c r="A19915" s="27">
        <v>1</v>
      </c>
    </row>
    <row r="19916" spans="1:1">
      <c r="A19916" s="27">
        <v>1</v>
      </c>
    </row>
    <row r="19917" spans="1:1">
      <c r="A19917" s="27">
        <v>0</v>
      </c>
    </row>
    <row r="19918" spans="1:1">
      <c r="A19918" s="27">
        <v>1</v>
      </c>
    </row>
    <row r="19919" spans="1:1">
      <c r="A19919" s="27">
        <v>0</v>
      </c>
    </row>
    <row r="19920" spans="1:1">
      <c r="A19920" s="27">
        <v>0</v>
      </c>
    </row>
    <row r="19921" spans="1:1">
      <c r="A19921" s="27">
        <v>0</v>
      </c>
    </row>
    <row r="19922" spans="1:1">
      <c r="A19922" s="27">
        <v>0</v>
      </c>
    </row>
    <row r="19923" spans="1:1">
      <c r="A19923" s="27">
        <v>0</v>
      </c>
    </row>
    <row r="19924" spans="1:1">
      <c r="A19924" s="27">
        <v>0</v>
      </c>
    </row>
    <row r="19925" spans="1:1">
      <c r="A19925" s="27">
        <v>0</v>
      </c>
    </row>
    <row r="19926" spans="1:1">
      <c r="A19926" s="27">
        <v>0</v>
      </c>
    </row>
    <row r="19927" spans="1:1">
      <c r="A19927" s="29">
        <v>0.62083333333333335</v>
      </c>
    </row>
    <row r="19928" spans="1:1">
      <c r="A19928" s="27">
        <v>20</v>
      </c>
    </row>
    <row r="19929" spans="1:1">
      <c r="A19929" s="28">
        <v>0</v>
      </c>
    </row>
    <row r="19930" spans="1:1">
      <c r="A19930" s="25">
        <v>900</v>
      </c>
    </row>
    <row r="19931" spans="1:1" ht="30">
      <c r="A19931" s="26" t="s">
        <v>953</v>
      </c>
    </row>
    <row r="19932" spans="1:1">
      <c r="A19932" s="27" t="s">
        <v>43</v>
      </c>
    </row>
    <row r="19933" spans="1:1">
      <c r="A19933" s="27">
        <v>2</v>
      </c>
    </row>
    <row r="19934" spans="1:1">
      <c r="A19934" s="27">
        <v>0</v>
      </c>
    </row>
    <row r="19935" spans="1:1">
      <c r="A19935" s="27">
        <v>1</v>
      </c>
    </row>
    <row r="19936" spans="1:1">
      <c r="A19936" s="27">
        <v>1</v>
      </c>
    </row>
    <row r="19937" spans="1:1">
      <c r="A19937" s="27">
        <v>0</v>
      </c>
    </row>
    <row r="19938" spans="1:1">
      <c r="A19938" s="27">
        <v>0</v>
      </c>
    </row>
    <row r="19939" spans="1:1">
      <c r="A19939" s="27">
        <v>0.5</v>
      </c>
    </row>
    <row r="19940" spans="1:1">
      <c r="A19940" s="27">
        <v>0</v>
      </c>
    </row>
    <row r="19941" spans="1:1">
      <c r="A19941" s="27">
        <v>0</v>
      </c>
    </row>
    <row r="19942" spans="1:1">
      <c r="A19942" s="27">
        <v>0</v>
      </c>
    </row>
    <row r="19943" spans="1:1">
      <c r="A19943" s="27">
        <v>0</v>
      </c>
    </row>
    <row r="19944" spans="1:1">
      <c r="A19944" s="27">
        <v>0</v>
      </c>
    </row>
    <row r="19945" spans="1:1">
      <c r="A19945" s="27">
        <v>0</v>
      </c>
    </row>
    <row r="19946" spans="1:1">
      <c r="A19946" s="27">
        <v>6</v>
      </c>
    </row>
    <row r="19947" spans="1:1">
      <c r="A19947" s="27">
        <v>0</v>
      </c>
    </row>
    <row r="19948" spans="1:1">
      <c r="A19948" s="29">
        <v>0.60138888888888886</v>
      </c>
    </row>
    <row r="19949" spans="1:1">
      <c r="A19949" s="27">
        <v>18.5</v>
      </c>
    </row>
    <row r="19950" spans="1:1">
      <c r="A19950" s="28">
        <v>0</v>
      </c>
    </row>
    <row r="19951" spans="1:1">
      <c r="A19951" s="25">
        <v>901</v>
      </c>
    </row>
    <row r="19952" spans="1:1" ht="30">
      <c r="A19952" s="26" t="s">
        <v>982</v>
      </c>
    </row>
    <row r="19953" spans="1:1">
      <c r="A19953" s="27" t="s">
        <v>42</v>
      </c>
    </row>
    <row r="19954" spans="1:1">
      <c r="A19954" s="27">
        <v>3</v>
      </c>
    </row>
    <row r="19955" spans="1:1">
      <c r="A19955" s="27">
        <v>0</v>
      </c>
    </row>
    <row r="19956" spans="1:1">
      <c r="A19956" s="27">
        <v>1</v>
      </c>
    </row>
    <row r="19957" spans="1:1">
      <c r="A19957" s="27">
        <v>1</v>
      </c>
    </row>
    <row r="19958" spans="1:1">
      <c r="A19958" s="27">
        <v>-1</v>
      </c>
    </row>
    <row r="19959" spans="1:1">
      <c r="A19959" s="27">
        <v>0</v>
      </c>
    </row>
    <row r="19960" spans="1:1">
      <c r="A19960" s="27">
        <v>0.33</v>
      </c>
    </row>
    <row r="19961" spans="1:1">
      <c r="A19961" s="27">
        <v>0</v>
      </c>
    </row>
    <row r="19962" spans="1:1">
      <c r="A19962" s="27">
        <v>0</v>
      </c>
    </row>
    <row r="19963" spans="1:1">
      <c r="A19963" s="27">
        <v>0</v>
      </c>
    </row>
    <row r="19964" spans="1:1">
      <c r="A19964" s="27">
        <v>1</v>
      </c>
    </row>
    <row r="19965" spans="1:1">
      <c r="A19965" s="27">
        <v>0</v>
      </c>
    </row>
    <row r="19966" spans="1:1">
      <c r="A19966" s="27">
        <v>0</v>
      </c>
    </row>
    <row r="19967" spans="1:1">
      <c r="A19967" s="27">
        <v>0</v>
      </c>
    </row>
    <row r="19968" spans="1:1">
      <c r="A19968" s="27">
        <v>0</v>
      </c>
    </row>
    <row r="19969" spans="1:1">
      <c r="A19969" s="29">
        <v>0.54513888888888895</v>
      </c>
    </row>
    <row r="19970" spans="1:1">
      <c r="A19970" s="27">
        <v>17.7</v>
      </c>
    </row>
    <row r="19971" spans="1:1">
      <c r="A19971" s="28">
        <v>0</v>
      </c>
    </row>
    <row r="19972" spans="1:1">
      <c r="A19972" s="25">
        <v>902</v>
      </c>
    </row>
    <row r="19973" spans="1:1" ht="45">
      <c r="A19973" s="26" t="s">
        <v>701</v>
      </c>
    </row>
    <row r="19974" spans="1:1">
      <c r="A19974" s="27" t="s">
        <v>653</v>
      </c>
    </row>
    <row r="19975" spans="1:1">
      <c r="A19975" s="27">
        <v>8</v>
      </c>
    </row>
    <row r="19976" spans="1:1">
      <c r="A19976" s="27">
        <v>0</v>
      </c>
    </row>
    <row r="19977" spans="1:1">
      <c r="A19977" s="27">
        <v>1</v>
      </c>
    </row>
    <row r="19978" spans="1:1">
      <c r="A19978" s="27">
        <v>1</v>
      </c>
    </row>
    <row r="19979" spans="1:1">
      <c r="A19979" s="27">
        <v>-2</v>
      </c>
    </row>
    <row r="19980" spans="1:1">
      <c r="A19980" s="27">
        <v>0</v>
      </c>
    </row>
    <row r="19981" spans="1:1">
      <c r="A19981" s="27">
        <v>0.13</v>
      </c>
    </row>
    <row r="19982" spans="1:1">
      <c r="A19982" s="27">
        <v>0</v>
      </c>
    </row>
    <row r="19983" spans="1:1">
      <c r="A19983" s="27">
        <v>0</v>
      </c>
    </row>
    <row r="19984" spans="1:1">
      <c r="A19984" s="27">
        <v>0</v>
      </c>
    </row>
    <row r="19985" spans="1:1">
      <c r="A19985" s="27">
        <v>0</v>
      </c>
    </row>
    <row r="19986" spans="1:1">
      <c r="A19986" s="27">
        <v>0</v>
      </c>
    </row>
    <row r="19987" spans="1:1">
      <c r="A19987" s="27">
        <v>0</v>
      </c>
    </row>
    <row r="19988" spans="1:1">
      <c r="A19988" s="27">
        <v>9</v>
      </c>
    </row>
    <row r="19989" spans="1:1">
      <c r="A19989" s="27">
        <v>0</v>
      </c>
    </row>
    <row r="19990" spans="1:1">
      <c r="A19990" s="29">
        <v>0.41597222222222219</v>
      </c>
    </row>
    <row r="19991" spans="1:1">
      <c r="A19991" s="27">
        <v>13.8</v>
      </c>
    </row>
    <row r="19992" spans="1:1">
      <c r="A19992" s="28">
        <v>52.4</v>
      </c>
    </row>
    <row r="19993" spans="1:1">
      <c r="A19993" s="25">
        <v>903</v>
      </c>
    </row>
    <row r="19994" spans="1:1" ht="30">
      <c r="A19994" s="26" t="s">
        <v>690</v>
      </c>
    </row>
    <row r="19995" spans="1:1">
      <c r="A19995" s="27" t="s">
        <v>653</v>
      </c>
    </row>
    <row r="19996" spans="1:1">
      <c r="A19996" s="27">
        <v>15</v>
      </c>
    </row>
    <row r="19997" spans="1:1">
      <c r="A19997" s="27">
        <v>0</v>
      </c>
    </row>
    <row r="19998" spans="1:1">
      <c r="A19998" s="27">
        <v>1</v>
      </c>
    </row>
    <row r="19999" spans="1:1">
      <c r="A19999" s="27">
        <v>1</v>
      </c>
    </row>
    <row r="20000" spans="1:1">
      <c r="A20000" s="27">
        <v>-6</v>
      </c>
    </row>
    <row r="20001" spans="1:1">
      <c r="A20001" s="27">
        <v>7</v>
      </c>
    </row>
    <row r="20002" spans="1:1">
      <c r="A20002" s="27">
        <v>7.0000000000000007E-2</v>
      </c>
    </row>
    <row r="20003" spans="1:1">
      <c r="A20003" s="27">
        <v>0</v>
      </c>
    </row>
    <row r="20004" spans="1:1">
      <c r="A20004" s="27">
        <v>0</v>
      </c>
    </row>
    <row r="20005" spans="1:1">
      <c r="A20005" s="27">
        <v>0</v>
      </c>
    </row>
    <row r="20006" spans="1:1">
      <c r="A20006" s="27">
        <v>0</v>
      </c>
    </row>
    <row r="20007" spans="1:1">
      <c r="A20007" s="27">
        <v>0</v>
      </c>
    </row>
    <row r="20008" spans="1:1">
      <c r="A20008" s="27">
        <v>0</v>
      </c>
    </row>
    <row r="20009" spans="1:1">
      <c r="A20009" s="27">
        <v>12</v>
      </c>
    </row>
    <row r="20010" spans="1:1">
      <c r="A20010" s="27">
        <v>0</v>
      </c>
    </row>
    <row r="20011" spans="1:1">
      <c r="A20011" s="29">
        <v>0.35138888888888892</v>
      </c>
    </row>
    <row r="20012" spans="1:1">
      <c r="A20012" s="27">
        <v>13.7</v>
      </c>
    </row>
    <row r="20013" spans="1:1">
      <c r="A20013" s="28">
        <v>53.8</v>
      </c>
    </row>
    <row r="20014" spans="1:1">
      <c r="A20014" s="25">
        <v>904</v>
      </c>
    </row>
    <row r="20015" spans="1:1" ht="45">
      <c r="A20015" s="26" t="s">
        <v>820</v>
      </c>
    </row>
    <row r="20016" spans="1:1">
      <c r="A20016" s="27" t="s">
        <v>653</v>
      </c>
    </row>
    <row r="20017" spans="1:1">
      <c r="A20017" s="27">
        <v>5</v>
      </c>
    </row>
    <row r="20018" spans="1:1">
      <c r="A20018" s="27">
        <v>0</v>
      </c>
    </row>
    <row r="20019" spans="1:1">
      <c r="A20019" s="27">
        <v>1</v>
      </c>
    </row>
    <row r="20020" spans="1:1">
      <c r="A20020" s="27">
        <v>1</v>
      </c>
    </row>
    <row r="20021" spans="1:1">
      <c r="A20021" s="27">
        <v>-2</v>
      </c>
    </row>
    <row r="20022" spans="1:1">
      <c r="A20022" s="27">
        <v>0</v>
      </c>
    </row>
    <row r="20023" spans="1:1">
      <c r="A20023" s="27">
        <v>0.2</v>
      </c>
    </row>
    <row r="20024" spans="1:1">
      <c r="A20024" s="27">
        <v>0</v>
      </c>
    </row>
    <row r="20025" spans="1:1">
      <c r="A20025" s="27">
        <v>0</v>
      </c>
    </row>
    <row r="20026" spans="1:1">
      <c r="A20026" s="27">
        <v>0</v>
      </c>
    </row>
    <row r="20027" spans="1:1">
      <c r="A20027" s="27">
        <v>0</v>
      </c>
    </row>
    <row r="20028" spans="1:1">
      <c r="A20028" s="27">
        <v>0</v>
      </c>
    </row>
    <row r="20029" spans="1:1">
      <c r="A20029" s="27">
        <v>0</v>
      </c>
    </row>
    <row r="20030" spans="1:1">
      <c r="A20030" s="27">
        <v>6</v>
      </c>
    </row>
    <row r="20031" spans="1:1">
      <c r="A20031" s="27">
        <v>0</v>
      </c>
    </row>
    <row r="20032" spans="1:1">
      <c r="A20032" s="29">
        <v>0.48333333333333334</v>
      </c>
    </row>
    <row r="20033" spans="1:1">
      <c r="A20033" s="27">
        <v>15</v>
      </c>
    </row>
    <row r="20034" spans="1:1">
      <c r="A20034" s="28">
        <v>44.4</v>
      </c>
    </row>
    <row r="20035" spans="1:1">
      <c r="A20035" s="25">
        <v>905</v>
      </c>
    </row>
    <row r="20036" spans="1:1" ht="30">
      <c r="A20036" s="26" t="s">
        <v>949</v>
      </c>
    </row>
    <row r="20037" spans="1:1">
      <c r="A20037" s="27" t="s">
        <v>44</v>
      </c>
    </row>
    <row r="20038" spans="1:1">
      <c r="A20038" s="27">
        <v>3</v>
      </c>
    </row>
    <row r="20039" spans="1:1">
      <c r="A20039" s="27">
        <v>0</v>
      </c>
    </row>
    <row r="20040" spans="1:1">
      <c r="A20040" s="27">
        <v>1</v>
      </c>
    </row>
    <row r="20041" spans="1:1">
      <c r="A20041" s="27">
        <v>1</v>
      </c>
    </row>
    <row r="20042" spans="1:1">
      <c r="A20042" s="27">
        <v>-1</v>
      </c>
    </row>
    <row r="20043" spans="1:1">
      <c r="A20043" s="27">
        <v>0</v>
      </c>
    </row>
    <row r="20044" spans="1:1">
      <c r="A20044" s="27">
        <v>0.33</v>
      </c>
    </row>
    <row r="20045" spans="1:1">
      <c r="A20045" s="27">
        <v>0</v>
      </c>
    </row>
    <row r="20046" spans="1:1">
      <c r="A20046" s="27">
        <v>0</v>
      </c>
    </row>
    <row r="20047" spans="1:1">
      <c r="A20047" s="27">
        <v>0</v>
      </c>
    </row>
    <row r="20048" spans="1:1">
      <c r="A20048" s="27">
        <v>0</v>
      </c>
    </row>
    <row r="20049" spans="1:1">
      <c r="A20049" s="27">
        <v>0</v>
      </c>
    </row>
    <row r="20050" spans="1:1">
      <c r="A20050" s="27">
        <v>0</v>
      </c>
    </row>
    <row r="20051" spans="1:1">
      <c r="A20051" s="27">
        <v>4</v>
      </c>
    </row>
    <row r="20052" spans="1:1">
      <c r="A20052" s="27">
        <v>0</v>
      </c>
    </row>
    <row r="20053" spans="1:1">
      <c r="A20053" s="29">
        <v>0.3756944444444445</v>
      </c>
    </row>
    <row r="20054" spans="1:1">
      <c r="A20054" s="27">
        <v>12.3</v>
      </c>
    </row>
    <row r="20055" spans="1:1">
      <c r="A20055" s="28">
        <v>0</v>
      </c>
    </row>
    <row r="20056" spans="1:1">
      <c r="A20056" s="25">
        <v>906</v>
      </c>
    </row>
    <row r="20057" spans="1:1">
      <c r="A20057" s="26" t="s">
        <v>1061</v>
      </c>
    </row>
    <row r="20058" spans="1:1">
      <c r="A20058" s="27" t="s">
        <v>43</v>
      </c>
    </row>
    <row r="20059" spans="1:1">
      <c r="A20059" s="27">
        <v>9</v>
      </c>
    </row>
    <row r="20060" spans="1:1">
      <c r="A20060" s="27">
        <v>0</v>
      </c>
    </row>
    <row r="20061" spans="1:1">
      <c r="A20061" s="27">
        <v>1</v>
      </c>
    </row>
    <row r="20062" spans="1:1">
      <c r="A20062" s="27">
        <v>1</v>
      </c>
    </row>
    <row r="20063" spans="1:1">
      <c r="A20063" s="27">
        <v>0</v>
      </c>
    </row>
    <row r="20064" spans="1:1">
      <c r="A20064" s="27">
        <v>5</v>
      </c>
    </row>
    <row r="20065" spans="1:1">
      <c r="A20065" s="27">
        <v>0.11</v>
      </c>
    </row>
    <row r="20066" spans="1:1">
      <c r="A20066" s="27">
        <v>0</v>
      </c>
    </row>
    <row r="20067" spans="1:1">
      <c r="A20067" s="27">
        <v>0</v>
      </c>
    </row>
    <row r="20068" spans="1:1">
      <c r="A20068" s="27">
        <v>0</v>
      </c>
    </row>
    <row r="20069" spans="1:1">
      <c r="A20069" s="27">
        <v>0</v>
      </c>
    </row>
    <row r="20070" spans="1:1">
      <c r="A20070" s="27">
        <v>0</v>
      </c>
    </row>
    <row r="20071" spans="1:1">
      <c r="A20071" s="27">
        <v>0</v>
      </c>
    </row>
    <row r="20072" spans="1:1">
      <c r="A20072" s="27">
        <v>4</v>
      </c>
    </row>
    <row r="20073" spans="1:1">
      <c r="A20073" s="27">
        <v>0</v>
      </c>
    </row>
    <row r="20074" spans="1:1">
      <c r="A20074" s="29">
        <v>0.2902777777777778</v>
      </c>
    </row>
    <row r="20075" spans="1:1">
      <c r="A20075" s="27">
        <v>10</v>
      </c>
    </row>
    <row r="20076" spans="1:1">
      <c r="A20076" s="28">
        <v>0</v>
      </c>
    </row>
    <row r="20077" spans="1:1">
      <c r="A20077" s="25">
        <v>907</v>
      </c>
    </row>
    <row r="20078" spans="1:1" ht="30">
      <c r="A20078" s="26" t="s">
        <v>1041</v>
      </c>
    </row>
    <row r="20079" spans="1:1">
      <c r="A20079" s="27" t="s">
        <v>43</v>
      </c>
    </row>
    <row r="20080" spans="1:1">
      <c r="A20080" s="27">
        <v>8</v>
      </c>
    </row>
    <row r="20081" spans="1:1">
      <c r="A20081" s="27">
        <v>0</v>
      </c>
    </row>
    <row r="20082" spans="1:1">
      <c r="A20082" s="27">
        <v>1</v>
      </c>
    </row>
    <row r="20083" spans="1:1">
      <c r="A20083" s="27">
        <v>1</v>
      </c>
    </row>
    <row r="20084" spans="1:1">
      <c r="A20084" s="27">
        <v>1</v>
      </c>
    </row>
    <row r="20085" spans="1:1">
      <c r="A20085" s="27">
        <v>4</v>
      </c>
    </row>
    <row r="20086" spans="1:1">
      <c r="A20086" s="27">
        <v>0.13</v>
      </c>
    </row>
    <row r="20087" spans="1:1">
      <c r="A20087" s="27">
        <v>0</v>
      </c>
    </row>
    <row r="20088" spans="1:1">
      <c r="A20088" s="27">
        <v>0</v>
      </c>
    </row>
    <row r="20089" spans="1:1">
      <c r="A20089" s="27">
        <v>0</v>
      </c>
    </row>
    <row r="20090" spans="1:1">
      <c r="A20090" s="27">
        <v>0</v>
      </c>
    </row>
    <row r="20091" spans="1:1">
      <c r="A20091" s="27">
        <v>0</v>
      </c>
    </row>
    <row r="20092" spans="1:1">
      <c r="A20092" s="27">
        <v>0</v>
      </c>
    </row>
    <row r="20093" spans="1:1">
      <c r="A20093" s="27">
        <v>6</v>
      </c>
    </row>
    <row r="20094" spans="1:1">
      <c r="A20094" s="27">
        <v>0</v>
      </c>
    </row>
    <row r="20095" spans="1:1">
      <c r="A20095" s="29">
        <v>0.31458333333333333</v>
      </c>
    </row>
    <row r="20096" spans="1:1">
      <c r="A20096" s="27">
        <v>11.8</v>
      </c>
    </row>
    <row r="20097" spans="1:1">
      <c r="A20097" s="28">
        <v>0</v>
      </c>
    </row>
    <row r="20098" spans="1:1">
      <c r="A20098" s="25">
        <v>908</v>
      </c>
    </row>
    <row r="20099" spans="1:1" ht="30">
      <c r="A20099" s="26" t="s">
        <v>977</v>
      </c>
    </row>
    <row r="20100" spans="1:1">
      <c r="A20100" s="27" t="s">
        <v>42</v>
      </c>
    </row>
    <row r="20101" spans="1:1">
      <c r="A20101" s="27">
        <v>4</v>
      </c>
    </row>
    <row r="20102" spans="1:1">
      <c r="A20102" s="27">
        <v>0</v>
      </c>
    </row>
    <row r="20103" spans="1:1">
      <c r="A20103" s="27">
        <v>1</v>
      </c>
    </row>
    <row r="20104" spans="1:1">
      <c r="A20104" s="27">
        <v>1</v>
      </c>
    </row>
    <row r="20105" spans="1:1">
      <c r="A20105" s="27">
        <v>-1</v>
      </c>
    </row>
    <row r="20106" spans="1:1">
      <c r="A20106" s="27">
        <v>0</v>
      </c>
    </row>
    <row r="20107" spans="1:1">
      <c r="A20107" s="27">
        <v>0.25</v>
      </c>
    </row>
    <row r="20108" spans="1:1">
      <c r="A20108" s="27">
        <v>0</v>
      </c>
    </row>
    <row r="20109" spans="1:1">
      <c r="A20109" s="27">
        <v>0</v>
      </c>
    </row>
    <row r="20110" spans="1:1">
      <c r="A20110" s="27">
        <v>0</v>
      </c>
    </row>
    <row r="20111" spans="1:1">
      <c r="A20111" s="27">
        <v>0</v>
      </c>
    </row>
    <row r="20112" spans="1:1">
      <c r="A20112" s="27">
        <v>0</v>
      </c>
    </row>
    <row r="20113" spans="1:1">
      <c r="A20113" s="27">
        <v>0</v>
      </c>
    </row>
    <row r="20114" spans="1:1">
      <c r="A20114" s="27">
        <v>2</v>
      </c>
    </row>
    <row r="20115" spans="1:1">
      <c r="A20115" s="27">
        <v>0</v>
      </c>
    </row>
    <row r="20116" spans="1:1">
      <c r="A20116" s="29">
        <v>0.62013888888888891</v>
      </c>
    </row>
    <row r="20117" spans="1:1">
      <c r="A20117" s="27">
        <v>19.5</v>
      </c>
    </row>
    <row r="20118" spans="1:1">
      <c r="A20118" s="28">
        <v>0</v>
      </c>
    </row>
    <row r="20119" spans="1:1">
      <c r="A20119" s="25">
        <v>909</v>
      </c>
    </row>
    <row r="20120" spans="1:1" ht="30">
      <c r="A20120" s="26" t="s">
        <v>1020</v>
      </c>
    </row>
    <row r="20121" spans="1:1">
      <c r="A20121" s="27" t="s">
        <v>42</v>
      </c>
    </row>
    <row r="20122" spans="1:1">
      <c r="A20122" s="27">
        <v>12</v>
      </c>
    </row>
    <row r="20123" spans="1:1">
      <c r="A20123" s="27">
        <v>0</v>
      </c>
    </row>
    <row r="20124" spans="1:1">
      <c r="A20124" s="27">
        <v>0</v>
      </c>
    </row>
    <row r="20125" spans="1:1">
      <c r="A20125" s="27">
        <v>0</v>
      </c>
    </row>
    <row r="20126" spans="1:1">
      <c r="A20126" s="27">
        <v>0</v>
      </c>
    </row>
    <row r="20127" spans="1:1">
      <c r="A20127" s="27">
        <v>2</v>
      </c>
    </row>
    <row r="20128" spans="1:1">
      <c r="A20128" s="27" t="s">
        <v>656</v>
      </c>
    </row>
    <row r="20129" spans="1:1">
      <c r="A20129" s="27">
        <v>0</v>
      </c>
    </row>
    <row r="20130" spans="1:1">
      <c r="A20130" s="27">
        <v>0</v>
      </c>
    </row>
    <row r="20131" spans="1:1">
      <c r="A20131" s="27">
        <v>0</v>
      </c>
    </row>
    <row r="20132" spans="1:1">
      <c r="A20132" s="27">
        <v>0</v>
      </c>
    </row>
    <row r="20133" spans="1:1">
      <c r="A20133" s="27">
        <v>0</v>
      </c>
    </row>
    <row r="20134" spans="1:1">
      <c r="A20134" s="27">
        <v>0</v>
      </c>
    </row>
    <row r="20135" spans="1:1">
      <c r="A20135" s="27">
        <v>9</v>
      </c>
    </row>
    <row r="20136" spans="1:1">
      <c r="A20136" s="27">
        <v>0</v>
      </c>
    </row>
    <row r="20137" spans="1:1">
      <c r="A20137" s="29">
        <v>0.50763888888888886</v>
      </c>
    </row>
    <row r="20138" spans="1:1">
      <c r="A20138" s="27">
        <v>18.3</v>
      </c>
    </row>
    <row r="20139" spans="1:1">
      <c r="A20139" s="28">
        <v>0</v>
      </c>
    </row>
    <row r="20140" spans="1:1">
      <c r="A20140" s="25">
        <v>910</v>
      </c>
    </row>
    <row r="20141" spans="1:1" ht="30">
      <c r="A20141" s="26" t="s">
        <v>948</v>
      </c>
    </row>
    <row r="20142" spans="1:1">
      <c r="A20142" s="27" t="s">
        <v>42</v>
      </c>
    </row>
    <row r="20143" spans="1:1">
      <c r="A20143" s="27">
        <v>2</v>
      </c>
    </row>
    <row r="20144" spans="1:1">
      <c r="A20144" s="27">
        <v>0</v>
      </c>
    </row>
    <row r="20145" spans="1:1">
      <c r="A20145" s="27">
        <v>0</v>
      </c>
    </row>
    <row r="20146" spans="1:1">
      <c r="A20146" s="27">
        <v>0</v>
      </c>
    </row>
    <row r="20147" spans="1:1">
      <c r="A20147" s="27">
        <v>-1</v>
      </c>
    </row>
    <row r="20148" spans="1:1">
      <c r="A20148" s="27">
        <v>0</v>
      </c>
    </row>
    <row r="20149" spans="1:1">
      <c r="A20149" s="27" t="s">
        <v>656</v>
      </c>
    </row>
    <row r="20150" spans="1:1">
      <c r="A20150" s="27">
        <v>0</v>
      </c>
    </row>
    <row r="20151" spans="1:1">
      <c r="A20151" s="27">
        <v>0</v>
      </c>
    </row>
    <row r="20152" spans="1:1">
      <c r="A20152" s="27">
        <v>0</v>
      </c>
    </row>
    <row r="20153" spans="1:1">
      <c r="A20153" s="27">
        <v>0</v>
      </c>
    </row>
    <row r="20154" spans="1:1">
      <c r="A20154" s="27">
        <v>0</v>
      </c>
    </row>
    <row r="20155" spans="1:1">
      <c r="A20155" s="27">
        <v>0</v>
      </c>
    </row>
    <row r="20156" spans="1:1">
      <c r="A20156" s="27">
        <v>3</v>
      </c>
    </row>
    <row r="20157" spans="1:1">
      <c r="A20157" s="27">
        <v>0</v>
      </c>
    </row>
    <row r="20158" spans="1:1">
      <c r="A20158" s="29">
        <v>0.55625000000000002</v>
      </c>
    </row>
    <row r="20159" spans="1:1">
      <c r="A20159" s="27">
        <v>17.5</v>
      </c>
    </row>
    <row r="20160" spans="1:1">
      <c r="A20160" s="28">
        <v>0</v>
      </c>
    </row>
    <row r="20161" spans="1:1">
      <c r="A20161" s="25">
        <v>911</v>
      </c>
    </row>
    <row r="20162" spans="1:1" ht="30">
      <c r="A20162" s="26" t="s">
        <v>947</v>
      </c>
    </row>
    <row r="20163" spans="1:1">
      <c r="A20163" s="27" t="s">
        <v>43</v>
      </c>
    </row>
    <row r="20164" spans="1:1">
      <c r="A20164" s="27">
        <v>1</v>
      </c>
    </row>
    <row r="20165" spans="1:1">
      <c r="A20165" s="27">
        <v>0</v>
      </c>
    </row>
    <row r="20166" spans="1:1">
      <c r="A20166" s="27">
        <v>0</v>
      </c>
    </row>
    <row r="20167" spans="1:1">
      <c r="A20167" s="27">
        <v>0</v>
      </c>
    </row>
    <row r="20168" spans="1:1">
      <c r="A20168" s="27">
        <v>0</v>
      </c>
    </row>
    <row r="20169" spans="1:1">
      <c r="A20169" s="27">
        <v>2</v>
      </c>
    </row>
    <row r="20170" spans="1:1">
      <c r="A20170" s="27" t="s">
        <v>656</v>
      </c>
    </row>
    <row r="20171" spans="1:1">
      <c r="A20171" s="27">
        <v>0</v>
      </c>
    </row>
    <row r="20172" spans="1:1">
      <c r="A20172" s="27">
        <v>0</v>
      </c>
    </row>
    <row r="20173" spans="1:1">
      <c r="A20173" s="27">
        <v>0</v>
      </c>
    </row>
    <row r="20174" spans="1:1">
      <c r="A20174" s="27">
        <v>0</v>
      </c>
    </row>
    <row r="20175" spans="1:1">
      <c r="A20175" s="27">
        <v>0</v>
      </c>
    </row>
    <row r="20176" spans="1:1">
      <c r="A20176" s="27">
        <v>0</v>
      </c>
    </row>
    <row r="20177" spans="1:1">
      <c r="A20177" s="27">
        <v>0</v>
      </c>
    </row>
    <row r="20178" spans="1:1">
      <c r="A20178" s="27">
        <v>0</v>
      </c>
    </row>
    <row r="20179" spans="1:1">
      <c r="A20179" s="29">
        <v>0.5625</v>
      </c>
    </row>
    <row r="20180" spans="1:1">
      <c r="A20180" s="27">
        <v>19</v>
      </c>
    </row>
    <row r="20181" spans="1:1">
      <c r="A20181" s="28">
        <v>0</v>
      </c>
    </row>
    <row r="20182" spans="1:1">
      <c r="A20182" s="25">
        <v>912</v>
      </c>
    </row>
    <row r="20183" spans="1:1" ht="30">
      <c r="A20183" s="26" t="s">
        <v>1060</v>
      </c>
    </row>
    <row r="20184" spans="1:1">
      <c r="A20184" s="27" t="s">
        <v>42</v>
      </c>
    </row>
    <row r="20185" spans="1:1">
      <c r="A20185" s="27">
        <v>9</v>
      </c>
    </row>
    <row r="20186" spans="1:1">
      <c r="A20186" s="27">
        <v>0</v>
      </c>
    </row>
    <row r="20187" spans="1:1">
      <c r="A20187" s="27">
        <v>0</v>
      </c>
    </row>
    <row r="20188" spans="1:1">
      <c r="A20188" s="27">
        <v>0</v>
      </c>
    </row>
    <row r="20189" spans="1:1">
      <c r="A20189" s="27">
        <v>-4</v>
      </c>
    </row>
    <row r="20190" spans="1:1">
      <c r="A20190" s="27">
        <v>12</v>
      </c>
    </row>
    <row r="20191" spans="1:1">
      <c r="A20191" s="27" t="s">
        <v>656</v>
      </c>
    </row>
    <row r="20192" spans="1:1">
      <c r="A20192" s="27">
        <v>0</v>
      </c>
    </row>
    <row r="20193" spans="1:1">
      <c r="A20193" s="27">
        <v>0</v>
      </c>
    </row>
    <row r="20194" spans="1:1">
      <c r="A20194" s="27">
        <v>0</v>
      </c>
    </row>
    <row r="20195" spans="1:1">
      <c r="A20195" s="27">
        <v>0</v>
      </c>
    </row>
    <row r="20196" spans="1:1">
      <c r="A20196" s="27">
        <v>0</v>
      </c>
    </row>
    <row r="20197" spans="1:1">
      <c r="A20197" s="27">
        <v>0</v>
      </c>
    </row>
    <row r="20198" spans="1:1">
      <c r="A20198" s="27">
        <v>5</v>
      </c>
    </row>
    <row r="20199" spans="1:1">
      <c r="A20199" s="27">
        <v>0</v>
      </c>
    </row>
    <row r="20200" spans="1:1">
      <c r="A20200" s="29">
        <v>0.48402777777777778</v>
      </c>
    </row>
    <row r="20201" spans="1:1">
      <c r="A20201" s="27">
        <v>17.899999999999999</v>
      </c>
    </row>
    <row r="20202" spans="1:1">
      <c r="A20202" s="28">
        <v>0</v>
      </c>
    </row>
    <row r="20203" spans="1:1">
      <c r="A20203" s="25">
        <v>913</v>
      </c>
    </row>
    <row r="20204" spans="1:1" ht="30">
      <c r="A20204" s="26" t="s">
        <v>955</v>
      </c>
    </row>
    <row r="20205" spans="1:1">
      <c r="A20205" s="27" t="s">
        <v>42</v>
      </c>
    </row>
    <row r="20206" spans="1:1">
      <c r="A20206" s="27">
        <v>1</v>
      </c>
    </row>
    <row r="20207" spans="1:1">
      <c r="A20207" s="27">
        <v>0</v>
      </c>
    </row>
    <row r="20208" spans="1:1">
      <c r="A20208" s="27">
        <v>0</v>
      </c>
    </row>
    <row r="20209" spans="1:1">
      <c r="A20209" s="27">
        <v>0</v>
      </c>
    </row>
    <row r="20210" spans="1:1">
      <c r="A20210" s="27">
        <v>0</v>
      </c>
    </row>
    <row r="20211" spans="1:1">
      <c r="A20211" s="27">
        <v>0</v>
      </c>
    </row>
    <row r="20212" spans="1:1">
      <c r="A20212" s="27" t="s">
        <v>656</v>
      </c>
    </row>
    <row r="20213" spans="1:1">
      <c r="A20213" s="27">
        <v>0</v>
      </c>
    </row>
    <row r="20214" spans="1:1">
      <c r="A20214" s="27">
        <v>0</v>
      </c>
    </row>
    <row r="20215" spans="1:1">
      <c r="A20215" s="27">
        <v>0</v>
      </c>
    </row>
    <row r="20216" spans="1:1">
      <c r="A20216" s="27">
        <v>0</v>
      </c>
    </row>
    <row r="20217" spans="1:1">
      <c r="A20217" s="27">
        <v>0</v>
      </c>
    </row>
    <row r="20218" spans="1:1">
      <c r="A20218" s="27">
        <v>0</v>
      </c>
    </row>
    <row r="20219" spans="1:1">
      <c r="A20219" s="27">
        <v>1</v>
      </c>
    </row>
    <row r="20220" spans="1:1">
      <c r="A20220" s="27">
        <v>0</v>
      </c>
    </row>
    <row r="20221" spans="1:1">
      <c r="A20221" s="29">
        <v>0.54513888888888895</v>
      </c>
    </row>
    <row r="20222" spans="1:1">
      <c r="A20222" s="27">
        <v>21</v>
      </c>
    </row>
    <row r="20223" spans="1:1">
      <c r="A20223" s="28">
        <v>0</v>
      </c>
    </row>
    <row r="20224" spans="1:1">
      <c r="A20224" s="25">
        <v>914</v>
      </c>
    </row>
    <row r="20225" spans="1:1" ht="30">
      <c r="A20225" s="26" t="s">
        <v>978</v>
      </c>
    </row>
    <row r="20226" spans="1:1">
      <c r="A20226" s="27" t="s">
        <v>42</v>
      </c>
    </row>
    <row r="20227" spans="1:1">
      <c r="A20227" s="27">
        <v>3</v>
      </c>
    </row>
    <row r="20228" spans="1:1">
      <c r="A20228" s="27">
        <v>0</v>
      </c>
    </row>
    <row r="20229" spans="1:1">
      <c r="A20229" s="27">
        <v>0</v>
      </c>
    </row>
    <row r="20230" spans="1:1">
      <c r="A20230" s="27">
        <v>0</v>
      </c>
    </row>
    <row r="20231" spans="1:1">
      <c r="A20231" s="27">
        <v>-2</v>
      </c>
    </row>
    <row r="20232" spans="1:1">
      <c r="A20232" s="27">
        <v>2</v>
      </c>
    </row>
    <row r="20233" spans="1:1">
      <c r="A20233" s="27" t="s">
        <v>656</v>
      </c>
    </row>
    <row r="20234" spans="1:1">
      <c r="A20234" s="27">
        <v>0</v>
      </c>
    </row>
    <row r="20235" spans="1:1">
      <c r="A20235" s="27">
        <v>0</v>
      </c>
    </row>
    <row r="20236" spans="1:1">
      <c r="A20236" s="27">
        <v>0</v>
      </c>
    </row>
    <row r="20237" spans="1:1">
      <c r="A20237" s="27">
        <v>0</v>
      </c>
    </row>
    <row r="20238" spans="1:1">
      <c r="A20238" s="27">
        <v>0</v>
      </c>
    </row>
    <row r="20239" spans="1:1">
      <c r="A20239" s="27">
        <v>0</v>
      </c>
    </row>
    <row r="20240" spans="1:1">
      <c r="A20240" s="27">
        <v>1</v>
      </c>
    </row>
    <row r="20241" spans="1:1">
      <c r="A20241" s="27">
        <v>0</v>
      </c>
    </row>
    <row r="20242" spans="1:1">
      <c r="A20242" s="29">
        <v>0.59305555555555556</v>
      </c>
    </row>
    <row r="20243" spans="1:1">
      <c r="A20243" s="27">
        <v>20.7</v>
      </c>
    </row>
    <row r="20244" spans="1:1">
      <c r="A20244" s="28">
        <v>0</v>
      </c>
    </row>
    <row r="20245" spans="1:1">
      <c r="A20245" s="25">
        <v>915</v>
      </c>
    </row>
    <row r="20246" spans="1:1" ht="45">
      <c r="A20246" s="26" t="s">
        <v>950</v>
      </c>
    </row>
    <row r="20247" spans="1:1">
      <c r="A20247" s="27" t="s">
        <v>42</v>
      </c>
    </row>
    <row r="20248" spans="1:1">
      <c r="A20248" s="27">
        <v>1</v>
      </c>
    </row>
    <row r="20249" spans="1:1">
      <c r="A20249" s="27">
        <v>0</v>
      </c>
    </row>
    <row r="20250" spans="1:1">
      <c r="A20250" s="27">
        <v>0</v>
      </c>
    </row>
    <row r="20251" spans="1:1">
      <c r="A20251" s="27">
        <v>0</v>
      </c>
    </row>
    <row r="20252" spans="1:1">
      <c r="A20252" s="27">
        <v>3</v>
      </c>
    </row>
    <row r="20253" spans="1:1">
      <c r="A20253" s="27">
        <v>0</v>
      </c>
    </row>
    <row r="20254" spans="1:1">
      <c r="A20254" s="27" t="s">
        <v>656</v>
      </c>
    </row>
    <row r="20255" spans="1:1">
      <c r="A20255" s="27">
        <v>0</v>
      </c>
    </row>
    <row r="20256" spans="1:1">
      <c r="A20256" s="27">
        <v>0</v>
      </c>
    </row>
    <row r="20257" spans="1:1">
      <c r="A20257" s="27">
        <v>0</v>
      </c>
    </row>
    <row r="20258" spans="1:1">
      <c r="A20258" s="27">
        <v>0</v>
      </c>
    </row>
    <row r="20259" spans="1:1">
      <c r="A20259" s="27">
        <v>0</v>
      </c>
    </row>
    <row r="20260" spans="1:1">
      <c r="A20260" s="27">
        <v>0</v>
      </c>
    </row>
    <row r="20261" spans="1:1">
      <c r="A20261" s="27">
        <v>0</v>
      </c>
    </row>
    <row r="20262" spans="1:1">
      <c r="A20262" s="27">
        <v>0</v>
      </c>
    </row>
    <row r="20263" spans="1:1">
      <c r="A20263" s="29">
        <v>0.6958333333333333</v>
      </c>
    </row>
    <row r="20264" spans="1:1">
      <c r="A20264" s="27">
        <v>20</v>
      </c>
    </row>
    <row r="20265" spans="1:1">
      <c r="A20265" s="28">
        <v>0</v>
      </c>
    </row>
    <row r="20266" spans="1:1">
      <c r="A20266" s="25">
        <v>916</v>
      </c>
    </row>
    <row r="20267" spans="1:1" ht="30">
      <c r="A20267" s="26" t="s">
        <v>1029</v>
      </c>
    </row>
    <row r="20268" spans="1:1">
      <c r="A20268" s="27" t="s">
        <v>42</v>
      </c>
    </row>
    <row r="20269" spans="1:1">
      <c r="A20269" s="27">
        <v>4</v>
      </c>
    </row>
    <row r="20270" spans="1:1">
      <c r="A20270" s="27">
        <v>0</v>
      </c>
    </row>
    <row r="20271" spans="1:1">
      <c r="A20271" s="27">
        <v>0</v>
      </c>
    </row>
    <row r="20272" spans="1:1">
      <c r="A20272" s="27">
        <v>0</v>
      </c>
    </row>
    <row r="20273" spans="1:1">
      <c r="A20273" s="27">
        <v>-5</v>
      </c>
    </row>
    <row r="20274" spans="1:1">
      <c r="A20274" s="27">
        <v>0</v>
      </c>
    </row>
    <row r="20275" spans="1:1">
      <c r="A20275" s="27" t="s">
        <v>656</v>
      </c>
    </row>
    <row r="20276" spans="1:1">
      <c r="A20276" s="27">
        <v>0</v>
      </c>
    </row>
    <row r="20277" spans="1:1">
      <c r="A20277" s="27">
        <v>0</v>
      </c>
    </row>
    <row r="20278" spans="1:1">
      <c r="A20278" s="27">
        <v>0</v>
      </c>
    </row>
    <row r="20279" spans="1:1">
      <c r="A20279" s="27">
        <v>0</v>
      </c>
    </row>
    <row r="20280" spans="1:1">
      <c r="A20280" s="27">
        <v>0</v>
      </c>
    </row>
    <row r="20281" spans="1:1">
      <c r="A20281" s="27">
        <v>0</v>
      </c>
    </row>
    <row r="20282" spans="1:1">
      <c r="A20282" s="27">
        <v>2</v>
      </c>
    </row>
    <row r="20283" spans="1:1">
      <c r="A20283" s="27">
        <v>0</v>
      </c>
    </row>
    <row r="20284" spans="1:1">
      <c r="A20284" s="29">
        <v>0.68958333333333333</v>
      </c>
    </row>
    <row r="20285" spans="1:1">
      <c r="A20285" s="27">
        <v>22.8</v>
      </c>
    </row>
    <row r="20286" spans="1:1">
      <c r="A20286" s="28">
        <v>0</v>
      </c>
    </row>
    <row r="20287" spans="1:1">
      <c r="A20287" s="25">
        <v>917</v>
      </c>
    </row>
    <row r="20288" spans="1:1" ht="45">
      <c r="A20288" s="26" t="s">
        <v>856</v>
      </c>
    </row>
    <row r="20289" spans="1:1">
      <c r="A20289" s="27" t="s">
        <v>653</v>
      </c>
    </row>
    <row r="20290" spans="1:1">
      <c r="A20290" s="27">
        <v>4</v>
      </c>
    </row>
    <row r="20291" spans="1:1">
      <c r="A20291" s="27">
        <v>0</v>
      </c>
    </row>
    <row r="20292" spans="1:1">
      <c r="A20292" s="27">
        <v>0</v>
      </c>
    </row>
    <row r="20293" spans="1:1">
      <c r="A20293" s="27">
        <v>0</v>
      </c>
    </row>
    <row r="20294" spans="1:1">
      <c r="A20294" s="27">
        <v>0</v>
      </c>
    </row>
    <row r="20295" spans="1:1">
      <c r="A20295" s="27">
        <v>0</v>
      </c>
    </row>
    <row r="20296" spans="1:1">
      <c r="A20296" s="27" t="s">
        <v>656</v>
      </c>
    </row>
    <row r="20297" spans="1:1">
      <c r="A20297" s="27">
        <v>0</v>
      </c>
    </row>
    <row r="20298" spans="1:1">
      <c r="A20298" s="27">
        <v>0</v>
      </c>
    </row>
    <row r="20299" spans="1:1">
      <c r="A20299" s="27">
        <v>0</v>
      </c>
    </row>
    <row r="20300" spans="1:1">
      <c r="A20300" s="27">
        <v>0</v>
      </c>
    </row>
    <row r="20301" spans="1:1">
      <c r="A20301" s="27">
        <v>0</v>
      </c>
    </row>
    <row r="20302" spans="1:1">
      <c r="A20302" s="27">
        <v>0</v>
      </c>
    </row>
    <row r="20303" spans="1:1">
      <c r="A20303" s="27">
        <v>4</v>
      </c>
    </row>
    <row r="20304" spans="1:1">
      <c r="A20304" s="27">
        <v>0</v>
      </c>
    </row>
    <row r="20305" spans="1:1">
      <c r="A20305" s="29">
        <v>0.39930555555555558</v>
      </c>
    </row>
    <row r="20306" spans="1:1">
      <c r="A20306" s="27">
        <v>15.5</v>
      </c>
    </row>
    <row r="20307" spans="1:1">
      <c r="A20307" s="28">
        <v>40</v>
      </c>
    </row>
    <row r="20308" spans="1:1">
      <c r="A20308" s="25">
        <v>918</v>
      </c>
    </row>
    <row r="20309" spans="1:1" ht="45">
      <c r="A20309" s="26" t="s">
        <v>675</v>
      </c>
    </row>
    <row r="20310" spans="1:1">
      <c r="A20310" s="27" t="s">
        <v>43</v>
      </c>
    </row>
    <row r="20311" spans="1:1">
      <c r="A20311" s="27">
        <v>2</v>
      </c>
    </row>
    <row r="20312" spans="1:1">
      <c r="A20312" s="27">
        <v>0</v>
      </c>
    </row>
    <row r="20313" spans="1:1">
      <c r="A20313" s="27">
        <v>0</v>
      </c>
    </row>
    <row r="20314" spans="1:1">
      <c r="A20314" s="27">
        <v>0</v>
      </c>
    </row>
    <row r="20315" spans="1:1">
      <c r="A20315" s="27">
        <v>-1</v>
      </c>
    </row>
    <row r="20316" spans="1:1">
      <c r="A20316" s="27">
        <v>0</v>
      </c>
    </row>
    <row r="20317" spans="1:1">
      <c r="A20317" s="27" t="s">
        <v>656</v>
      </c>
    </row>
    <row r="20318" spans="1:1">
      <c r="A20318" s="27">
        <v>0</v>
      </c>
    </row>
    <row r="20319" spans="1:1">
      <c r="A20319" s="27">
        <v>0</v>
      </c>
    </row>
    <row r="20320" spans="1:1">
      <c r="A20320" s="27">
        <v>0</v>
      </c>
    </row>
    <row r="20321" spans="1:1">
      <c r="A20321" s="27">
        <v>0</v>
      </c>
    </row>
    <row r="20322" spans="1:1">
      <c r="A20322" s="27">
        <v>0</v>
      </c>
    </row>
    <row r="20323" spans="1:1">
      <c r="A20323" s="27">
        <v>0</v>
      </c>
    </row>
    <row r="20324" spans="1:1">
      <c r="A20324" s="27">
        <v>1</v>
      </c>
    </row>
    <row r="20325" spans="1:1">
      <c r="A20325" s="27">
        <v>0</v>
      </c>
    </row>
    <row r="20326" spans="1:1">
      <c r="A20326" s="29">
        <v>0.35416666666666669</v>
      </c>
    </row>
    <row r="20327" spans="1:1">
      <c r="A20327" s="27">
        <v>10.5</v>
      </c>
    </row>
    <row r="20328" spans="1:1">
      <c r="A20328" s="28">
        <v>66.7</v>
      </c>
    </row>
    <row r="20329" spans="1:1">
      <c r="A20329" s="25">
        <v>919</v>
      </c>
    </row>
    <row r="20330" spans="1:1" ht="45">
      <c r="A20330" s="26" t="s">
        <v>1048</v>
      </c>
    </row>
    <row r="20331" spans="1:1">
      <c r="A20331" s="27" t="s">
        <v>44</v>
      </c>
    </row>
    <row r="20332" spans="1:1">
      <c r="A20332" s="27">
        <v>11</v>
      </c>
    </row>
    <row r="20333" spans="1:1">
      <c r="A20333" s="27">
        <v>0</v>
      </c>
    </row>
    <row r="20334" spans="1:1">
      <c r="A20334" s="27">
        <v>0</v>
      </c>
    </row>
    <row r="20335" spans="1:1">
      <c r="A20335" s="27">
        <v>0</v>
      </c>
    </row>
    <row r="20336" spans="1:1">
      <c r="A20336" s="27">
        <v>-2</v>
      </c>
    </row>
    <row r="20337" spans="1:1">
      <c r="A20337" s="27">
        <v>2</v>
      </c>
    </row>
    <row r="20338" spans="1:1">
      <c r="A20338" s="27" t="s">
        <v>656</v>
      </c>
    </row>
    <row r="20339" spans="1:1">
      <c r="A20339" s="27">
        <v>0</v>
      </c>
    </row>
    <row r="20340" spans="1:1">
      <c r="A20340" s="27">
        <v>0</v>
      </c>
    </row>
    <row r="20341" spans="1:1">
      <c r="A20341" s="27">
        <v>0</v>
      </c>
    </row>
    <row r="20342" spans="1:1">
      <c r="A20342" s="27">
        <v>0</v>
      </c>
    </row>
    <row r="20343" spans="1:1">
      <c r="A20343" s="27">
        <v>0</v>
      </c>
    </row>
    <row r="20344" spans="1:1">
      <c r="A20344" s="27">
        <v>0</v>
      </c>
    </row>
    <row r="20345" spans="1:1">
      <c r="A20345" s="27">
        <v>5</v>
      </c>
    </row>
    <row r="20346" spans="1:1">
      <c r="A20346" s="27">
        <v>0</v>
      </c>
    </row>
    <row r="20347" spans="1:1">
      <c r="A20347" s="29">
        <v>0.24652777777777779</v>
      </c>
    </row>
    <row r="20348" spans="1:1">
      <c r="A20348" s="27">
        <v>9.8000000000000007</v>
      </c>
    </row>
    <row r="20349" spans="1:1">
      <c r="A20349" s="28">
        <v>0</v>
      </c>
    </row>
    <row r="20350" spans="1:1">
      <c r="A20350" s="25">
        <v>920</v>
      </c>
    </row>
    <row r="20351" spans="1:1" ht="30">
      <c r="A20351" s="26" t="s">
        <v>975</v>
      </c>
    </row>
    <row r="20352" spans="1:1">
      <c r="A20352" s="27" t="s">
        <v>653</v>
      </c>
    </row>
    <row r="20353" spans="1:1">
      <c r="A20353" s="27">
        <v>2</v>
      </c>
    </row>
    <row r="20354" spans="1:1">
      <c r="A20354" s="27">
        <v>0</v>
      </c>
    </row>
    <row r="20355" spans="1:1">
      <c r="A20355" s="27">
        <v>0</v>
      </c>
    </row>
    <row r="20356" spans="1:1">
      <c r="A20356" s="27">
        <v>0</v>
      </c>
    </row>
    <row r="20357" spans="1:1">
      <c r="A20357" s="27">
        <v>0</v>
      </c>
    </row>
    <row r="20358" spans="1:1">
      <c r="A20358" s="27">
        <v>2</v>
      </c>
    </row>
    <row r="20359" spans="1:1">
      <c r="A20359" s="27" t="s">
        <v>656</v>
      </c>
    </row>
    <row r="20360" spans="1:1">
      <c r="A20360" s="27">
        <v>0</v>
      </c>
    </row>
    <row r="20361" spans="1:1">
      <c r="A20361" s="27">
        <v>0</v>
      </c>
    </row>
    <row r="20362" spans="1:1">
      <c r="A20362" s="27">
        <v>0</v>
      </c>
    </row>
    <row r="20363" spans="1:1">
      <c r="A20363" s="27">
        <v>0</v>
      </c>
    </row>
    <row r="20364" spans="1:1">
      <c r="A20364" s="27">
        <v>0</v>
      </c>
    </row>
    <row r="20365" spans="1:1">
      <c r="A20365" s="27">
        <v>0</v>
      </c>
    </row>
    <row r="20366" spans="1:1">
      <c r="A20366" s="27">
        <v>2</v>
      </c>
    </row>
    <row r="20367" spans="1:1">
      <c r="A20367" s="27">
        <v>0</v>
      </c>
    </row>
    <row r="20368" spans="1:1">
      <c r="A20368" s="29">
        <v>0.32777777777777778</v>
      </c>
    </row>
    <row r="20369" spans="1:1">
      <c r="A20369" s="27">
        <v>11.5</v>
      </c>
    </row>
    <row r="20370" spans="1:1">
      <c r="A20370" s="28">
        <v>0</v>
      </c>
    </row>
    <row r="20371" spans="1:1">
      <c r="A20371" s="25">
        <v>921</v>
      </c>
    </row>
    <row r="20372" spans="1:1" ht="45">
      <c r="A20372" s="26" t="s">
        <v>1022</v>
      </c>
    </row>
    <row r="20373" spans="1:1">
      <c r="A20373" s="27" t="s">
        <v>43</v>
      </c>
    </row>
    <row r="20374" spans="1:1">
      <c r="A20374" s="27">
        <v>9</v>
      </c>
    </row>
    <row r="20375" spans="1:1">
      <c r="A20375" s="27">
        <v>0</v>
      </c>
    </row>
    <row r="20376" spans="1:1">
      <c r="A20376" s="27">
        <v>0</v>
      </c>
    </row>
    <row r="20377" spans="1:1">
      <c r="A20377" s="27">
        <v>0</v>
      </c>
    </row>
    <row r="20378" spans="1:1">
      <c r="A20378" s="27">
        <v>-2</v>
      </c>
    </row>
    <row r="20379" spans="1:1">
      <c r="A20379" s="27">
        <v>4</v>
      </c>
    </row>
    <row r="20380" spans="1:1">
      <c r="A20380" s="27" t="s">
        <v>656</v>
      </c>
    </row>
    <row r="20381" spans="1:1">
      <c r="A20381" s="27">
        <v>0</v>
      </c>
    </row>
    <row r="20382" spans="1:1">
      <c r="A20382" s="27">
        <v>0</v>
      </c>
    </row>
    <row r="20383" spans="1:1">
      <c r="A20383" s="27">
        <v>0</v>
      </c>
    </row>
    <row r="20384" spans="1:1">
      <c r="A20384" s="27">
        <v>0</v>
      </c>
    </row>
    <row r="20385" spans="1:1">
      <c r="A20385" s="27">
        <v>0</v>
      </c>
    </row>
    <row r="20386" spans="1:1">
      <c r="A20386" s="27">
        <v>0</v>
      </c>
    </row>
    <row r="20387" spans="1:1">
      <c r="A20387" s="27">
        <v>9</v>
      </c>
    </row>
    <row r="20388" spans="1:1">
      <c r="A20388" s="27">
        <v>0</v>
      </c>
    </row>
    <row r="20389" spans="1:1">
      <c r="A20389" s="29">
        <v>0.4284722222222222</v>
      </c>
    </row>
    <row r="20390" spans="1:1">
      <c r="A20390" s="27">
        <v>14</v>
      </c>
    </row>
    <row r="20391" spans="1:1">
      <c r="A20391" s="28">
        <v>0</v>
      </c>
    </row>
    <row r="20392" spans="1:1">
      <c r="A20392" s="25">
        <v>922</v>
      </c>
    </row>
    <row r="20393" spans="1:1" ht="30">
      <c r="A20393" s="26" t="s">
        <v>966</v>
      </c>
    </row>
    <row r="20394" spans="1:1">
      <c r="A20394" s="27" t="s">
        <v>653</v>
      </c>
    </row>
    <row r="20395" spans="1:1">
      <c r="A20395" s="27">
        <v>1</v>
      </c>
    </row>
    <row r="20396" spans="1:1">
      <c r="A20396" s="27">
        <v>0</v>
      </c>
    </row>
    <row r="20397" spans="1:1">
      <c r="A20397" s="27">
        <v>0</v>
      </c>
    </row>
    <row r="20398" spans="1:1">
      <c r="A20398" s="27">
        <v>0</v>
      </c>
    </row>
    <row r="20399" spans="1:1">
      <c r="A20399" s="27">
        <v>-1</v>
      </c>
    </row>
    <row r="20400" spans="1:1">
      <c r="A20400" s="27">
        <v>0</v>
      </c>
    </row>
    <row r="20401" spans="1:1">
      <c r="A20401" s="27" t="s">
        <v>656</v>
      </c>
    </row>
    <row r="20402" spans="1:1">
      <c r="A20402" s="27">
        <v>0</v>
      </c>
    </row>
    <row r="20403" spans="1:1">
      <c r="A20403" s="27">
        <v>0</v>
      </c>
    </row>
    <row r="20404" spans="1:1">
      <c r="A20404" s="27">
        <v>0</v>
      </c>
    </row>
    <row r="20405" spans="1:1">
      <c r="A20405" s="27">
        <v>0</v>
      </c>
    </row>
    <row r="20406" spans="1:1">
      <c r="A20406" s="27">
        <v>0</v>
      </c>
    </row>
    <row r="20407" spans="1:1">
      <c r="A20407" s="27">
        <v>0</v>
      </c>
    </row>
    <row r="20408" spans="1:1">
      <c r="A20408" s="27">
        <v>0</v>
      </c>
    </row>
    <row r="20409" spans="1:1">
      <c r="A20409" s="27">
        <v>0</v>
      </c>
    </row>
    <row r="20410" spans="1:1">
      <c r="A20410" s="29">
        <v>0.41180555555555554</v>
      </c>
    </row>
    <row r="20411" spans="1:1">
      <c r="A20411" s="27">
        <v>16</v>
      </c>
    </row>
    <row r="20412" spans="1:1">
      <c r="A20412" s="28">
        <v>0</v>
      </c>
    </row>
    <row r="20413" spans="1:1">
      <c r="A20413" s="25">
        <v>923</v>
      </c>
    </row>
    <row r="20414" spans="1:1" ht="30">
      <c r="A20414" s="26" t="s">
        <v>964</v>
      </c>
    </row>
    <row r="20415" spans="1:1">
      <c r="A20415" s="27" t="s">
        <v>653</v>
      </c>
    </row>
    <row r="20416" spans="1:1">
      <c r="A20416" s="27">
        <v>1</v>
      </c>
    </row>
    <row r="20417" spans="1:1">
      <c r="A20417" s="27">
        <v>0</v>
      </c>
    </row>
    <row r="20418" spans="1:1">
      <c r="A20418" s="27">
        <v>0</v>
      </c>
    </row>
    <row r="20419" spans="1:1">
      <c r="A20419" s="27">
        <v>0</v>
      </c>
    </row>
    <row r="20420" spans="1:1">
      <c r="A20420" s="27">
        <v>0</v>
      </c>
    </row>
    <row r="20421" spans="1:1">
      <c r="A20421" s="27">
        <v>2</v>
      </c>
    </row>
    <row r="20422" spans="1:1">
      <c r="A20422" s="27" t="s">
        <v>656</v>
      </c>
    </row>
    <row r="20423" spans="1:1">
      <c r="A20423" s="27">
        <v>0</v>
      </c>
    </row>
    <row r="20424" spans="1:1">
      <c r="A20424" s="27">
        <v>0</v>
      </c>
    </row>
    <row r="20425" spans="1:1">
      <c r="A20425" s="27">
        <v>0</v>
      </c>
    </row>
    <row r="20426" spans="1:1">
      <c r="A20426" s="27">
        <v>0</v>
      </c>
    </row>
    <row r="20427" spans="1:1">
      <c r="A20427" s="27">
        <v>0</v>
      </c>
    </row>
    <row r="20428" spans="1:1">
      <c r="A20428" s="27">
        <v>0</v>
      </c>
    </row>
    <row r="20429" spans="1:1">
      <c r="A20429" s="27">
        <v>0</v>
      </c>
    </row>
    <row r="20430" spans="1:1">
      <c r="A20430" s="27">
        <v>0</v>
      </c>
    </row>
    <row r="20431" spans="1:1">
      <c r="A20431" s="29">
        <v>0.52430555555555558</v>
      </c>
    </row>
    <row r="20432" spans="1:1">
      <c r="A20432" s="27">
        <v>18</v>
      </c>
    </row>
    <row r="20433" spans="1:1">
      <c r="A20433" s="28">
        <v>0</v>
      </c>
    </row>
    <row r="20434" spans="1:1">
      <c r="A20434" s="25">
        <v>924</v>
      </c>
    </row>
    <row r="20435" spans="1:1" ht="30">
      <c r="A20435" s="26" t="s">
        <v>946</v>
      </c>
    </row>
    <row r="20436" spans="1:1">
      <c r="A20436" s="27" t="s">
        <v>42</v>
      </c>
    </row>
    <row r="20437" spans="1:1">
      <c r="A20437" s="27">
        <v>3</v>
      </c>
    </row>
    <row r="20438" spans="1:1">
      <c r="A20438" s="27">
        <v>0</v>
      </c>
    </row>
    <row r="20439" spans="1:1">
      <c r="A20439" s="27">
        <v>0</v>
      </c>
    </row>
    <row r="20440" spans="1:1">
      <c r="A20440" s="27">
        <v>0</v>
      </c>
    </row>
    <row r="20441" spans="1:1">
      <c r="A20441" s="27">
        <v>-4</v>
      </c>
    </row>
    <row r="20442" spans="1:1">
      <c r="A20442" s="27">
        <v>0</v>
      </c>
    </row>
    <row r="20443" spans="1:1">
      <c r="A20443" s="27" t="s">
        <v>656</v>
      </c>
    </row>
    <row r="20444" spans="1:1">
      <c r="A20444" s="27">
        <v>0</v>
      </c>
    </row>
    <row r="20445" spans="1:1">
      <c r="A20445" s="27">
        <v>0</v>
      </c>
    </row>
    <row r="20446" spans="1:1">
      <c r="A20446" s="27">
        <v>0</v>
      </c>
    </row>
    <row r="20447" spans="1:1">
      <c r="A20447" s="27">
        <v>0</v>
      </c>
    </row>
    <row r="20448" spans="1:1">
      <c r="A20448" s="27">
        <v>0</v>
      </c>
    </row>
    <row r="20449" spans="1:1">
      <c r="A20449" s="27">
        <v>0</v>
      </c>
    </row>
    <row r="20450" spans="1:1">
      <c r="A20450" s="27">
        <v>0</v>
      </c>
    </row>
    <row r="20451" spans="1:1">
      <c r="A20451" s="27">
        <v>0</v>
      </c>
    </row>
    <row r="20452" spans="1:1">
      <c r="A20452" s="29">
        <v>0.54027777777777775</v>
      </c>
    </row>
    <row r="20453" spans="1:1">
      <c r="A20453" s="27">
        <v>19.3</v>
      </c>
    </row>
    <row r="20454" spans="1:1">
      <c r="A20454" s="28">
        <v>0</v>
      </c>
    </row>
    <row r="20455" spans="1:1">
      <c r="A20455" s="25">
        <v>925</v>
      </c>
    </row>
    <row r="20456" spans="1:1" ht="30">
      <c r="A20456" s="26" t="s">
        <v>962</v>
      </c>
    </row>
    <row r="20457" spans="1:1">
      <c r="A20457" s="27" t="s">
        <v>42</v>
      </c>
    </row>
    <row r="20458" spans="1:1">
      <c r="A20458" s="27">
        <v>2</v>
      </c>
    </row>
    <row r="20459" spans="1:1">
      <c r="A20459" s="27">
        <v>0</v>
      </c>
    </row>
    <row r="20460" spans="1:1">
      <c r="A20460" s="27">
        <v>0</v>
      </c>
    </row>
    <row r="20461" spans="1:1">
      <c r="A20461" s="27">
        <v>0</v>
      </c>
    </row>
    <row r="20462" spans="1:1">
      <c r="A20462" s="27">
        <v>0</v>
      </c>
    </row>
    <row r="20463" spans="1:1">
      <c r="A20463" s="27">
        <v>2</v>
      </c>
    </row>
    <row r="20464" spans="1:1">
      <c r="A20464" s="27" t="s">
        <v>656</v>
      </c>
    </row>
    <row r="20465" spans="1:1">
      <c r="A20465" s="27">
        <v>0</v>
      </c>
    </row>
    <row r="20466" spans="1:1">
      <c r="A20466" s="27">
        <v>0</v>
      </c>
    </row>
    <row r="20467" spans="1:1">
      <c r="A20467" s="27">
        <v>0</v>
      </c>
    </row>
    <row r="20468" spans="1:1">
      <c r="A20468" s="27">
        <v>0</v>
      </c>
    </row>
    <row r="20469" spans="1:1">
      <c r="A20469" s="27">
        <v>0</v>
      </c>
    </row>
    <row r="20470" spans="1:1">
      <c r="A20470" s="27">
        <v>0</v>
      </c>
    </row>
    <row r="20471" spans="1:1">
      <c r="A20471" s="27">
        <v>1</v>
      </c>
    </row>
    <row r="20472" spans="1:1">
      <c r="A20472" s="27">
        <v>0</v>
      </c>
    </row>
    <row r="20473" spans="1:1">
      <c r="A20473" s="29">
        <v>0.3527777777777778</v>
      </c>
    </row>
    <row r="20474" spans="1:1">
      <c r="A20474" s="27">
        <v>13</v>
      </c>
    </row>
    <row r="20475" spans="1:1">
      <c r="A20475" s="28">
        <v>0</v>
      </c>
    </row>
    <row r="20476" spans="1:1">
      <c r="A20476" s="25">
        <v>926</v>
      </c>
    </row>
    <row r="20477" spans="1:1" ht="45">
      <c r="A20477" s="26" t="s">
        <v>984</v>
      </c>
    </row>
    <row r="20478" spans="1:1">
      <c r="A20478" s="27" t="s">
        <v>42</v>
      </c>
    </row>
    <row r="20479" spans="1:1">
      <c r="A20479" s="27">
        <v>8</v>
      </c>
    </row>
    <row r="20480" spans="1:1">
      <c r="A20480" s="27">
        <v>0</v>
      </c>
    </row>
    <row r="20481" spans="1:1">
      <c r="A20481" s="27">
        <v>0</v>
      </c>
    </row>
    <row r="20482" spans="1:1">
      <c r="A20482" s="27">
        <v>0</v>
      </c>
    </row>
    <row r="20483" spans="1:1">
      <c r="A20483" s="27">
        <v>-4</v>
      </c>
    </row>
    <row r="20484" spans="1:1">
      <c r="A20484" s="27">
        <v>0</v>
      </c>
    </row>
    <row r="20485" spans="1:1">
      <c r="A20485" s="27" t="s">
        <v>656</v>
      </c>
    </row>
    <row r="20486" spans="1:1">
      <c r="A20486" s="27">
        <v>0</v>
      </c>
    </row>
    <row r="20487" spans="1:1">
      <c r="A20487" s="27">
        <v>0</v>
      </c>
    </row>
    <row r="20488" spans="1:1">
      <c r="A20488" s="27">
        <v>0</v>
      </c>
    </row>
    <row r="20489" spans="1:1">
      <c r="A20489" s="27">
        <v>0</v>
      </c>
    </row>
    <row r="20490" spans="1:1">
      <c r="A20490" s="27">
        <v>0</v>
      </c>
    </row>
    <row r="20491" spans="1:1">
      <c r="A20491" s="27">
        <v>0</v>
      </c>
    </row>
    <row r="20492" spans="1:1">
      <c r="A20492" s="27">
        <v>5</v>
      </c>
    </row>
    <row r="20493" spans="1:1">
      <c r="A20493" s="27">
        <v>0</v>
      </c>
    </row>
    <row r="20494" spans="1:1">
      <c r="A20494" s="29">
        <v>0.45902777777777781</v>
      </c>
    </row>
    <row r="20495" spans="1:1">
      <c r="A20495" s="27">
        <v>16.8</v>
      </c>
    </row>
    <row r="20496" spans="1:1">
      <c r="A20496" s="28">
        <v>0</v>
      </c>
    </row>
    <row r="20497" spans="1:1">
      <c r="A20497" s="25">
        <v>927</v>
      </c>
    </row>
    <row r="20498" spans="1:1" ht="30">
      <c r="A20498" s="26" t="s">
        <v>348</v>
      </c>
    </row>
    <row r="20499" spans="1:1">
      <c r="A20499" s="27" t="s">
        <v>653</v>
      </c>
    </row>
    <row r="20500" spans="1:1">
      <c r="A20500" s="27">
        <v>2</v>
      </c>
    </row>
    <row r="20501" spans="1:1">
      <c r="A20501" s="27">
        <v>0</v>
      </c>
    </row>
    <row r="20502" spans="1:1">
      <c r="A20502" s="27">
        <v>0</v>
      </c>
    </row>
    <row r="20503" spans="1:1">
      <c r="A20503" s="27">
        <v>0</v>
      </c>
    </row>
    <row r="20504" spans="1:1">
      <c r="A20504" s="27">
        <v>-2</v>
      </c>
    </row>
    <row r="20505" spans="1:1">
      <c r="A20505" s="27">
        <v>0</v>
      </c>
    </row>
    <row r="20506" spans="1:1">
      <c r="A20506" s="27" t="s">
        <v>656</v>
      </c>
    </row>
    <row r="20507" spans="1:1">
      <c r="A20507" s="27">
        <v>0</v>
      </c>
    </row>
    <row r="20508" spans="1:1">
      <c r="A20508" s="27">
        <v>0</v>
      </c>
    </row>
    <row r="20509" spans="1:1">
      <c r="A20509" s="27">
        <v>0</v>
      </c>
    </row>
    <row r="20510" spans="1:1">
      <c r="A20510" s="27">
        <v>0</v>
      </c>
    </row>
    <row r="20511" spans="1:1">
      <c r="A20511" s="27">
        <v>0</v>
      </c>
    </row>
    <row r="20512" spans="1:1">
      <c r="A20512" s="27">
        <v>0</v>
      </c>
    </row>
    <row r="20513" spans="1:1">
      <c r="A20513" s="27">
        <v>2</v>
      </c>
    </row>
    <row r="20514" spans="1:1">
      <c r="A20514" s="27">
        <v>0</v>
      </c>
    </row>
    <row r="20515" spans="1:1">
      <c r="A20515" s="29">
        <v>0.24027777777777778</v>
      </c>
    </row>
    <row r="20516" spans="1:1">
      <c r="A20516" s="27">
        <v>10.5</v>
      </c>
    </row>
    <row r="20517" spans="1:1">
      <c r="A20517" s="28">
        <v>0</v>
      </c>
    </row>
    <row r="20518" spans="1:1">
      <c r="A20518" s="25">
        <v>928</v>
      </c>
    </row>
    <row r="20519" spans="1:1" ht="30">
      <c r="A20519" s="26" t="s">
        <v>892</v>
      </c>
    </row>
    <row r="20520" spans="1:1">
      <c r="A20520" s="27" t="s">
        <v>653</v>
      </c>
    </row>
    <row r="20521" spans="1:1">
      <c r="A20521" s="27">
        <v>9</v>
      </c>
    </row>
    <row r="20522" spans="1:1">
      <c r="A20522" s="27">
        <v>0</v>
      </c>
    </row>
    <row r="20523" spans="1:1">
      <c r="A20523" s="27">
        <v>0</v>
      </c>
    </row>
    <row r="20524" spans="1:1">
      <c r="A20524" s="27">
        <v>0</v>
      </c>
    </row>
    <row r="20525" spans="1:1">
      <c r="A20525" s="27">
        <v>-5</v>
      </c>
    </row>
    <row r="20526" spans="1:1">
      <c r="A20526" s="27">
        <v>2</v>
      </c>
    </row>
    <row r="20527" spans="1:1">
      <c r="A20527" s="27" t="s">
        <v>656</v>
      </c>
    </row>
    <row r="20528" spans="1:1">
      <c r="A20528" s="27">
        <v>0</v>
      </c>
    </row>
    <row r="20529" spans="1:1">
      <c r="A20529" s="27">
        <v>0</v>
      </c>
    </row>
    <row r="20530" spans="1:1">
      <c r="A20530" s="27">
        <v>0</v>
      </c>
    </row>
    <row r="20531" spans="1:1">
      <c r="A20531" s="27">
        <v>0</v>
      </c>
    </row>
    <row r="20532" spans="1:1">
      <c r="A20532" s="27">
        <v>0</v>
      </c>
    </row>
    <row r="20533" spans="1:1">
      <c r="A20533" s="27">
        <v>0</v>
      </c>
    </row>
    <row r="20534" spans="1:1">
      <c r="A20534" s="27">
        <v>5</v>
      </c>
    </row>
    <row r="20535" spans="1:1">
      <c r="A20535" s="27">
        <v>0</v>
      </c>
    </row>
    <row r="20536" spans="1:1">
      <c r="A20536" s="29">
        <v>0.4465277777777778</v>
      </c>
    </row>
    <row r="20537" spans="1:1">
      <c r="A20537" s="27">
        <v>15.8</v>
      </c>
    </row>
    <row r="20538" spans="1:1">
      <c r="A20538" s="28">
        <v>35.700000000000003</v>
      </c>
    </row>
    <row r="20539" spans="1:1">
      <c r="A20539" s="25">
        <v>929</v>
      </c>
    </row>
    <row r="20540" spans="1:1" ht="30">
      <c r="A20540" s="26" t="s">
        <v>733</v>
      </c>
    </row>
    <row r="20541" spans="1:1">
      <c r="A20541" s="27" t="s">
        <v>43</v>
      </c>
    </row>
    <row r="20542" spans="1:1">
      <c r="A20542" s="27">
        <v>2</v>
      </c>
    </row>
    <row r="20543" spans="1:1">
      <c r="A20543" s="27">
        <v>0</v>
      </c>
    </row>
    <row r="20544" spans="1:1">
      <c r="A20544" s="27">
        <v>0</v>
      </c>
    </row>
    <row r="20545" spans="1:1">
      <c r="A20545" s="27">
        <v>0</v>
      </c>
    </row>
    <row r="20546" spans="1:1">
      <c r="A20546" s="27">
        <v>1</v>
      </c>
    </row>
    <row r="20547" spans="1:1">
      <c r="A20547" s="27">
        <v>2</v>
      </c>
    </row>
    <row r="20548" spans="1:1">
      <c r="A20548" s="27" t="s">
        <v>656</v>
      </c>
    </row>
    <row r="20549" spans="1:1">
      <c r="A20549" s="27">
        <v>0</v>
      </c>
    </row>
    <row r="20550" spans="1:1">
      <c r="A20550" s="27">
        <v>0</v>
      </c>
    </row>
    <row r="20551" spans="1:1">
      <c r="A20551" s="27">
        <v>0</v>
      </c>
    </row>
    <row r="20552" spans="1:1">
      <c r="A20552" s="27">
        <v>0</v>
      </c>
    </row>
    <row r="20553" spans="1:1">
      <c r="A20553" s="27">
        <v>0</v>
      </c>
    </row>
    <row r="20554" spans="1:1">
      <c r="A20554" s="27">
        <v>0</v>
      </c>
    </row>
    <row r="20555" spans="1:1">
      <c r="A20555" s="27">
        <v>0</v>
      </c>
    </row>
    <row r="20556" spans="1:1">
      <c r="A20556" s="27">
        <v>0</v>
      </c>
    </row>
    <row r="20557" spans="1:1">
      <c r="A20557" s="29">
        <v>0.35069444444444442</v>
      </c>
    </row>
    <row r="20558" spans="1:1">
      <c r="A20558" s="27">
        <v>12.5</v>
      </c>
    </row>
    <row r="20559" spans="1:1">
      <c r="A20559" s="28">
        <v>50</v>
      </c>
    </row>
    <row r="20560" spans="1:1">
      <c r="A20560" s="25">
        <v>930</v>
      </c>
    </row>
    <row r="20561" spans="1:1" ht="30">
      <c r="A20561" s="26" t="s">
        <v>981</v>
      </c>
    </row>
    <row r="20562" spans="1:1">
      <c r="A20562" s="27" t="s">
        <v>44</v>
      </c>
    </row>
    <row r="20563" spans="1:1">
      <c r="A20563" s="27">
        <v>2</v>
      </c>
    </row>
    <row r="20564" spans="1:1">
      <c r="A20564" s="27">
        <v>0</v>
      </c>
    </row>
    <row r="20565" spans="1:1">
      <c r="A20565" s="27">
        <v>0</v>
      </c>
    </row>
    <row r="20566" spans="1:1">
      <c r="A20566" s="27">
        <v>0</v>
      </c>
    </row>
    <row r="20567" spans="1:1">
      <c r="A20567" s="27">
        <v>1</v>
      </c>
    </row>
    <row r="20568" spans="1:1">
      <c r="A20568" s="27">
        <v>2</v>
      </c>
    </row>
    <row r="20569" spans="1:1">
      <c r="A20569" s="27" t="s">
        <v>656</v>
      </c>
    </row>
    <row r="20570" spans="1:1">
      <c r="A20570" s="27">
        <v>0</v>
      </c>
    </row>
    <row r="20571" spans="1:1">
      <c r="A20571" s="27">
        <v>0</v>
      </c>
    </row>
    <row r="20572" spans="1:1">
      <c r="A20572" s="27">
        <v>0</v>
      </c>
    </row>
    <row r="20573" spans="1:1">
      <c r="A20573" s="27">
        <v>0</v>
      </c>
    </row>
    <row r="20574" spans="1:1">
      <c r="A20574" s="27">
        <v>0</v>
      </c>
    </row>
    <row r="20575" spans="1:1">
      <c r="A20575" s="27">
        <v>0</v>
      </c>
    </row>
    <row r="20576" spans="1:1">
      <c r="A20576" s="27">
        <v>2</v>
      </c>
    </row>
    <row r="20577" spans="1:1">
      <c r="A20577" s="27">
        <v>0</v>
      </c>
    </row>
    <row r="20578" spans="1:1">
      <c r="A20578" s="29">
        <v>0.42499999999999999</v>
      </c>
    </row>
    <row r="20579" spans="1:1">
      <c r="A20579" s="27">
        <v>14.5</v>
      </c>
    </row>
    <row r="20580" spans="1:1">
      <c r="A20580" s="28">
        <v>0</v>
      </c>
    </row>
    <row r="20581" spans="1:1">
      <c r="A20581" s="25">
        <v>931</v>
      </c>
    </row>
    <row r="20582" spans="1:1" ht="30">
      <c r="A20582" s="26" t="s">
        <v>987</v>
      </c>
    </row>
    <row r="20583" spans="1:1">
      <c r="A20583" s="27" t="s">
        <v>42</v>
      </c>
    </row>
    <row r="20584" spans="1:1">
      <c r="A20584" s="27">
        <v>3</v>
      </c>
    </row>
    <row r="20585" spans="1:1">
      <c r="A20585" s="27">
        <v>0</v>
      </c>
    </row>
    <row r="20586" spans="1:1">
      <c r="A20586" s="27">
        <v>0</v>
      </c>
    </row>
    <row r="20587" spans="1:1">
      <c r="A20587" s="27">
        <v>0</v>
      </c>
    </row>
    <row r="20588" spans="1:1">
      <c r="A20588" s="27">
        <v>0</v>
      </c>
    </row>
    <row r="20589" spans="1:1">
      <c r="A20589" s="27">
        <v>2</v>
      </c>
    </row>
    <row r="20590" spans="1:1">
      <c r="A20590" s="27" t="s">
        <v>656</v>
      </c>
    </row>
    <row r="20591" spans="1:1">
      <c r="A20591" s="27">
        <v>0</v>
      </c>
    </row>
    <row r="20592" spans="1:1">
      <c r="A20592" s="27">
        <v>0</v>
      </c>
    </row>
    <row r="20593" spans="1:1">
      <c r="A20593" s="27">
        <v>0</v>
      </c>
    </row>
    <row r="20594" spans="1:1">
      <c r="A20594" s="27">
        <v>0</v>
      </c>
    </row>
    <row r="20595" spans="1:1">
      <c r="A20595" s="27">
        <v>0</v>
      </c>
    </row>
    <row r="20596" spans="1:1">
      <c r="A20596" s="27">
        <v>0</v>
      </c>
    </row>
    <row r="20597" spans="1:1">
      <c r="A20597" s="27">
        <v>2</v>
      </c>
    </row>
    <row r="20598" spans="1:1">
      <c r="A20598" s="27">
        <v>0</v>
      </c>
    </row>
    <row r="20599" spans="1:1">
      <c r="A20599" s="29">
        <v>0.45347222222222222</v>
      </c>
    </row>
    <row r="20600" spans="1:1">
      <c r="A20600" s="27">
        <v>16.7</v>
      </c>
    </row>
    <row r="20601" spans="1:1">
      <c r="A20601" s="28">
        <v>0</v>
      </c>
    </row>
    <row r="20602" spans="1:1">
      <c r="A20602" s="25">
        <v>932</v>
      </c>
    </row>
    <row r="20603" spans="1:1">
      <c r="A20603" s="26" t="s">
        <v>1043</v>
      </c>
    </row>
    <row r="20604" spans="1:1">
      <c r="A20604" s="27" t="s">
        <v>42</v>
      </c>
    </row>
    <row r="20605" spans="1:1">
      <c r="A20605" s="27">
        <v>18</v>
      </c>
    </row>
    <row r="20606" spans="1:1">
      <c r="A20606" s="27">
        <v>0</v>
      </c>
    </row>
    <row r="20607" spans="1:1">
      <c r="A20607" s="27">
        <v>0</v>
      </c>
    </row>
    <row r="20608" spans="1:1">
      <c r="A20608" s="27">
        <v>0</v>
      </c>
    </row>
    <row r="20609" spans="1:1">
      <c r="A20609" s="27">
        <v>-2</v>
      </c>
    </row>
    <row r="20610" spans="1:1">
      <c r="A20610" s="27">
        <v>2</v>
      </c>
    </row>
    <row r="20611" spans="1:1">
      <c r="A20611" s="27" t="s">
        <v>656</v>
      </c>
    </row>
    <row r="20612" spans="1:1">
      <c r="A20612" s="27">
        <v>0</v>
      </c>
    </row>
    <row r="20613" spans="1:1">
      <c r="A20613" s="27">
        <v>0</v>
      </c>
    </row>
    <row r="20614" spans="1:1">
      <c r="A20614" s="27">
        <v>0</v>
      </c>
    </row>
    <row r="20615" spans="1:1">
      <c r="A20615" s="27">
        <v>0</v>
      </c>
    </row>
    <row r="20616" spans="1:1">
      <c r="A20616" s="27">
        <v>0</v>
      </c>
    </row>
    <row r="20617" spans="1:1">
      <c r="A20617" s="27">
        <v>0</v>
      </c>
    </row>
    <row r="20618" spans="1:1">
      <c r="A20618" s="27">
        <v>13</v>
      </c>
    </row>
    <row r="20619" spans="1:1">
      <c r="A20619" s="27">
        <v>0</v>
      </c>
    </row>
    <row r="20620" spans="1:1">
      <c r="A20620" s="29">
        <v>0.5</v>
      </c>
    </row>
    <row r="20621" spans="1:1">
      <c r="A20621" s="27">
        <v>16.5</v>
      </c>
    </row>
    <row r="20622" spans="1:1">
      <c r="A20622" s="28">
        <v>0</v>
      </c>
    </row>
    <row r="20623" spans="1:1">
      <c r="A20623" s="25">
        <v>933</v>
      </c>
    </row>
    <row r="20624" spans="1:1" ht="30">
      <c r="A20624" s="26" t="s">
        <v>1016</v>
      </c>
    </row>
    <row r="20625" spans="1:1">
      <c r="A20625" s="27" t="s">
        <v>44</v>
      </c>
    </row>
    <row r="20626" spans="1:1">
      <c r="A20626" s="27">
        <v>12</v>
      </c>
    </row>
    <row r="20627" spans="1:1">
      <c r="A20627" s="27">
        <v>0</v>
      </c>
    </row>
    <row r="20628" spans="1:1">
      <c r="A20628" s="27">
        <v>0</v>
      </c>
    </row>
    <row r="20629" spans="1:1">
      <c r="A20629" s="27">
        <v>0</v>
      </c>
    </row>
    <row r="20630" spans="1:1">
      <c r="A20630" s="27">
        <v>-3</v>
      </c>
    </row>
    <row r="20631" spans="1:1">
      <c r="A20631" s="27">
        <v>2</v>
      </c>
    </row>
    <row r="20632" spans="1:1">
      <c r="A20632" s="27" t="s">
        <v>656</v>
      </c>
    </row>
    <row r="20633" spans="1:1">
      <c r="A20633" s="27">
        <v>0</v>
      </c>
    </row>
    <row r="20634" spans="1:1">
      <c r="A20634" s="27">
        <v>0</v>
      </c>
    </row>
    <row r="20635" spans="1:1">
      <c r="A20635" s="27">
        <v>0</v>
      </c>
    </row>
    <row r="20636" spans="1:1">
      <c r="A20636" s="27">
        <v>0</v>
      </c>
    </row>
    <row r="20637" spans="1:1">
      <c r="A20637" s="27">
        <v>0</v>
      </c>
    </row>
    <row r="20638" spans="1:1">
      <c r="A20638" s="27">
        <v>0</v>
      </c>
    </row>
    <row r="20639" spans="1:1">
      <c r="A20639" s="27">
        <v>6</v>
      </c>
    </row>
    <row r="20640" spans="1:1">
      <c r="A20640" s="27">
        <v>0</v>
      </c>
    </row>
    <row r="20641" spans="1:1">
      <c r="A20641" s="29">
        <v>0.27638888888888885</v>
      </c>
    </row>
    <row r="20642" spans="1:1">
      <c r="A20642" s="27">
        <v>9.6999999999999993</v>
      </c>
    </row>
    <row r="20643" spans="1:1">
      <c r="A20643" s="28">
        <v>0</v>
      </c>
    </row>
    <row r="20644" spans="1:1">
      <c r="A20644" s="25">
        <v>934</v>
      </c>
    </row>
    <row r="20645" spans="1:1" ht="45">
      <c r="A20645" s="26" t="s">
        <v>813</v>
      </c>
    </row>
    <row r="20646" spans="1:1">
      <c r="A20646" s="27" t="s">
        <v>653</v>
      </c>
    </row>
    <row r="20647" spans="1:1">
      <c r="A20647" s="27">
        <v>6</v>
      </c>
    </row>
    <row r="20648" spans="1:1">
      <c r="A20648" s="27">
        <v>0</v>
      </c>
    </row>
    <row r="20649" spans="1:1">
      <c r="A20649" s="27">
        <v>0</v>
      </c>
    </row>
    <row r="20650" spans="1:1">
      <c r="A20650" s="27">
        <v>0</v>
      </c>
    </row>
    <row r="20651" spans="1:1">
      <c r="A20651" s="27">
        <v>-1</v>
      </c>
    </row>
    <row r="20652" spans="1:1">
      <c r="A20652" s="27">
        <v>2</v>
      </c>
    </row>
    <row r="20653" spans="1:1">
      <c r="A20653" s="27" t="s">
        <v>656</v>
      </c>
    </row>
    <row r="20654" spans="1:1">
      <c r="A20654" s="27">
        <v>0</v>
      </c>
    </row>
    <row r="20655" spans="1:1">
      <c r="A20655" s="27">
        <v>0</v>
      </c>
    </row>
    <row r="20656" spans="1:1">
      <c r="A20656" s="27">
        <v>0</v>
      </c>
    </row>
    <row r="20657" spans="1:1">
      <c r="A20657" s="27">
        <v>0</v>
      </c>
    </row>
    <row r="20658" spans="1:1">
      <c r="A20658" s="27">
        <v>0</v>
      </c>
    </row>
    <row r="20659" spans="1:1">
      <c r="A20659" s="27">
        <v>0</v>
      </c>
    </row>
    <row r="20660" spans="1:1">
      <c r="A20660" s="27">
        <v>5</v>
      </c>
    </row>
    <row r="20661" spans="1:1">
      <c r="A20661" s="27">
        <v>0</v>
      </c>
    </row>
    <row r="20662" spans="1:1">
      <c r="A20662" s="29">
        <v>0.4055555555555555</v>
      </c>
    </row>
    <row r="20663" spans="1:1">
      <c r="A20663" s="27">
        <v>14.3</v>
      </c>
    </row>
    <row r="20664" spans="1:1">
      <c r="A20664" s="28">
        <v>44.8</v>
      </c>
    </row>
    <row r="20665" spans="1:1">
      <c r="A20665" s="25">
        <v>935</v>
      </c>
    </row>
    <row r="20666" spans="1:1" ht="30">
      <c r="A20666" s="26" t="s">
        <v>719</v>
      </c>
    </row>
    <row r="20667" spans="1:1">
      <c r="A20667" s="27" t="s">
        <v>653</v>
      </c>
    </row>
    <row r="20668" spans="1:1">
      <c r="A20668" s="27">
        <v>17</v>
      </c>
    </row>
    <row r="20669" spans="1:1">
      <c r="A20669" s="27">
        <v>0</v>
      </c>
    </row>
    <row r="20670" spans="1:1">
      <c r="A20670" s="27">
        <v>0</v>
      </c>
    </row>
    <row r="20671" spans="1:1">
      <c r="A20671" s="27">
        <v>0</v>
      </c>
    </row>
    <row r="20672" spans="1:1">
      <c r="A20672" s="27">
        <v>-5</v>
      </c>
    </row>
    <row r="20673" spans="1:1">
      <c r="A20673" s="27">
        <v>15</v>
      </c>
    </row>
    <row r="20674" spans="1:1">
      <c r="A20674" s="27" t="s">
        <v>656</v>
      </c>
    </row>
    <row r="20675" spans="1:1">
      <c r="A20675" s="27">
        <v>0</v>
      </c>
    </row>
    <row r="20676" spans="1:1">
      <c r="A20676" s="27">
        <v>0</v>
      </c>
    </row>
    <row r="20677" spans="1:1">
      <c r="A20677" s="27">
        <v>0</v>
      </c>
    </row>
    <row r="20678" spans="1:1">
      <c r="A20678" s="27">
        <v>0</v>
      </c>
    </row>
    <row r="20679" spans="1:1">
      <c r="A20679" s="27">
        <v>0</v>
      </c>
    </row>
    <row r="20680" spans="1:1">
      <c r="A20680" s="27">
        <v>0</v>
      </c>
    </row>
    <row r="20681" spans="1:1">
      <c r="A20681" s="27">
        <v>20</v>
      </c>
    </row>
    <row r="20682" spans="1:1">
      <c r="A20682" s="27">
        <v>0</v>
      </c>
    </row>
    <row r="20683" spans="1:1">
      <c r="A20683" s="29">
        <v>0.37708333333333338</v>
      </c>
    </row>
    <row r="20684" spans="1:1">
      <c r="A20684" s="27">
        <v>12.8</v>
      </c>
    </row>
    <row r="20685" spans="1:1">
      <c r="A20685" s="28">
        <v>50.6</v>
      </c>
    </row>
    <row r="20686" spans="1:1">
      <c r="A20686" s="25">
        <v>936</v>
      </c>
    </row>
    <row r="20687" spans="1:1" ht="30">
      <c r="A20687" s="26" t="s">
        <v>954</v>
      </c>
    </row>
    <row r="20688" spans="1:1">
      <c r="A20688" s="27" t="s">
        <v>43</v>
      </c>
    </row>
    <row r="20689" spans="1:1">
      <c r="A20689" s="27">
        <v>1</v>
      </c>
    </row>
    <row r="20690" spans="1:1">
      <c r="A20690" s="27">
        <v>0</v>
      </c>
    </row>
    <row r="20691" spans="1:1">
      <c r="A20691" s="27">
        <v>0</v>
      </c>
    </row>
    <row r="20692" spans="1:1">
      <c r="A20692" s="27">
        <v>0</v>
      </c>
    </row>
    <row r="20693" spans="1:1">
      <c r="A20693" s="27">
        <v>-1</v>
      </c>
    </row>
    <row r="20694" spans="1:1">
      <c r="A20694" s="27">
        <v>0</v>
      </c>
    </row>
    <row r="20695" spans="1:1">
      <c r="A20695" s="27" t="s">
        <v>656</v>
      </c>
    </row>
    <row r="20696" spans="1:1">
      <c r="A20696" s="27">
        <v>0</v>
      </c>
    </row>
    <row r="20697" spans="1:1">
      <c r="A20697" s="27">
        <v>0</v>
      </c>
    </row>
    <row r="20698" spans="1:1">
      <c r="A20698" s="27">
        <v>0</v>
      </c>
    </row>
    <row r="20699" spans="1:1">
      <c r="A20699" s="27">
        <v>0</v>
      </c>
    </row>
    <row r="20700" spans="1:1">
      <c r="A20700" s="27">
        <v>0</v>
      </c>
    </row>
    <row r="20701" spans="1:1">
      <c r="A20701" s="27">
        <v>0</v>
      </c>
    </row>
    <row r="20702" spans="1:1">
      <c r="A20702" s="27">
        <v>0</v>
      </c>
    </row>
    <row r="20703" spans="1:1">
      <c r="A20703" s="27">
        <v>0</v>
      </c>
    </row>
    <row r="20704" spans="1:1">
      <c r="A20704" s="29">
        <v>0.32847222222222222</v>
      </c>
    </row>
    <row r="20705" spans="1:1">
      <c r="A20705" s="27">
        <v>10</v>
      </c>
    </row>
    <row r="20706" spans="1:1">
      <c r="A20706" s="28">
        <v>0</v>
      </c>
    </row>
    <row r="20707" spans="1:1">
      <c r="A20707" s="25">
        <v>937</v>
      </c>
    </row>
    <row r="20708" spans="1:1" ht="30">
      <c r="A20708" s="26" t="s">
        <v>989</v>
      </c>
    </row>
    <row r="20709" spans="1:1">
      <c r="A20709" s="27" t="s">
        <v>42</v>
      </c>
    </row>
    <row r="20710" spans="1:1">
      <c r="A20710" s="27">
        <v>7</v>
      </c>
    </row>
    <row r="20711" spans="1:1">
      <c r="A20711" s="27">
        <v>0</v>
      </c>
    </row>
    <row r="20712" spans="1:1">
      <c r="A20712" s="27">
        <v>0</v>
      </c>
    </row>
    <row r="20713" spans="1:1">
      <c r="A20713" s="27">
        <v>0</v>
      </c>
    </row>
    <row r="20714" spans="1:1">
      <c r="A20714" s="27">
        <v>-2</v>
      </c>
    </row>
    <row r="20715" spans="1:1">
      <c r="A20715" s="27">
        <v>12</v>
      </c>
    </row>
    <row r="20716" spans="1:1">
      <c r="A20716" s="27" t="s">
        <v>656</v>
      </c>
    </row>
    <row r="20717" spans="1:1">
      <c r="A20717" s="27">
        <v>0</v>
      </c>
    </row>
    <row r="20718" spans="1:1">
      <c r="A20718" s="27">
        <v>0</v>
      </c>
    </row>
    <row r="20719" spans="1:1">
      <c r="A20719" s="27">
        <v>0</v>
      </c>
    </row>
    <row r="20720" spans="1:1">
      <c r="A20720" s="27">
        <v>0</v>
      </c>
    </row>
    <row r="20721" spans="1:1">
      <c r="A20721" s="27">
        <v>0</v>
      </c>
    </row>
    <row r="20722" spans="1:1">
      <c r="A20722" s="27">
        <v>0</v>
      </c>
    </row>
    <row r="20723" spans="1:1">
      <c r="A20723" s="27">
        <v>5</v>
      </c>
    </row>
    <row r="20724" spans="1:1">
      <c r="A20724" s="27">
        <v>0</v>
      </c>
    </row>
    <row r="20725" spans="1:1">
      <c r="A20725" s="29">
        <v>0.4145833333333333</v>
      </c>
    </row>
    <row r="20726" spans="1:1">
      <c r="A20726" s="27">
        <v>13.6</v>
      </c>
    </row>
    <row r="20727" spans="1:1">
      <c r="A20727" s="28">
        <v>0</v>
      </c>
    </row>
    <row r="20728" spans="1:1">
      <c r="A20728" s="25">
        <v>938</v>
      </c>
    </row>
    <row r="20729" spans="1:1">
      <c r="A20729" s="26" t="s">
        <v>921</v>
      </c>
    </row>
    <row r="20730" spans="1:1">
      <c r="A20730" s="27" t="s">
        <v>44</v>
      </c>
    </row>
    <row r="20731" spans="1:1">
      <c r="A20731" s="27">
        <v>1</v>
      </c>
    </row>
    <row r="20732" spans="1:1">
      <c r="A20732" s="27">
        <v>0</v>
      </c>
    </row>
    <row r="20733" spans="1:1">
      <c r="A20733" s="27">
        <v>0</v>
      </c>
    </row>
    <row r="20734" spans="1:1">
      <c r="A20734" s="27">
        <v>0</v>
      </c>
    </row>
    <row r="20735" spans="1:1">
      <c r="A20735" s="27">
        <v>-1</v>
      </c>
    </row>
    <row r="20736" spans="1:1">
      <c r="A20736" s="27">
        <v>0</v>
      </c>
    </row>
    <row r="20737" spans="1:1">
      <c r="A20737" s="27" t="s">
        <v>656</v>
      </c>
    </row>
    <row r="20738" spans="1:1">
      <c r="A20738" s="27">
        <v>0</v>
      </c>
    </row>
    <row r="20739" spans="1:1">
      <c r="A20739" s="27">
        <v>0</v>
      </c>
    </row>
    <row r="20740" spans="1:1">
      <c r="A20740" s="27">
        <v>0</v>
      </c>
    </row>
    <row r="20741" spans="1:1">
      <c r="A20741" s="27">
        <v>0</v>
      </c>
    </row>
    <row r="20742" spans="1:1">
      <c r="A20742" s="27">
        <v>0</v>
      </c>
    </row>
    <row r="20743" spans="1:1">
      <c r="A20743" s="27">
        <v>0</v>
      </c>
    </row>
    <row r="20744" spans="1:1">
      <c r="A20744" s="27">
        <v>0</v>
      </c>
    </row>
    <row r="20745" spans="1:1">
      <c r="A20745" s="27">
        <v>0</v>
      </c>
    </row>
    <row r="20746" spans="1:1">
      <c r="A20746" s="29">
        <v>0.26805555555555555</v>
      </c>
    </row>
    <row r="20747" spans="1:1">
      <c r="A20747" s="27">
        <v>10</v>
      </c>
    </row>
    <row r="20748" spans="1:1">
      <c r="A20748" s="28">
        <v>25</v>
      </c>
    </row>
    <row r="20749" spans="1:1">
      <c r="A20749" s="25">
        <v>939</v>
      </c>
    </row>
    <row r="20750" spans="1:1" ht="30">
      <c r="A20750" s="26" t="s">
        <v>909</v>
      </c>
    </row>
    <row r="20751" spans="1:1">
      <c r="A20751" s="27" t="s">
        <v>44</v>
      </c>
    </row>
    <row r="20752" spans="1:1">
      <c r="A20752" s="27">
        <v>6</v>
      </c>
    </row>
    <row r="20753" spans="1:1">
      <c r="A20753" s="27">
        <v>0</v>
      </c>
    </row>
    <row r="20754" spans="1:1">
      <c r="A20754" s="27">
        <v>0</v>
      </c>
    </row>
    <row r="20755" spans="1:1">
      <c r="A20755" s="27">
        <v>0</v>
      </c>
    </row>
    <row r="20756" spans="1:1">
      <c r="A20756" s="27">
        <v>0</v>
      </c>
    </row>
    <row r="20757" spans="1:1">
      <c r="A20757" s="27">
        <v>2</v>
      </c>
    </row>
    <row r="20758" spans="1:1">
      <c r="A20758" s="27" t="s">
        <v>656</v>
      </c>
    </row>
    <row r="20759" spans="1:1">
      <c r="A20759" s="27">
        <v>0</v>
      </c>
    </row>
    <row r="20760" spans="1:1">
      <c r="A20760" s="27">
        <v>0</v>
      </c>
    </row>
    <row r="20761" spans="1:1">
      <c r="A20761" s="27">
        <v>0</v>
      </c>
    </row>
    <row r="20762" spans="1:1">
      <c r="A20762" s="27">
        <v>0</v>
      </c>
    </row>
    <row r="20763" spans="1:1">
      <c r="A20763" s="27">
        <v>0</v>
      </c>
    </row>
    <row r="20764" spans="1:1">
      <c r="A20764" s="27">
        <v>0</v>
      </c>
    </row>
    <row r="20765" spans="1:1">
      <c r="A20765" s="27">
        <v>2</v>
      </c>
    </row>
    <row r="20766" spans="1:1">
      <c r="A20766" s="27">
        <v>0</v>
      </c>
    </row>
    <row r="20767" spans="1:1">
      <c r="A20767" s="29">
        <v>0.30624999999999997</v>
      </c>
    </row>
    <row r="20768" spans="1:1">
      <c r="A20768" s="27">
        <v>9.6999999999999993</v>
      </c>
    </row>
    <row r="20769" spans="1:1">
      <c r="A20769" s="28">
        <v>30.8</v>
      </c>
    </row>
    <row r="20770" spans="1:1">
      <c r="A20770" s="25">
        <v>940</v>
      </c>
    </row>
    <row r="20771" spans="1:1" ht="45">
      <c r="A20771" s="26" t="s">
        <v>990</v>
      </c>
    </row>
    <row r="20772" spans="1:1">
      <c r="A20772" s="27" t="s">
        <v>44</v>
      </c>
    </row>
    <row r="20773" spans="1:1">
      <c r="A20773" s="27">
        <v>4</v>
      </c>
    </row>
    <row r="20774" spans="1:1">
      <c r="A20774" s="27">
        <v>0</v>
      </c>
    </row>
    <row r="20775" spans="1:1">
      <c r="A20775" s="27">
        <v>0</v>
      </c>
    </row>
    <row r="20776" spans="1:1">
      <c r="A20776" s="27">
        <v>0</v>
      </c>
    </row>
    <row r="20777" spans="1:1">
      <c r="A20777" s="27">
        <v>-1</v>
      </c>
    </row>
    <row r="20778" spans="1:1">
      <c r="A20778" s="27">
        <v>0</v>
      </c>
    </row>
    <row r="20779" spans="1:1">
      <c r="A20779" s="27" t="s">
        <v>656</v>
      </c>
    </row>
    <row r="20780" spans="1:1">
      <c r="A20780" s="27">
        <v>0</v>
      </c>
    </row>
    <row r="20781" spans="1:1">
      <c r="A20781" s="27">
        <v>0</v>
      </c>
    </row>
    <row r="20782" spans="1:1">
      <c r="A20782" s="27">
        <v>0</v>
      </c>
    </row>
    <row r="20783" spans="1:1">
      <c r="A20783" s="27">
        <v>0</v>
      </c>
    </row>
    <row r="20784" spans="1:1">
      <c r="A20784" s="27">
        <v>0</v>
      </c>
    </row>
    <row r="20785" spans="1:1">
      <c r="A20785" s="27">
        <v>0</v>
      </c>
    </row>
    <row r="20786" spans="1:1">
      <c r="A20786" s="27">
        <v>2</v>
      </c>
    </row>
    <row r="20787" spans="1:1">
      <c r="A20787" s="27">
        <v>0</v>
      </c>
    </row>
    <row r="20788" spans="1:1">
      <c r="A20788" s="29">
        <v>0.54166666666666663</v>
      </c>
    </row>
    <row r="20789" spans="1:1">
      <c r="A20789" s="27">
        <v>16.5</v>
      </c>
    </row>
    <row r="20790" spans="1:1">
      <c r="A20790" s="28">
        <v>0</v>
      </c>
    </row>
    <row r="20791" spans="1:1">
      <c r="A20791" s="25">
        <v>941</v>
      </c>
    </row>
    <row r="20792" spans="1:1" ht="30">
      <c r="A20792" s="26" t="s">
        <v>967</v>
      </c>
    </row>
    <row r="20793" spans="1:1">
      <c r="A20793" s="27" t="s">
        <v>42</v>
      </c>
    </row>
    <row r="20794" spans="1:1">
      <c r="A20794" s="27">
        <v>1</v>
      </c>
    </row>
    <row r="20795" spans="1:1">
      <c r="A20795" s="27">
        <v>0</v>
      </c>
    </row>
    <row r="20796" spans="1:1">
      <c r="A20796" s="27">
        <v>0</v>
      </c>
    </row>
    <row r="20797" spans="1:1">
      <c r="A20797" s="27">
        <v>0</v>
      </c>
    </row>
    <row r="20798" spans="1:1">
      <c r="A20798" s="27">
        <v>-2</v>
      </c>
    </row>
    <row r="20799" spans="1:1">
      <c r="A20799" s="27">
        <v>0</v>
      </c>
    </row>
    <row r="20800" spans="1:1">
      <c r="A20800" s="27" t="s">
        <v>656</v>
      </c>
    </row>
    <row r="20801" spans="1:1">
      <c r="A20801" s="27">
        <v>0</v>
      </c>
    </row>
    <row r="20802" spans="1:1">
      <c r="A20802" s="27">
        <v>0</v>
      </c>
    </row>
    <row r="20803" spans="1:1">
      <c r="A20803" s="27">
        <v>0</v>
      </c>
    </row>
    <row r="20804" spans="1:1">
      <c r="A20804" s="27">
        <v>0</v>
      </c>
    </row>
    <row r="20805" spans="1:1">
      <c r="A20805" s="27">
        <v>0</v>
      </c>
    </row>
    <row r="20806" spans="1:1">
      <c r="A20806" s="27">
        <v>0</v>
      </c>
    </row>
    <row r="20807" spans="1:1">
      <c r="A20807" s="27">
        <v>0</v>
      </c>
    </row>
    <row r="20808" spans="1:1">
      <c r="A20808" s="27">
        <v>0</v>
      </c>
    </row>
    <row r="20809" spans="1:1">
      <c r="A20809" s="29">
        <v>0.6333333333333333</v>
      </c>
    </row>
    <row r="20810" spans="1:1">
      <c r="A20810" s="27">
        <v>21</v>
      </c>
    </row>
    <row r="20811" spans="1:1">
      <c r="A20811" s="28">
        <v>0</v>
      </c>
    </row>
    <row r="20812" spans="1:1">
      <c r="A20812" s="25">
        <v>942</v>
      </c>
    </row>
    <row r="20813" spans="1:1" ht="30">
      <c r="A20813" s="26" t="s">
        <v>999</v>
      </c>
    </row>
    <row r="20814" spans="1:1">
      <c r="A20814" s="27" t="s">
        <v>42</v>
      </c>
    </row>
    <row r="20815" spans="1:1">
      <c r="A20815" s="27">
        <v>1</v>
      </c>
    </row>
    <row r="20816" spans="1:1">
      <c r="A20816" s="27">
        <v>0</v>
      </c>
    </row>
    <row r="20817" spans="1:1">
      <c r="A20817" s="27">
        <v>0</v>
      </c>
    </row>
    <row r="20818" spans="1:1">
      <c r="A20818" s="27">
        <v>0</v>
      </c>
    </row>
    <row r="20819" spans="1:1">
      <c r="A20819" s="27">
        <v>-1</v>
      </c>
    </row>
    <row r="20820" spans="1:1">
      <c r="A20820" s="27">
        <v>2</v>
      </c>
    </row>
    <row r="20821" spans="1:1">
      <c r="A20821" s="27" t="s">
        <v>656</v>
      </c>
    </row>
    <row r="20822" spans="1:1">
      <c r="A20822" s="27">
        <v>0</v>
      </c>
    </row>
    <row r="20823" spans="1:1">
      <c r="A20823" s="27">
        <v>0</v>
      </c>
    </row>
    <row r="20824" spans="1:1">
      <c r="A20824" s="27">
        <v>0</v>
      </c>
    </row>
    <row r="20825" spans="1:1">
      <c r="A20825" s="27">
        <v>0</v>
      </c>
    </row>
    <row r="20826" spans="1:1">
      <c r="A20826" s="27">
        <v>0</v>
      </c>
    </row>
    <row r="20827" spans="1:1">
      <c r="A20827" s="27">
        <v>0</v>
      </c>
    </row>
    <row r="20828" spans="1:1">
      <c r="A20828" s="27">
        <v>0</v>
      </c>
    </row>
    <row r="20829" spans="1:1">
      <c r="A20829" s="27">
        <v>0</v>
      </c>
    </row>
    <row r="20830" spans="1:1">
      <c r="A20830" s="29">
        <v>0.56944444444444442</v>
      </c>
    </row>
    <row r="20831" spans="1:1">
      <c r="A20831" s="27">
        <v>17</v>
      </c>
    </row>
    <row r="20832" spans="1:1">
      <c r="A20832" s="28">
        <v>0</v>
      </c>
    </row>
    <row r="20833" spans="1:1">
      <c r="A20833" s="25">
        <v>943</v>
      </c>
    </row>
    <row r="20834" spans="1:1" ht="30">
      <c r="A20834" s="26" t="s">
        <v>998</v>
      </c>
    </row>
    <row r="20835" spans="1:1">
      <c r="A20835" s="27" t="s">
        <v>42</v>
      </c>
    </row>
    <row r="20836" spans="1:1">
      <c r="A20836" s="27">
        <v>4</v>
      </c>
    </row>
    <row r="20837" spans="1:1">
      <c r="A20837" s="27">
        <v>0</v>
      </c>
    </row>
    <row r="20838" spans="1:1">
      <c r="A20838" s="27">
        <v>0</v>
      </c>
    </row>
    <row r="20839" spans="1:1">
      <c r="A20839" s="27">
        <v>0</v>
      </c>
    </row>
    <row r="20840" spans="1:1">
      <c r="A20840" s="27">
        <v>-3</v>
      </c>
    </row>
    <row r="20841" spans="1:1">
      <c r="A20841" s="27">
        <v>10</v>
      </c>
    </row>
    <row r="20842" spans="1:1">
      <c r="A20842" s="27" t="s">
        <v>656</v>
      </c>
    </row>
    <row r="20843" spans="1:1">
      <c r="A20843" s="27">
        <v>0</v>
      </c>
    </row>
    <row r="20844" spans="1:1">
      <c r="A20844" s="27">
        <v>0</v>
      </c>
    </row>
    <row r="20845" spans="1:1">
      <c r="A20845" s="27">
        <v>0</v>
      </c>
    </row>
    <row r="20846" spans="1:1">
      <c r="A20846" s="27">
        <v>0</v>
      </c>
    </row>
    <row r="20847" spans="1:1">
      <c r="A20847" s="27">
        <v>0</v>
      </c>
    </row>
    <row r="20848" spans="1:1">
      <c r="A20848" s="27">
        <v>0</v>
      </c>
    </row>
    <row r="20849" spans="1:1">
      <c r="A20849" s="27">
        <v>4</v>
      </c>
    </row>
    <row r="20850" spans="1:1">
      <c r="A20850" s="27">
        <v>0</v>
      </c>
    </row>
    <row r="20851" spans="1:1">
      <c r="A20851" s="29">
        <v>0.57777777777777783</v>
      </c>
    </row>
    <row r="20852" spans="1:1">
      <c r="A20852" s="27">
        <v>19.8</v>
      </c>
    </row>
    <row r="20853" spans="1:1">
      <c r="A20853" s="28">
        <v>0</v>
      </c>
    </row>
    <row r="20854" spans="1:1">
      <c r="A20854" s="25">
        <v>944</v>
      </c>
    </row>
    <row r="20855" spans="1:1" ht="30">
      <c r="A20855" s="26" t="s">
        <v>1015</v>
      </c>
    </row>
    <row r="20856" spans="1:1">
      <c r="A20856" s="27" t="s">
        <v>42</v>
      </c>
    </row>
    <row r="20857" spans="1:1">
      <c r="A20857" s="27">
        <v>4</v>
      </c>
    </row>
    <row r="20858" spans="1:1">
      <c r="A20858" s="27">
        <v>0</v>
      </c>
    </row>
    <row r="20859" spans="1:1">
      <c r="A20859" s="27">
        <v>0</v>
      </c>
    </row>
    <row r="20860" spans="1:1">
      <c r="A20860" s="27">
        <v>0</v>
      </c>
    </row>
    <row r="20861" spans="1:1">
      <c r="A20861" s="27">
        <v>-2</v>
      </c>
    </row>
    <row r="20862" spans="1:1">
      <c r="A20862" s="27">
        <v>7</v>
      </c>
    </row>
    <row r="20863" spans="1:1">
      <c r="A20863" s="27" t="s">
        <v>656</v>
      </c>
    </row>
    <row r="20864" spans="1:1">
      <c r="A20864" s="27">
        <v>0</v>
      </c>
    </row>
    <row r="20865" spans="1:1">
      <c r="A20865" s="27">
        <v>0</v>
      </c>
    </row>
    <row r="20866" spans="1:1">
      <c r="A20866" s="27">
        <v>0</v>
      </c>
    </row>
    <row r="20867" spans="1:1">
      <c r="A20867" s="27">
        <v>0</v>
      </c>
    </row>
    <row r="20868" spans="1:1">
      <c r="A20868" s="27">
        <v>0</v>
      </c>
    </row>
    <row r="20869" spans="1:1">
      <c r="A20869" s="27">
        <v>0</v>
      </c>
    </row>
    <row r="20870" spans="1:1">
      <c r="A20870" s="27">
        <v>8</v>
      </c>
    </row>
    <row r="20871" spans="1:1">
      <c r="A20871" s="27">
        <v>0</v>
      </c>
    </row>
    <row r="20872" spans="1:1">
      <c r="A20872" s="29">
        <v>0.6166666666666667</v>
      </c>
    </row>
    <row r="20873" spans="1:1">
      <c r="A20873" s="27">
        <v>22.3</v>
      </c>
    </row>
    <row r="20874" spans="1:1">
      <c r="A20874" s="28">
        <v>0</v>
      </c>
    </row>
    <row r="20875" spans="1:1">
      <c r="A20875" s="25">
        <v>945</v>
      </c>
    </row>
    <row r="20876" spans="1:1" ht="30">
      <c r="A20876" s="26" t="s">
        <v>1030</v>
      </c>
    </row>
    <row r="20877" spans="1:1">
      <c r="A20877" s="27" t="s">
        <v>42</v>
      </c>
    </row>
    <row r="20878" spans="1:1">
      <c r="A20878" s="27">
        <v>11</v>
      </c>
    </row>
    <row r="20879" spans="1:1">
      <c r="A20879" s="27">
        <v>0</v>
      </c>
    </row>
    <row r="20880" spans="1:1">
      <c r="A20880" s="27">
        <v>0</v>
      </c>
    </row>
    <row r="20881" spans="1:1">
      <c r="A20881" s="27">
        <v>0</v>
      </c>
    </row>
    <row r="20882" spans="1:1">
      <c r="A20882" s="27">
        <v>-1</v>
      </c>
    </row>
    <row r="20883" spans="1:1">
      <c r="A20883" s="27">
        <v>5</v>
      </c>
    </row>
    <row r="20884" spans="1:1">
      <c r="A20884" s="27" t="s">
        <v>656</v>
      </c>
    </row>
    <row r="20885" spans="1:1">
      <c r="A20885" s="27">
        <v>0</v>
      </c>
    </row>
    <row r="20886" spans="1:1">
      <c r="A20886" s="27">
        <v>0</v>
      </c>
    </row>
    <row r="20887" spans="1:1">
      <c r="A20887" s="27">
        <v>0</v>
      </c>
    </row>
    <row r="20888" spans="1:1">
      <c r="A20888" s="27">
        <v>0</v>
      </c>
    </row>
    <row r="20889" spans="1:1">
      <c r="A20889" s="27">
        <v>0</v>
      </c>
    </row>
    <row r="20890" spans="1:1">
      <c r="A20890" s="27">
        <v>0</v>
      </c>
    </row>
    <row r="20891" spans="1:1">
      <c r="A20891" s="27">
        <v>9</v>
      </c>
    </row>
    <row r="20892" spans="1:1">
      <c r="A20892" s="27">
        <v>0</v>
      </c>
    </row>
    <row r="20893" spans="1:1">
      <c r="A20893" s="29">
        <v>0.48194444444444445</v>
      </c>
    </row>
    <row r="20894" spans="1:1">
      <c r="A20894" s="27">
        <v>16.100000000000001</v>
      </c>
    </row>
    <row r="20895" spans="1:1">
      <c r="A20895" s="28">
        <v>0</v>
      </c>
    </row>
    <row r="20896" spans="1:1">
      <c r="A20896" s="25">
        <v>946</v>
      </c>
    </row>
    <row r="20897" spans="1:1" ht="45">
      <c r="A20897" s="26" t="s">
        <v>963</v>
      </c>
    </row>
    <row r="20898" spans="1:1">
      <c r="A20898" s="27" t="s">
        <v>44</v>
      </c>
    </row>
    <row r="20899" spans="1:1">
      <c r="A20899" s="27">
        <v>11</v>
      </c>
    </row>
    <row r="20900" spans="1:1">
      <c r="A20900" s="27">
        <v>0</v>
      </c>
    </row>
    <row r="20901" spans="1:1">
      <c r="A20901" s="27">
        <v>0</v>
      </c>
    </row>
    <row r="20902" spans="1:1">
      <c r="A20902" s="27">
        <v>0</v>
      </c>
    </row>
    <row r="20903" spans="1:1">
      <c r="A20903" s="27">
        <v>-5</v>
      </c>
    </row>
    <row r="20904" spans="1:1">
      <c r="A20904" s="27">
        <v>4</v>
      </c>
    </row>
    <row r="20905" spans="1:1">
      <c r="A20905" s="27" t="s">
        <v>656</v>
      </c>
    </row>
    <row r="20906" spans="1:1">
      <c r="A20906" s="27">
        <v>0</v>
      </c>
    </row>
    <row r="20907" spans="1:1">
      <c r="A20907" s="27">
        <v>0</v>
      </c>
    </row>
    <row r="20908" spans="1:1">
      <c r="A20908" s="27">
        <v>0</v>
      </c>
    </row>
    <row r="20909" spans="1:1">
      <c r="A20909" s="27">
        <v>0</v>
      </c>
    </row>
    <row r="20910" spans="1:1">
      <c r="A20910" s="27">
        <v>0</v>
      </c>
    </row>
    <row r="20911" spans="1:1">
      <c r="A20911" s="27">
        <v>0</v>
      </c>
    </row>
    <row r="20912" spans="1:1">
      <c r="A20912" s="27">
        <v>12</v>
      </c>
    </row>
    <row r="20913" spans="1:1">
      <c r="A20913" s="27">
        <v>0</v>
      </c>
    </row>
    <row r="20914" spans="1:1">
      <c r="A20914" s="29">
        <v>0.45694444444444443</v>
      </c>
    </row>
    <row r="20915" spans="1:1">
      <c r="A20915" s="27">
        <v>15</v>
      </c>
    </row>
    <row r="20916" spans="1:1">
      <c r="A20916" s="28">
        <v>0</v>
      </c>
    </row>
    <row r="20917" spans="1:1">
      <c r="A20917" s="25">
        <v>947</v>
      </c>
    </row>
    <row r="20918" spans="1:1" ht="30">
      <c r="A20918" s="26" t="s">
        <v>655</v>
      </c>
    </row>
    <row r="20919" spans="1:1">
      <c r="A20919" s="27" t="s">
        <v>653</v>
      </c>
    </row>
    <row r="20920" spans="1:1">
      <c r="A20920" s="27">
        <v>3</v>
      </c>
    </row>
    <row r="20921" spans="1:1">
      <c r="A20921" s="27">
        <v>0</v>
      </c>
    </row>
    <row r="20922" spans="1:1">
      <c r="A20922" s="27">
        <v>0</v>
      </c>
    </row>
    <row r="20923" spans="1:1">
      <c r="A20923" s="27">
        <v>0</v>
      </c>
    </row>
    <row r="20924" spans="1:1">
      <c r="A20924" s="27">
        <v>2</v>
      </c>
    </row>
    <row r="20925" spans="1:1">
      <c r="A20925" s="27">
        <v>0</v>
      </c>
    </row>
    <row r="20926" spans="1:1">
      <c r="A20926" s="27" t="s">
        <v>656</v>
      </c>
    </row>
    <row r="20927" spans="1:1">
      <c r="A20927" s="27">
        <v>0</v>
      </c>
    </row>
    <row r="20928" spans="1:1">
      <c r="A20928" s="27">
        <v>0</v>
      </c>
    </row>
    <row r="20929" spans="1:1">
      <c r="A20929" s="27">
        <v>0</v>
      </c>
    </row>
    <row r="20930" spans="1:1">
      <c r="A20930" s="27">
        <v>0</v>
      </c>
    </row>
    <row r="20931" spans="1:1">
      <c r="A20931" s="27">
        <v>0</v>
      </c>
    </row>
    <row r="20932" spans="1:1">
      <c r="A20932" s="27">
        <v>0</v>
      </c>
    </row>
    <row r="20933" spans="1:1">
      <c r="A20933" s="27">
        <v>6</v>
      </c>
    </row>
    <row r="20934" spans="1:1">
      <c r="A20934" s="27">
        <v>0</v>
      </c>
    </row>
    <row r="20935" spans="1:1">
      <c r="A20935" s="29">
        <v>0.43541666666666662</v>
      </c>
    </row>
    <row r="20936" spans="1:1">
      <c r="A20936" s="27">
        <v>14.3</v>
      </c>
    </row>
    <row r="20937" spans="1:1">
      <c r="A20937" s="28">
        <v>100</v>
      </c>
    </row>
    <row r="20938" spans="1:1">
      <c r="A20938" s="25">
        <v>948</v>
      </c>
    </row>
    <row r="20939" spans="1:1" ht="30">
      <c r="A20939" s="26" t="s">
        <v>997</v>
      </c>
    </row>
    <row r="20940" spans="1:1">
      <c r="A20940" s="27" t="s">
        <v>44</v>
      </c>
    </row>
    <row r="20941" spans="1:1">
      <c r="A20941" s="27">
        <v>10</v>
      </c>
    </row>
    <row r="20942" spans="1:1">
      <c r="A20942" s="27">
        <v>0</v>
      </c>
    </row>
    <row r="20943" spans="1:1">
      <c r="A20943" s="27">
        <v>0</v>
      </c>
    </row>
    <row r="20944" spans="1:1">
      <c r="A20944" s="27">
        <v>0</v>
      </c>
    </row>
    <row r="20945" spans="1:1">
      <c r="A20945" s="27">
        <v>-4</v>
      </c>
    </row>
    <row r="20946" spans="1:1">
      <c r="A20946" s="27">
        <v>0</v>
      </c>
    </row>
    <row r="20947" spans="1:1">
      <c r="A20947" s="27" t="s">
        <v>656</v>
      </c>
    </row>
    <row r="20948" spans="1:1">
      <c r="A20948" s="27">
        <v>0</v>
      </c>
    </row>
    <row r="20949" spans="1:1">
      <c r="A20949" s="27">
        <v>0</v>
      </c>
    </row>
    <row r="20950" spans="1:1">
      <c r="A20950" s="27">
        <v>0</v>
      </c>
    </row>
    <row r="20951" spans="1:1">
      <c r="A20951" s="27">
        <v>0</v>
      </c>
    </row>
    <row r="20952" spans="1:1">
      <c r="A20952" s="27">
        <v>0</v>
      </c>
    </row>
    <row r="20953" spans="1:1">
      <c r="A20953" s="27">
        <v>0</v>
      </c>
    </row>
    <row r="20954" spans="1:1">
      <c r="A20954" s="27">
        <v>8</v>
      </c>
    </row>
    <row r="20955" spans="1:1">
      <c r="A20955" s="27">
        <v>0</v>
      </c>
    </row>
    <row r="20956" spans="1:1">
      <c r="A20956" s="29">
        <v>0.45555555555555555</v>
      </c>
    </row>
    <row r="20957" spans="1:1">
      <c r="A20957" s="27">
        <v>15</v>
      </c>
    </row>
    <row r="20958" spans="1:1">
      <c r="A20958" s="28">
        <v>0</v>
      </c>
    </row>
    <row r="20959" spans="1:1">
      <c r="A20959" s="25">
        <v>949</v>
      </c>
    </row>
    <row r="20960" spans="1:1" ht="30">
      <c r="A20960" s="26" t="s">
        <v>900</v>
      </c>
    </row>
    <row r="20961" spans="1:1">
      <c r="A20961" s="27" t="s">
        <v>653</v>
      </c>
    </row>
    <row r="20962" spans="1:1">
      <c r="A20962" s="27">
        <v>6</v>
      </c>
    </row>
    <row r="20963" spans="1:1">
      <c r="A20963" s="27">
        <v>0</v>
      </c>
    </row>
    <row r="20964" spans="1:1">
      <c r="A20964" s="27">
        <v>0</v>
      </c>
    </row>
    <row r="20965" spans="1:1">
      <c r="A20965" s="27">
        <v>0</v>
      </c>
    </row>
    <row r="20966" spans="1:1">
      <c r="A20966" s="27">
        <v>-1</v>
      </c>
    </row>
    <row r="20967" spans="1:1">
      <c r="A20967" s="27">
        <v>0</v>
      </c>
    </row>
    <row r="20968" spans="1:1">
      <c r="A20968" s="27" t="s">
        <v>656</v>
      </c>
    </row>
    <row r="20969" spans="1:1">
      <c r="A20969" s="27">
        <v>0</v>
      </c>
    </row>
    <row r="20970" spans="1:1">
      <c r="A20970" s="27">
        <v>0</v>
      </c>
    </row>
    <row r="20971" spans="1:1">
      <c r="A20971" s="27">
        <v>0</v>
      </c>
    </row>
    <row r="20972" spans="1:1">
      <c r="A20972" s="27">
        <v>0</v>
      </c>
    </row>
    <row r="20973" spans="1:1">
      <c r="A20973" s="27">
        <v>0</v>
      </c>
    </row>
    <row r="20974" spans="1:1">
      <c r="A20974" s="27">
        <v>0</v>
      </c>
    </row>
    <row r="20975" spans="1:1">
      <c r="A20975" s="27">
        <v>6</v>
      </c>
    </row>
    <row r="20976" spans="1:1">
      <c r="A20976" s="27">
        <v>0</v>
      </c>
    </row>
    <row r="20977" spans="1:1">
      <c r="A20977" s="29">
        <v>0.28819444444444448</v>
      </c>
    </row>
    <row r="20978" spans="1:1">
      <c r="A20978" s="27">
        <v>9.8000000000000007</v>
      </c>
    </row>
    <row r="20979" spans="1:1">
      <c r="A20979" s="28">
        <v>34.6</v>
      </c>
    </row>
    <row r="20980" spans="1:1">
      <c r="A20980" s="25">
        <v>950</v>
      </c>
    </row>
    <row r="20981" spans="1:1" ht="30">
      <c r="A20981" s="26" t="s">
        <v>958</v>
      </c>
    </row>
    <row r="20982" spans="1:1">
      <c r="A20982" s="27" t="s">
        <v>653</v>
      </c>
    </row>
    <row r="20983" spans="1:1">
      <c r="A20983" s="27">
        <v>1</v>
      </c>
    </row>
    <row r="20984" spans="1:1">
      <c r="A20984" s="27">
        <v>0</v>
      </c>
    </row>
    <row r="20985" spans="1:1">
      <c r="A20985" s="27">
        <v>0</v>
      </c>
    </row>
    <row r="20986" spans="1:1">
      <c r="A20986" s="27">
        <v>0</v>
      </c>
    </row>
    <row r="20987" spans="1:1">
      <c r="A20987" s="27">
        <v>-2</v>
      </c>
    </row>
    <row r="20988" spans="1:1">
      <c r="A20988" s="27">
        <v>0</v>
      </c>
    </row>
    <row r="20989" spans="1:1">
      <c r="A20989" s="27" t="s">
        <v>656</v>
      </c>
    </row>
    <row r="20990" spans="1:1">
      <c r="A20990" s="27">
        <v>0</v>
      </c>
    </row>
    <row r="20991" spans="1:1">
      <c r="A20991" s="27">
        <v>0</v>
      </c>
    </row>
    <row r="20992" spans="1:1">
      <c r="A20992" s="27">
        <v>0</v>
      </c>
    </row>
    <row r="20993" spans="1:1">
      <c r="A20993" s="27">
        <v>0</v>
      </c>
    </row>
    <row r="20994" spans="1:1">
      <c r="A20994" s="27">
        <v>0</v>
      </c>
    </row>
    <row r="20995" spans="1:1">
      <c r="A20995" s="27">
        <v>0</v>
      </c>
    </row>
    <row r="20996" spans="1:1">
      <c r="A20996" s="27">
        <v>1</v>
      </c>
    </row>
    <row r="20997" spans="1:1">
      <c r="A20997" s="27">
        <v>0</v>
      </c>
    </row>
    <row r="20998" spans="1:1">
      <c r="A20998" s="29">
        <v>0.37777777777777777</v>
      </c>
    </row>
    <row r="20999" spans="1:1">
      <c r="A20999" s="27">
        <v>12</v>
      </c>
    </row>
    <row r="21000" spans="1:1">
      <c r="A21000" s="28">
        <v>0</v>
      </c>
    </row>
    <row r="21001" spans="1:1">
      <c r="A21001" s="25">
        <v>951</v>
      </c>
    </row>
    <row r="21002" spans="1:1" ht="45">
      <c r="A21002" s="26" t="s">
        <v>970</v>
      </c>
    </row>
    <row r="21003" spans="1:1">
      <c r="A21003" s="27" t="s">
        <v>42</v>
      </c>
    </row>
    <row r="21004" spans="1:1">
      <c r="A21004" s="27">
        <v>1</v>
      </c>
    </row>
    <row r="21005" spans="1:1">
      <c r="A21005" s="27">
        <v>0</v>
      </c>
    </row>
    <row r="21006" spans="1:1">
      <c r="A21006" s="27">
        <v>0</v>
      </c>
    </row>
    <row r="21007" spans="1:1">
      <c r="A21007" s="27">
        <v>0</v>
      </c>
    </row>
    <row r="21008" spans="1:1">
      <c r="A21008" s="27">
        <v>-1</v>
      </c>
    </row>
    <row r="21009" spans="1:1">
      <c r="A21009" s="27">
        <v>0</v>
      </c>
    </row>
    <row r="21010" spans="1:1">
      <c r="A21010" s="27" t="s">
        <v>656</v>
      </c>
    </row>
    <row r="21011" spans="1:1">
      <c r="A21011" s="27">
        <v>0</v>
      </c>
    </row>
    <row r="21012" spans="1:1">
      <c r="A21012" s="27">
        <v>0</v>
      </c>
    </row>
    <row r="21013" spans="1:1">
      <c r="A21013" s="27">
        <v>0</v>
      </c>
    </row>
    <row r="21014" spans="1:1">
      <c r="A21014" s="27">
        <v>0</v>
      </c>
    </row>
    <row r="21015" spans="1:1">
      <c r="A21015" s="27">
        <v>0</v>
      </c>
    </row>
    <row r="21016" spans="1:1">
      <c r="A21016" s="27">
        <v>0</v>
      </c>
    </row>
    <row r="21017" spans="1:1">
      <c r="A21017" s="27">
        <v>1</v>
      </c>
    </row>
    <row r="21018" spans="1:1">
      <c r="A21018" s="27">
        <v>0</v>
      </c>
    </row>
    <row r="21019" spans="1:1">
      <c r="A21019" s="29">
        <v>0.5229166666666667</v>
      </c>
    </row>
    <row r="21020" spans="1:1">
      <c r="A21020" s="27">
        <v>19</v>
      </c>
    </row>
    <row r="21021" spans="1:1">
      <c r="A21021" s="28">
        <v>0</v>
      </c>
    </row>
    <row r="21022" spans="1:1">
      <c r="A21022" s="25">
        <v>952</v>
      </c>
    </row>
    <row r="21023" spans="1:1" ht="45">
      <c r="A21023" s="26" t="s">
        <v>1002</v>
      </c>
    </row>
    <row r="21024" spans="1:1">
      <c r="A21024" s="27" t="s">
        <v>44</v>
      </c>
    </row>
    <row r="21025" spans="1:1">
      <c r="A21025" s="27">
        <v>3</v>
      </c>
    </row>
    <row r="21026" spans="1:1">
      <c r="A21026" s="27">
        <v>0</v>
      </c>
    </row>
    <row r="21027" spans="1:1">
      <c r="A21027" s="27">
        <v>0</v>
      </c>
    </row>
    <row r="21028" spans="1:1">
      <c r="A21028" s="27">
        <v>0</v>
      </c>
    </row>
    <row r="21029" spans="1:1">
      <c r="A21029" s="27">
        <v>-1</v>
      </c>
    </row>
    <row r="21030" spans="1:1">
      <c r="A21030" s="27">
        <v>0</v>
      </c>
    </row>
    <row r="21031" spans="1:1">
      <c r="A21031" s="27" t="s">
        <v>656</v>
      </c>
    </row>
    <row r="21032" spans="1:1">
      <c r="A21032" s="27">
        <v>0</v>
      </c>
    </row>
    <row r="21033" spans="1:1">
      <c r="A21033" s="27">
        <v>0</v>
      </c>
    </row>
    <row r="21034" spans="1:1">
      <c r="A21034" s="27">
        <v>0</v>
      </c>
    </row>
    <row r="21035" spans="1:1">
      <c r="A21035" s="27">
        <v>0</v>
      </c>
    </row>
    <row r="21036" spans="1:1">
      <c r="A21036" s="27">
        <v>0</v>
      </c>
    </row>
    <row r="21037" spans="1:1">
      <c r="A21037" s="27">
        <v>0</v>
      </c>
    </row>
    <row r="21038" spans="1:1">
      <c r="A21038" s="27">
        <v>4</v>
      </c>
    </row>
    <row r="21039" spans="1:1">
      <c r="A21039" s="27">
        <v>0</v>
      </c>
    </row>
    <row r="21040" spans="1:1">
      <c r="A21040" s="29">
        <v>0.38611111111111113</v>
      </c>
    </row>
    <row r="21041" spans="1:1">
      <c r="A21041" s="27">
        <v>12.3</v>
      </c>
    </row>
    <row r="21042" spans="1:1">
      <c r="A21042" s="28">
        <v>0</v>
      </c>
    </row>
    <row r="21043" spans="1:1">
      <c r="A21043" s="25">
        <v>953</v>
      </c>
    </row>
    <row r="21044" spans="1:1" ht="30">
      <c r="A21044" s="26" t="s">
        <v>795</v>
      </c>
    </row>
    <row r="21045" spans="1:1">
      <c r="A21045" s="27" t="s">
        <v>653</v>
      </c>
    </row>
    <row r="21046" spans="1:1">
      <c r="A21046" s="27">
        <v>9</v>
      </c>
    </row>
    <row r="21047" spans="1:1">
      <c r="A21047" s="27">
        <v>0</v>
      </c>
    </row>
    <row r="21048" spans="1:1">
      <c r="A21048" s="27">
        <v>0</v>
      </c>
    </row>
    <row r="21049" spans="1:1">
      <c r="A21049" s="27">
        <v>0</v>
      </c>
    </row>
    <row r="21050" spans="1:1">
      <c r="A21050" s="27">
        <v>-4</v>
      </c>
    </row>
    <row r="21051" spans="1:1">
      <c r="A21051" s="27">
        <v>4</v>
      </c>
    </row>
    <row r="21052" spans="1:1">
      <c r="A21052" s="27" t="s">
        <v>656</v>
      </c>
    </row>
    <row r="21053" spans="1:1">
      <c r="A21053" s="27">
        <v>0</v>
      </c>
    </row>
    <row r="21054" spans="1:1">
      <c r="A21054" s="27">
        <v>0</v>
      </c>
    </row>
    <row r="21055" spans="1:1">
      <c r="A21055" s="27">
        <v>0</v>
      </c>
    </row>
    <row r="21056" spans="1:1">
      <c r="A21056" s="27">
        <v>0</v>
      </c>
    </row>
    <row r="21057" spans="1:1">
      <c r="A21057" s="27">
        <v>0</v>
      </c>
    </row>
    <row r="21058" spans="1:1">
      <c r="A21058" s="27">
        <v>0</v>
      </c>
    </row>
    <row r="21059" spans="1:1">
      <c r="A21059" s="27">
        <v>5</v>
      </c>
    </row>
    <row r="21060" spans="1:1">
      <c r="A21060" s="27">
        <v>0</v>
      </c>
    </row>
    <row r="21061" spans="1:1">
      <c r="A21061" s="29">
        <v>0.33402777777777781</v>
      </c>
    </row>
    <row r="21062" spans="1:1">
      <c r="A21062" s="27">
        <v>12</v>
      </c>
    </row>
    <row r="21063" spans="1:1">
      <c r="A21063" s="28">
        <v>46.3</v>
      </c>
    </row>
    <row r="21064" spans="1:1">
      <c r="A21064" s="25">
        <v>954</v>
      </c>
    </row>
    <row r="21065" spans="1:1" ht="30">
      <c r="A21065" s="26" t="s">
        <v>991</v>
      </c>
    </row>
    <row r="21066" spans="1:1">
      <c r="A21066" s="27" t="s">
        <v>42</v>
      </c>
    </row>
    <row r="21067" spans="1:1">
      <c r="A21067" s="27">
        <v>1</v>
      </c>
    </row>
    <row r="21068" spans="1:1">
      <c r="A21068" s="27">
        <v>0</v>
      </c>
    </row>
    <row r="21069" spans="1:1">
      <c r="A21069" s="27">
        <v>0</v>
      </c>
    </row>
    <row r="21070" spans="1:1">
      <c r="A21070" s="27">
        <v>0</v>
      </c>
    </row>
    <row r="21071" spans="1:1">
      <c r="A21071" s="27">
        <v>0</v>
      </c>
    </row>
    <row r="21072" spans="1:1">
      <c r="A21072" s="27">
        <v>0</v>
      </c>
    </row>
    <row r="21073" spans="1:1">
      <c r="A21073" s="27" t="s">
        <v>656</v>
      </c>
    </row>
    <row r="21074" spans="1:1">
      <c r="A21074" s="27">
        <v>0</v>
      </c>
    </row>
    <row r="21075" spans="1:1">
      <c r="A21075" s="27">
        <v>0</v>
      </c>
    </row>
    <row r="21076" spans="1:1">
      <c r="A21076" s="27">
        <v>0</v>
      </c>
    </row>
    <row r="21077" spans="1:1">
      <c r="A21077" s="27">
        <v>0</v>
      </c>
    </row>
    <row r="21078" spans="1:1">
      <c r="A21078" s="27">
        <v>0</v>
      </c>
    </row>
    <row r="21079" spans="1:1">
      <c r="A21079" s="27">
        <v>0</v>
      </c>
    </row>
    <row r="21080" spans="1:1">
      <c r="A21080" s="27">
        <v>1</v>
      </c>
    </row>
    <row r="21081" spans="1:1">
      <c r="A21081" s="27">
        <v>0</v>
      </c>
    </row>
    <row r="21082" spans="1:1">
      <c r="A21082" s="29">
        <v>0.56597222222222221</v>
      </c>
    </row>
    <row r="21083" spans="1:1">
      <c r="A21083" s="27">
        <v>18</v>
      </c>
    </row>
    <row r="21084" spans="1:1">
      <c r="A21084" s="28">
        <v>0</v>
      </c>
    </row>
    <row r="21085" spans="1:1">
      <c r="A21085" s="25">
        <v>955</v>
      </c>
    </row>
    <row r="21086" spans="1:1" ht="30">
      <c r="A21086" s="26" t="s">
        <v>915</v>
      </c>
    </row>
    <row r="21087" spans="1:1">
      <c r="A21087" s="27" t="s">
        <v>653</v>
      </c>
    </row>
    <row r="21088" spans="1:1">
      <c r="A21088" s="27">
        <v>2</v>
      </c>
    </row>
    <row r="21089" spans="1:1">
      <c r="A21089" s="27">
        <v>0</v>
      </c>
    </row>
    <row r="21090" spans="1:1">
      <c r="A21090" s="27">
        <v>0</v>
      </c>
    </row>
    <row r="21091" spans="1:1">
      <c r="A21091" s="27">
        <v>0</v>
      </c>
    </row>
    <row r="21092" spans="1:1">
      <c r="A21092" s="27">
        <v>0</v>
      </c>
    </row>
    <row r="21093" spans="1:1">
      <c r="A21093" s="27">
        <v>0</v>
      </c>
    </row>
    <row r="21094" spans="1:1">
      <c r="A21094" s="27" t="s">
        <v>656</v>
      </c>
    </row>
    <row r="21095" spans="1:1">
      <c r="A21095" s="27">
        <v>0</v>
      </c>
    </row>
    <row r="21096" spans="1:1">
      <c r="A21096" s="27">
        <v>0</v>
      </c>
    </row>
    <row r="21097" spans="1:1">
      <c r="A21097" s="27">
        <v>0</v>
      </c>
    </row>
    <row r="21098" spans="1:1">
      <c r="A21098" s="27">
        <v>0</v>
      </c>
    </row>
    <row r="21099" spans="1:1">
      <c r="A21099" s="27">
        <v>0</v>
      </c>
    </row>
    <row r="21100" spans="1:1">
      <c r="A21100" s="27">
        <v>0</v>
      </c>
    </row>
    <row r="21101" spans="1:1">
      <c r="A21101" s="27">
        <v>7</v>
      </c>
    </row>
    <row r="21102" spans="1:1">
      <c r="A21102" s="27">
        <v>0</v>
      </c>
    </row>
    <row r="21103" spans="1:1">
      <c r="A21103" s="29">
        <v>0.53263888888888888</v>
      </c>
    </row>
    <row r="21104" spans="1:1">
      <c r="A21104" s="27">
        <v>18.5</v>
      </c>
    </row>
    <row r="21105" spans="1:1">
      <c r="A21105" s="28">
        <v>29.4</v>
      </c>
    </row>
    <row r="21106" spans="1:1">
      <c r="A21106" s="25">
        <v>956</v>
      </c>
    </row>
    <row r="21107" spans="1:1" ht="30">
      <c r="A21107" s="26" t="s">
        <v>973</v>
      </c>
    </row>
    <row r="21108" spans="1:1">
      <c r="A21108" s="27" t="s">
        <v>42</v>
      </c>
    </row>
    <row r="21109" spans="1:1">
      <c r="A21109" s="27">
        <v>1</v>
      </c>
    </row>
    <row r="21110" spans="1:1">
      <c r="A21110" s="27">
        <v>0</v>
      </c>
    </row>
    <row r="21111" spans="1:1">
      <c r="A21111" s="27">
        <v>0</v>
      </c>
    </row>
    <row r="21112" spans="1:1">
      <c r="A21112" s="27">
        <v>0</v>
      </c>
    </row>
    <row r="21113" spans="1:1">
      <c r="A21113" s="27">
        <v>-1</v>
      </c>
    </row>
    <row r="21114" spans="1:1">
      <c r="A21114" s="27">
        <v>0</v>
      </c>
    </row>
    <row r="21115" spans="1:1">
      <c r="A21115" s="27" t="s">
        <v>656</v>
      </c>
    </row>
    <row r="21116" spans="1:1">
      <c r="A21116" s="27">
        <v>0</v>
      </c>
    </row>
    <row r="21117" spans="1:1">
      <c r="A21117" s="27">
        <v>0</v>
      </c>
    </row>
    <row r="21118" spans="1:1">
      <c r="A21118" s="27">
        <v>0</v>
      </c>
    </row>
    <row r="21119" spans="1:1">
      <c r="A21119" s="27">
        <v>0</v>
      </c>
    </row>
    <row r="21120" spans="1:1">
      <c r="A21120" s="27">
        <v>0</v>
      </c>
    </row>
    <row r="21121" spans="1:1">
      <c r="A21121" s="27">
        <v>0</v>
      </c>
    </row>
    <row r="21122" spans="1:1">
      <c r="A21122" s="27">
        <v>1</v>
      </c>
    </row>
    <row r="21123" spans="1:1">
      <c r="A21123" s="27">
        <v>0</v>
      </c>
    </row>
    <row r="21124" spans="1:1">
      <c r="A21124" s="29">
        <v>0.62083333333333335</v>
      </c>
    </row>
    <row r="21125" spans="1:1">
      <c r="A21125" s="27">
        <v>19</v>
      </c>
    </row>
    <row r="21126" spans="1:1">
      <c r="A21126" s="28">
        <v>0</v>
      </c>
    </row>
    <row r="21127" spans="1:1">
      <c r="A21127" s="25">
        <v>957</v>
      </c>
    </row>
    <row r="21128" spans="1:1" ht="30">
      <c r="A21128" s="26" t="s">
        <v>959</v>
      </c>
    </row>
    <row r="21129" spans="1:1">
      <c r="A21129" s="27" t="s">
        <v>653</v>
      </c>
    </row>
    <row r="21130" spans="1:1">
      <c r="A21130" s="27">
        <v>1</v>
      </c>
    </row>
    <row r="21131" spans="1:1">
      <c r="A21131" s="27">
        <v>0</v>
      </c>
    </row>
    <row r="21132" spans="1:1">
      <c r="A21132" s="27">
        <v>0</v>
      </c>
    </row>
    <row r="21133" spans="1:1">
      <c r="A21133" s="27">
        <v>0</v>
      </c>
    </row>
    <row r="21134" spans="1:1">
      <c r="A21134" s="27">
        <v>0</v>
      </c>
    </row>
    <row r="21135" spans="1:1">
      <c r="A21135" s="27">
        <v>2</v>
      </c>
    </row>
    <row r="21136" spans="1:1">
      <c r="A21136" s="27" t="s">
        <v>656</v>
      </c>
    </row>
    <row r="21137" spans="1:1">
      <c r="A21137" s="27">
        <v>0</v>
      </c>
    </row>
    <row r="21138" spans="1:1">
      <c r="A21138" s="27">
        <v>0</v>
      </c>
    </row>
    <row r="21139" spans="1:1">
      <c r="A21139" s="27">
        <v>0</v>
      </c>
    </row>
    <row r="21140" spans="1:1">
      <c r="A21140" s="27">
        <v>0</v>
      </c>
    </row>
    <row r="21141" spans="1:1">
      <c r="A21141" s="27">
        <v>0</v>
      </c>
    </row>
    <row r="21142" spans="1:1">
      <c r="A21142" s="27">
        <v>0</v>
      </c>
    </row>
    <row r="21143" spans="1:1">
      <c r="A21143" s="27">
        <v>0</v>
      </c>
    </row>
    <row r="21144" spans="1:1">
      <c r="A21144" s="27">
        <v>0</v>
      </c>
    </row>
    <row r="21145" spans="1:1">
      <c r="A21145" s="29">
        <v>0.40486111111111112</v>
      </c>
    </row>
    <row r="21146" spans="1:1">
      <c r="A21146" s="27">
        <v>14</v>
      </c>
    </row>
    <row r="21147" spans="1:1">
      <c r="A21147" s="28">
        <v>0</v>
      </c>
    </row>
    <row r="21148" spans="1:1">
      <c r="A21148" s="25">
        <v>958</v>
      </c>
    </row>
    <row r="21149" spans="1:1" ht="30">
      <c r="A21149" s="26" t="s">
        <v>986</v>
      </c>
    </row>
    <row r="21150" spans="1:1">
      <c r="A21150" s="27" t="s">
        <v>42</v>
      </c>
    </row>
    <row r="21151" spans="1:1">
      <c r="A21151" s="27">
        <v>2</v>
      </c>
    </row>
    <row r="21152" spans="1:1">
      <c r="A21152" s="27">
        <v>0</v>
      </c>
    </row>
    <row r="21153" spans="1:1">
      <c r="A21153" s="27">
        <v>0</v>
      </c>
    </row>
    <row r="21154" spans="1:1">
      <c r="A21154" s="27">
        <v>0</v>
      </c>
    </row>
    <row r="21155" spans="1:1">
      <c r="A21155" s="27">
        <v>0</v>
      </c>
    </row>
    <row r="21156" spans="1:1">
      <c r="A21156" s="27">
        <v>0</v>
      </c>
    </row>
    <row r="21157" spans="1:1">
      <c r="A21157" s="27" t="s">
        <v>656</v>
      </c>
    </row>
    <row r="21158" spans="1:1">
      <c r="A21158" s="27">
        <v>0</v>
      </c>
    </row>
    <row r="21159" spans="1:1">
      <c r="A21159" s="27">
        <v>0</v>
      </c>
    </row>
    <row r="21160" spans="1:1">
      <c r="A21160" s="27">
        <v>0</v>
      </c>
    </row>
    <row r="21161" spans="1:1">
      <c r="A21161" s="27">
        <v>0</v>
      </c>
    </row>
    <row r="21162" spans="1:1">
      <c r="A21162" s="27">
        <v>0</v>
      </c>
    </row>
    <row r="21163" spans="1:1">
      <c r="A21163" s="27">
        <v>0</v>
      </c>
    </row>
    <row r="21164" spans="1:1">
      <c r="A21164" s="27">
        <v>1</v>
      </c>
    </row>
    <row r="21165" spans="1:1">
      <c r="A21165" s="27">
        <v>0</v>
      </c>
    </row>
    <row r="21166" spans="1:1">
      <c r="A21166" s="29">
        <v>0.45555555555555555</v>
      </c>
    </row>
    <row r="21167" spans="1:1">
      <c r="A21167" s="27">
        <v>21</v>
      </c>
    </row>
    <row r="21168" spans="1:1">
      <c r="A21168" s="28">
        <v>0</v>
      </c>
    </row>
    <row r="21169" spans="1:1">
      <c r="A21169" s="25">
        <v>959</v>
      </c>
    </row>
    <row r="21170" spans="1:1" ht="30">
      <c r="A21170" s="26" t="s">
        <v>979</v>
      </c>
    </row>
    <row r="21171" spans="1:1">
      <c r="A21171" s="27" t="s">
        <v>42</v>
      </c>
    </row>
    <row r="21172" spans="1:1">
      <c r="A21172" s="27">
        <v>1</v>
      </c>
    </row>
    <row r="21173" spans="1:1">
      <c r="A21173" s="27">
        <v>0</v>
      </c>
    </row>
    <row r="21174" spans="1:1">
      <c r="A21174" s="27">
        <v>0</v>
      </c>
    </row>
    <row r="21175" spans="1:1">
      <c r="A21175" s="27">
        <v>0</v>
      </c>
    </row>
    <row r="21176" spans="1:1">
      <c r="A21176" s="27">
        <v>1</v>
      </c>
    </row>
    <row r="21177" spans="1:1">
      <c r="A21177" s="27">
        <v>0</v>
      </c>
    </row>
    <row r="21178" spans="1:1">
      <c r="A21178" s="27" t="s">
        <v>656</v>
      </c>
    </row>
    <row r="21179" spans="1:1">
      <c r="A21179" s="27">
        <v>0</v>
      </c>
    </row>
    <row r="21180" spans="1:1">
      <c r="A21180" s="27">
        <v>0</v>
      </c>
    </row>
    <row r="21181" spans="1:1">
      <c r="A21181" s="27">
        <v>0</v>
      </c>
    </row>
    <row r="21182" spans="1:1">
      <c r="A21182" s="27">
        <v>0</v>
      </c>
    </row>
    <row r="21183" spans="1:1">
      <c r="A21183" s="27">
        <v>0</v>
      </c>
    </row>
    <row r="21184" spans="1:1">
      <c r="A21184" s="27">
        <v>0</v>
      </c>
    </row>
    <row r="21185" spans="1:1">
      <c r="A21185" s="27">
        <v>1</v>
      </c>
    </row>
    <row r="21186" spans="1:1">
      <c r="A21186" s="27">
        <v>0</v>
      </c>
    </row>
    <row r="21187" spans="1:1">
      <c r="A21187" s="29">
        <v>0.52777777777777779</v>
      </c>
    </row>
    <row r="21188" spans="1:1">
      <c r="A21188" s="27">
        <v>18</v>
      </c>
    </row>
    <row r="21189" spans="1:1">
      <c r="A21189" s="28">
        <v>0</v>
      </c>
    </row>
    <row r="21190" spans="1:1">
      <c r="A21190" s="25">
        <v>960</v>
      </c>
    </row>
    <row r="21191" spans="1:1" ht="30">
      <c r="A21191" s="26" t="s">
        <v>961</v>
      </c>
    </row>
    <row r="21192" spans="1:1">
      <c r="A21192" s="27" t="s">
        <v>43</v>
      </c>
    </row>
    <row r="21193" spans="1:1">
      <c r="A21193" s="27">
        <v>1</v>
      </c>
    </row>
    <row r="21194" spans="1:1">
      <c r="A21194" s="27">
        <v>0</v>
      </c>
    </row>
    <row r="21195" spans="1:1">
      <c r="A21195" s="27">
        <v>0</v>
      </c>
    </row>
    <row r="21196" spans="1:1">
      <c r="A21196" s="27">
        <v>0</v>
      </c>
    </row>
    <row r="21197" spans="1:1">
      <c r="A21197" s="27">
        <v>-3</v>
      </c>
    </row>
    <row r="21198" spans="1:1">
      <c r="A21198" s="27">
        <v>0</v>
      </c>
    </row>
    <row r="21199" spans="1:1">
      <c r="A21199" s="27" t="s">
        <v>656</v>
      </c>
    </row>
    <row r="21200" spans="1:1">
      <c r="A21200" s="27">
        <v>0</v>
      </c>
    </row>
    <row r="21201" spans="1:1">
      <c r="A21201" s="27">
        <v>0</v>
      </c>
    </row>
    <row r="21202" spans="1:1">
      <c r="A21202" s="27">
        <v>0</v>
      </c>
    </row>
    <row r="21203" spans="1:1">
      <c r="A21203" s="27">
        <v>0</v>
      </c>
    </row>
    <row r="21204" spans="1:1">
      <c r="A21204" s="27">
        <v>0</v>
      </c>
    </row>
    <row r="21205" spans="1:1">
      <c r="A21205" s="27">
        <v>0</v>
      </c>
    </row>
    <row r="21206" spans="1:1">
      <c r="A21206" s="27">
        <v>2</v>
      </c>
    </row>
    <row r="21207" spans="1:1">
      <c r="A21207" s="27">
        <v>0</v>
      </c>
    </row>
    <row r="21208" spans="1:1">
      <c r="A21208" s="29">
        <v>0.39583333333333331</v>
      </c>
    </row>
    <row r="21209" spans="1:1">
      <c r="A21209" s="27">
        <v>16</v>
      </c>
    </row>
    <row r="21210" spans="1:1">
      <c r="A21210" s="28">
        <v>0</v>
      </c>
    </row>
    <row r="21211" spans="1:1">
      <c r="A21211" s="25">
        <v>961</v>
      </c>
    </row>
    <row r="21212" spans="1:1" ht="30">
      <c r="A21212" s="26" t="s">
        <v>878</v>
      </c>
    </row>
    <row r="21213" spans="1:1">
      <c r="A21213" s="27" t="s">
        <v>653</v>
      </c>
    </row>
    <row r="21214" spans="1:1">
      <c r="A21214" s="27">
        <v>2</v>
      </c>
    </row>
    <row r="21215" spans="1:1">
      <c r="A21215" s="27">
        <v>0</v>
      </c>
    </row>
    <row r="21216" spans="1:1">
      <c r="A21216" s="27">
        <v>0</v>
      </c>
    </row>
    <row r="21217" spans="1:1">
      <c r="A21217" s="27">
        <v>0</v>
      </c>
    </row>
    <row r="21218" spans="1:1">
      <c r="A21218" s="27">
        <v>-2</v>
      </c>
    </row>
    <row r="21219" spans="1:1">
      <c r="A21219" s="27">
        <v>0</v>
      </c>
    </row>
    <row r="21220" spans="1:1">
      <c r="A21220" s="27" t="s">
        <v>656</v>
      </c>
    </row>
    <row r="21221" spans="1:1">
      <c r="A21221" s="27">
        <v>0</v>
      </c>
    </row>
    <row r="21222" spans="1:1">
      <c r="A21222" s="27">
        <v>0</v>
      </c>
    </row>
    <row r="21223" spans="1:1">
      <c r="A21223" s="27">
        <v>0</v>
      </c>
    </row>
    <row r="21224" spans="1:1">
      <c r="A21224" s="27">
        <v>0</v>
      </c>
    </row>
    <row r="21225" spans="1:1">
      <c r="A21225" s="27">
        <v>0</v>
      </c>
    </row>
    <row r="21226" spans="1:1">
      <c r="A21226" s="27">
        <v>0</v>
      </c>
    </row>
    <row r="21227" spans="1:1">
      <c r="A21227" s="27">
        <v>0</v>
      </c>
    </row>
    <row r="21228" spans="1:1">
      <c r="A21228" s="27">
        <v>0</v>
      </c>
    </row>
    <row r="21229" spans="1:1">
      <c r="A21229" s="29">
        <v>0.32777777777777778</v>
      </c>
    </row>
    <row r="21230" spans="1:1">
      <c r="A21230" s="27">
        <v>10.5</v>
      </c>
    </row>
    <row r="21231" spans="1:1">
      <c r="A21231" s="28">
        <v>37.5</v>
      </c>
    </row>
    <row r="21232" spans="1:1">
      <c r="A21232" s="25">
        <v>962</v>
      </c>
    </row>
    <row r="21233" spans="1:1" ht="45">
      <c r="A21233" s="26" t="s">
        <v>1008</v>
      </c>
    </row>
    <row r="21234" spans="1:1">
      <c r="A21234" s="27" t="s">
        <v>42</v>
      </c>
    </row>
    <row r="21235" spans="1:1">
      <c r="A21235" s="27">
        <v>3</v>
      </c>
    </row>
    <row r="21236" spans="1:1">
      <c r="A21236" s="27">
        <v>0</v>
      </c>
    </row>
    <row r="21237" spans="1:1">
      <c r="A21237" s="27">
        <v>0</v>
      </c>
    </row>
    <row r="21238" spans="1:1">
      <c r="A21238" s="27">
        <v>0</v>
      </c>
    </row>
    <row r="21239" spans="1:1">
      <c r="A21239" s="27">
        <v>0</v>
      </c>
    </row>
    <row r="21240" spans="1:1">
      <c r="A21240" s="27">
        <v>2</v>
      </c>
    </row>
    <row r="21241" spans="1:1">
      <c r="A21241" s="27" t="s">
        <v>656</v>
      </c>
    </row>
    <row r="21242" spans="1:1">
      <c r="A21242" s="27">
        <v>0</v>
      </c>
    </row>
    <row r="21243" spans="1:1">
      <c r="A21243" s="27">
        <v>0</v>
      </c>
    </row>
    <row r="21244" spans="1:1">
      <c r="A21244" s="27">
        <v>0</v>
      </c>
    </row>
    <row r="21245" spans="1:1">
      <c r="A21245" s="27">
        <v>0</v>
      </c>
    </row>
    <row r="21246" spans="1:1">
      <c r="A21246" s="27">
        <v>0</v>
      </c>
    </row>
    <row r="21247" spans="1:1">
      <c r="A21247" s="27">
        <v>0</v>
      </c>
    </row>
    <row r="21248" spans="1:1">
      <c r="A21248" s="27">
        <v>4</v>
      </c>
    </row>
    <row r="21249" spans="1:1">
      <c r="A21249" s="27">
        <v>0</v>
      </c>
    </row>
    <row r="21250" spans="1:1">
      <c r="A21250" s="29">
        <v>0.60347222222222219</v>
      </c>
    </row>
    <row r="21251" spans="1:1">
      <c r="A21251" s="27">
        <v>20.3</v>
      </c>
    </row>
    <row r="21252" spans="1:1">
      <c r="A21252" s="28">
        <v>0</v>
      </c>
    </row>
    <row r="21253" spans="1:1">
      <c r="A21253" s="25">
        <v>963</v>
      </c>
    </row>
    <row r="21254" spans="1:1" ht="30">
      <c r="A21254" s="26" t="s">
        <v>1056</v>
      </c>
    </row>
    <row r="21255" spans="1:1">
      <c r="A21255" s="27" t="s">
        <v>42</v>
      </c>
    </row>
    <row r="21256" spans="1:1">
      <c r="A21256" s="27">
        <v>4</v>
      </c>
    </row>
    <row r="21257" spans="1:1">
      <c r="A21257" s="27">
        <v>0</v>
      </c>
    </row>
    <row r="21258" spans="1:1">
      <c r="A21258" s="27">
        <v>0</v>
      </c>
    </row>
    <row r="21259" spans="1:1">
      <c r="A21259" s="27">
        <v>0</v>
      </c>
    </row>
    <row r="21260" spans="1:1">
      <c r="A21260" s="27">
        <v>-3</v>
      </c>
    </row>
    <row r="21261" spans="1:1">
      <c r="A21261" s="27">
        <v>2</v>
      </c>
    </row>
    <row r="21262" spans="1:1">
      <c r="A21262" s="27" t="s">
        <v>656</v>
      </c>
    </row>
    <row r="21263" spans="1:1">
      <c r="A21263" s="27">
        <v>0</v>
      </c>
    </row>
    <row r="21264" spans="1:1">
      <c r="A21264" s="27">
        <v>0</v>
      </c>
    </row>
    <row r="21265" spans="1:1">
      <c r="A21265" s="27">
        <v>0</v>
      </c>
    </row>
    <row r="21266" spans="1:1">
      <c r="A21266" s="27">
        <v>0</v>
      </c>
    </row>
    <row r="21267" spans="1:1">
      <c r="A21267" s="27">
        <v>0</v>
      </c>
    </row>
    <row r="21268" spans="1:1">
      <c r="A21268" s="27">
        <v>0</v>
      </c>
    </row>
    <row r="21269" spans="1:1">
      <c r="A21269" s="27">
        <v>2</v>
      </c>
    </row>
    <row r="21270" spans="1:1">
      <c r="A21270" s="27">
        <v>0</v>
      </c>
    </row>
    <row r="21271" spans="1:1">
      <c r="A21271" s="29">
        <v>0.62361111111111112</v>
      </c>
    </row>
    <row r="21272" spans="1:1">
      <c r="A21272" s="27">
        <v>18.5</v>
      </c>
    </row>
    <row r="21273" spans="1:1">
      <c r="A21273" s="28">
        <v>0</v>
      </c>
    </row>
    <row r="21274" spans="1:1">
      <c r="A21274" s="25">
        <v>964</v>
      </c>
    </row>
    <row r="21275" spans="1:1" ht="30">
      <c r="A21275" s="26" t="s">
        <v>971</v>
      </c>
    </row>
    <row r="21276" spans="1:1">
      <c r="A21276" s="27" t="s">
        <v>44</v>
      </c>
    </row>
    <row r="21277" spans="1:1">
      <c r="A21277" s="27">
        <v>1</v>
      </c>
    </row>
    <row r="21278" spans="1:1">
      <c r="A21278" s="27">
        <v>0</v>
      </c>
    </row>
    <row r="21279" spans="1:1">
      <c r="A21279" s="27">
        <v>0</v>
      </c>
    </row>
    <row r="21280" spans="1:1">
      <c r="A21280" s="27">
        <v>0</v>
      </c>
    </row>
    <row r="21281" spans="1:1">
      <c r="A21281" s="27">
        <v>0</v>
      </c>
    </row>
    <row r="21282" spans="1:1">
      <c r="A21282" s="27">
        <v>0</v>
      </c>
    </row>
    <row r="21283" spans="1:1">
      <c r="A21283" s="27" t="s">
        <v>656</v>
      </c>
    </row>
    <row r="21284" spans="1:1">
      <c r="A21284" s="27">
        <v>0</v>
      </c>
    </row>
    <row r="21285" spans="1:1">
      <c r="A21285" s="27">
        <v>0</v>
      </c>
    </row>
    <row r="21286" spans="1:1">
      <c r="A21286" s="27">
        <v>0</v>
      </c>
    </row>
    <row r="21287" spans="1:1">
      <c r="A21287" s="27">
        <v>0</v>
      </c>
    </row>
    <row r="21288" spans="1:1">
      <c r="A21288" s="27">
        <v>0</v>
      </c>
    </row>
    <row r="21289" spans="1:1">
      <c r="A21289" s="27">
        <v>0</v>
      </c>
    </row>
    <row r="21290" spans="1:1">
      <c r="A21290" s="27">
        <v>0</v>
      </c>
    </row>
    <row r="21291" spans="1:1">
      <c r="A21291" s="27">
        <v>0</v>
      </c>
    </row>
    <row r="21292" spans="1:1">
      <c r="A21292" s="29">
        <v>0.30902777777777779</v>
      </c>
    </row>
    <row r="21293" spans="1:1">
      <c r="A21293" s="27">
        <v>13</v>
      </c>
    </row>
    <row r="21294" spans="1:1">
      <c r="A21294" s="28">
        <v>0</v>
      </c>
    </row>
    <row r="21295" spans="1:1">
      <c r="A21295" s="25">
        <v>965</v>
      </c>
    </row>
    <row r="21296" spans="1:1" ht="30">
      <c r="A21296" s="26" t="s">
        <v>972</v>
      </c>
    </row>
    <row r="21297" spans="1:1">
      <c r="A21297" s="27" t="s">
        <v>43</v>
      </c>
    </row>
    <row r="21298" spans="1:1">
      <c r="A21298" s="27">
        <v>3</v>
      </c>
    </row>
    <row r="21299" spans="1:1">
      <c r="A21299" s="27">
        <v>0</v>
      </c>
    </row>
    <row r="21300" spans="1:1">
      <c r="A21300" s="27">
        <v>0</v>
      </c>
    </row>
    <row r="21301" spans="1:1">
      <c r="A21301" s="27">
        <v>0</v>
      </c>
    </row>
    <row r="21302" spans="1:1">
      <c r="A21302" s="27">
        <v>0</v>
      </c>
    </row>
    <row r="21303" spans="1:1">
      <c r="A21303" s="27">
        <v>0</v>
      </c>
    </row>
    <row r="21304" spans="1:1">
      <c r="A21304" s="27" t="s">
        <v>656</v>
      </c>
    </row>
    <row r="21305" spans="1:1">
      <c r="A21305" s="27">
        <v>0</v>
      </c>
    </row>
    <row r="21306" spans="1:1">
      <c r="A21306" s="27">
        <v>0</v>
      </c>
    </row>
    <row r="21307" spans="1:1">
      <c r="A21307" s="27">
        <v>0</v>
      </c>
    </row>
    <row r="21308" spans="1:1">
      <c r="A21308" s="27">
        <v>0</v>
      </c>
    </row>
    <row r="21309" spans="1:1">
      <c r="A21309" s="27">
        <v>0</v>
      </c>
    </row>
    <row r="21310" spans="1:1">
      <c r="A21310" s="27">
        <v>0</v>
      </c>
    </row>
    <row r="21311" spans="1:1">
      <c r="A21311" s="27">
        <v>2</v>
      </c>
    </row>
    <row r="21312" spans="1:1">
      <c r="A21312" s="27">
        <v>0</v>
      </c>
    </row>
    <row r="21313" spans="1:1">
      <c r="A21313" s="29">
        <v>0.3576388888888889</v>
      </c>
    </row>
    <row r="21314" spans="1:1">
      <c r="A21314" s="27">
        <v>12.3</v>
      </c>
    </row>
    <row r="21315" spans="1:1">
      <c r="A21315" s="28">
        <v>0</v>
      </c>
    </row>
    <row r="21316" spans="1:1">
      <c r="A21316" s="25">
        <v>966</v>
      </c>
    </row>
    <row r="21317" spans="1:1" ht="45">
      <c r="A21317" s="26" t="s">
        <v>1044</v>
      </c>
    </row>
    <row r="21318" spans="1:1">
      <c r="A21318" s="27" t="s">
        <v>43</v>
      </c>
    </row>
    <row r="21319" spans="1:1">
      <c r="A21319" s="27">
        <v>5</v>
      </c>
    </row>
    <row r="21320" spans="1:1">
      <c r="A21320" s="27">
        <v>0</v>
      </c>
    </row>
    <row r="21321" spans="1:1">
      <c r="A21321" s="27">
        <v>0</v>
      </c>
    </row>
    <row r="21322" spans="1:1">
      <c r="A21322" s="27">
        <v>0</v>
      </c>
    </row>
    <row r="21323" spans="1:1">
      <c r="A21323" s="27">
        <v>0</v>
      </c>
    </row>
    <row r="21324" spans="1:1">
      <c r="A21324" s="27">
        <v>2</v>
      </c>
    </row>
    <row r="21325" spans="1:1">
      <c r="A21325" s="27" t="s">
        <v>656</v>
      </c>
    </row>
    <row r="21326" spans="1:1">
      <c r="A21326" s="27">
        <v>0</v>
      </c>
    </row>
    <row r="21327" spans="1:1">
      <c r="A21327" s="27">
        <v>0</v>
      </c>
    </row>
    <row r="21328" spans="1:1">
      <c r="A21328" s="27">
        <v>0</v>
      </c>
    </row>
    <row r="21329" spans="1:1">
      <c r="A21329" s="27">
        <v>0</v>
      </c>
    </row>
    <row r="21330" spans="1:1">
      <c r="A21330" s="27">
        <v>0</v>
      </c>
    </row>
    <row r="21331" spans="1:1">
      <c r="A21331" s="27">
        <v>0</v>
      </c>
    </row>
    <row r="21332" spans="1:1">
      <c r="A21332" s="27">
        <v>8</v>
      </c>
    </row>
    <row r="21333" spans="1:1">
      <c r="A21333" s="27">
        <v>0</v>
      </c>
    </row>
    <row r="21334" spans="1:1">
      <c r="A21334" s="29">
        <v>0.31944444444444448</v>
      </c>
    </row>
    <row r="21335" spans="1:1">
      <c r="A21335" s="27">
        <v>10.6</v>
      </c>
    </row>
    <row r="21336" spans="1:1">
      <c r="A21336" s="28">
        <v>0</v>
      </c>
    </row>
    <row r="21337" spans="1:1">
      <c r="A21337" s="25">
        <v>967</v>
      </c>
    </row>
    <row r="21338" spans="1:1" ht="30">
      <c r="A21338" s="26" t="s">
        <v>837</v>
      </c>
    </row>
    <row r="21339" spans="1:1">
      <c r="A21339" s="27" t="s">
        <v>653</v>
      </c>
    </row>
    <row r="21340" spans="1:1">
      <c r="A21340" s="27">
        <v>3</v>
      </c>
    </row>
    <row r="21341" spans="1:1">
      <c r="A21341" s="27">
        <v>0</v>
      </c>
    </row>
    <row r="21342" spans="1:1">
      <c r="A21342" s="27">
        <v>0</v>
      </c>
    </row>
    <row r="21343" spans="1:1">
      <c r="A21343" s="27">
        <v>0</v>
      </c>
    </row>
    <row r="21344" spans="1:1">
      <c r="A21344" s="27">
        <v>-1</v>
      </c>
    </row>
    <row r="21345" spans="1:1">
      <c r="A21345" s="27">
        <v>0</v>
      </c>
    </row>
    <row r="21346" spans="1:1">
      <c r="A21346" s="27" t="s">
        <v>656</v>
      </c>
    </row>
    <row r="21347" spans="1:1">
      <c r="A21347" s="27">
        <v>0</v>
      </c>
    </row>
    <row r="21348" spans="1:1">
      <c r="A21348" s="27">
        <v>0</v>
      </c>
    </row>
    <row r="21349" spans="1:1">
      <c r="A21349" s="27">
        <v>0</v>
      </c>
    </row>
    <row r="21350" spans="1:1">
      <c r="A21350" s="27">
        <v>0</v>
      </c>
    </row>
    <row r="21351" spans="1:1">
      <c r="A21351" s="27">
        <v>0</v>
      </c>
    </row>
    <row r="21352" spans="1:1">
      <c r="A21352" s="27">
        <v>0</v>
      </c>
    </row>
    <row r="21353" spans="1:1">
      <c r="A21353" s="27">
        <v>1</v>
      </c>
    </row>
    <row r="21354" spans="1:1">
      <c r="A21354" s="27">
        <v>0</v>
      </c>
    </row>
    <row r="21355" spans="1:1">
      <c r="A21355" s="29">
        <v>0.31597222222222221</v>
      </c>
    </row>
    <row r="21356" spans="1:1">
      <c r="A21356" s="27">
        <v>12.7</v>
      </c>
    </row>
    <row r="21357" spans="1:1">
      <c r="A21357" s="28">
        <v>42.9</v>
      </c>
    </row>
    <row r="21358" spans="1:1">
      <c r="A21358" s="25">
        <v>968</v>
      </c>
    </row>
    <row r="21359" spans="1:1" ht="30">
      <c r="A21359" s="26" t="s">
        <v>960</v>
      </c>
    </row>
    <row r="21360" spans="1:1">
      <c r="A21360" s="27" t="s">
        <v>42</v>
      </c>
    </row>
    <row r="21361" spans="1:1">
      <c r="A21361" s="27">
        <v>2</v>
      </c>
    </row>
    <row r="21362" spans="1:1">
      <c r="A21362" s="27">
        <v>0</v>
      </c>
    </row>
    <row r="21363" spans="1:1">
      <c r="A21363" s="27">
        <v>0</v>
      </c>
    </row>
    <row r="21364" spans="1:1">
      <c r="A21364" s="27">
        <v>0</v>
      </c>
    </row>
    <row r="21365" spans="1:1">
      <c r="A21365" s="27">
        <v>2</v>
      </c>
    </row>
    <row r="21366" spans="1:1">
      <c r="A21366" s="27">
        <v>0</v>
      </c>
    </row>
    <row r="21367" spans="1:1">
      <c r="A21367" s="27" t="s">
        <v>656</v>
      </c>
    </row>
    <row r="21368" spans="1:1">
      <c r="A21368" s="27">
        <v>0</v>
      </c>
    </row>
    <row r="21369" spans="1:1">
      <c r="A21369" s="27">
        <v>0</v>
      </c>
    </row>
    <row r="21370" spans="1:1">
      <c r="A21370" s="27">
        <v>0</v>
      </c>
    </row>
    <row r="21371" spans="1:1">
      <c r="A21371" s="27">
        <v>0</v>
      </c>
    </row>
    <row r="21372" spans="1:1">
      <c r="A21372" s="27">
        <v>0</v>
      </c>
    </row>
    <row r="21373" spans="1:1">
      <c r="A21373" s="27">
        <v>0</v>
      </c>
    </row>
    <row r="21374" spans="1:1">
      <c r="A21374" s="27">
        <v>1</v>
      </c>
    </row>
    <row r="21375" spans="1:1">
      <c r="A21375" s="27">
        <v>0</v>
      </c>
    </row>
    <row r="21376" spans="1:1">
      <c r="A21376" s="29">
        <v>0.43402777777777773</v>
      </c>
    </row>
    <row r="21377" spans="1:1">
      <c r="A21377" s="27">
        <v>17</v>
      </c>
    </row>
    <row r="21378" spans="1:1">
      <c r="A21378" s="28">
        <v>0</v>
      </c>
    </row>
    <row r="21379" spans="1:1">
      <c r="A21379" s="25">
        <v>969</v>
      </c>
    </row>
    <row r="21380" spans="1:1" ht="45">
      <c r="A21380" s="26" t="s">
        <v>732</v>
      </c>
    </row>
    <row r="21381" spans="1:1">
      <c r="A21381" s="27" t="s">
        <v>653</v>
      </c>
    </row>
    <row r="21382" spans="1:1">
      <c r="A21382" s="27">
        <v>2</v>
      </c>
    </row>
    <row r="21383" spans="1:1">
      <c r="A21383" s="27">
        <v>0</v>
      </c>
    </row>
    <row r="21384" spans="1:1">
      <c r="A21384" s="27">
        <v>0</v>
      </c>
    </row>
    <row r="21385" spans="1:1">
      <c r="A21385" s="27">
        <v>0</v>
      </c>
    </row>
    <row r="21386" spans="1:1">
      <c r="A21386" s="27">
        <v>-3</v>
      </c>
    </row>
    <row r="21387" spans="1:1">
      <c r="A21387" s="27">
        <v>0</v>
      </c>
    </row>
    <row r="21388" spans="1:1">
      <c r="A21388" s="27" t="s">
        <v>656</v>
      </c>
    </row>
    <row r="21389" spans="1:1">
      <c r="A21389" s="27">
        <v>0</v>
      </c>
    </row>
    <row r="21390" spans="1:1">
      <c r="A21390" s="27">
        <v>0</v>
      </c>
    </row>
    <row r="21391" spans="1:1">
      <c r="A21391" s="27">
        <v>0</v>
      </c>
    </row>
    <row r="21392" spans="1:1">
      <c r="A21392" s="27">
        <v>0</v>
      </c>
    </row>
    <row r="21393" spans="1:1">
      <c r="A21393" s="27">
        <v>0</v>
      </c>
    </row>
    <row r="21394" spans="1:1">
      <c r="A21394" s="27">
        <v>0</v>
      </c>
    </row>
    <row r="21395" spans="1:1">
      <c r="A21395" s="27">
        <v>1</v>
      </c>
    </row>
    <row r="21396" spans="1:1">
      <c r="A21396" s="27">
        <v>0</v>
      </c>
    </row>
    <row r="21397" spans="1:1">
      <c r="A21397" s="29">
        <v>0.51111111111111118</v>
      </c>
    </row>
    <row r="21398" spans="1:1">
      <c r="A21398" s="27">
        <v>17</v>
      </c>
    </row>
    <row r="21399" spans="1:1">
      <c r="A21399" s="28">
        <v>50</v>
      </c>
    </row>
    <row r="21400" spans="1:1">
      <c r="A21400" s="25">
        <v>970</v>
      </c>
    </row>
    <row r="21401" spans="1:1" ht="30">
      <c r="A21401" s="26" t="s">
        <v>914</v>
      </c>
    </row>
    <row r="21402" spans="1:1">
      <c r="A21402" s="27" t="s">
        <v>653</v>
      </c>
    </row>
    <row r="21403" spans="1:1">
      <c r="A21403" s="27">
        <v>11</v>
      </c>
    </row>
    <row r="21404" spans="1:1">
      <c r="A21404" s="27">
        <v>0</v>
      </c>
    </row>
    <row r="21405" spans="1:1">
      <c r="A21405" s="27">
        <v>0</v>
      </c>
    </row>
    <row r="21406" spans="1:1">
      <c r="A21406" s="27">
        <v>0</v>
      </c>
    </row>
    <row r="21407" spans="1:1">
      <c r="A21407" s="27">
        <v>-1</v>
      </c>
    </row>
    <row r="21408" spans="1:1">
      <c r="A21408" s="27">
        <v>2</v>
      </c>
    </row>
    <row r="21409" spans="1:1">
      <c r="A21409" s="27" t="s">
        <v>656</v>
      </c>
    </row>
    <row r="21410" spans="1:1">
      <c r="A21410" s="27">
        <v>0</v>
      </c>
    </row>
    <row r="21411" spans="1:1">
      <c r="A21411" s="27">
        <v>0</v>
      </c>
    </row>
    <row r="21412" spans="1:1">
      <c r="A21412" s="27">
        <v>0</v>
      </c>
    </row>
    <row r="21413" spans="1:1">
      <c r="A21413" s="27">
        <v>0</v>
      </c>
    </row>
    <row r="21414" spans="1:1">
      <c r="A21414" s="27">
        <v>0</v>
      </c>
    </row>
    <row r="21415" spans="1:1">
      <c r="A21415" s="27">
        <v>0</v>
      </c>
    </row>
    <row r="21416" spans="1:1">
      <c r="A21416" s="27">
        <v>10</v>
      </c>
    </row>
    <row r="21417" spans="1:1">
      <c r="A21417" s="27">
        <v>0</v>
      </c>
    </row>
    <row r="21418" spans="1:1">
      <c r="A21418" s="29">
        <v>0.34027777777777773</v>
      </c>
    </row>
    <row r="21419" spans="1:1">
      <c r="A21419" s="27">
        <v>11.9</v>
      </c>
    </row>
    <row r="21420" spans="1:1">
      <c r="A21420" s="28">
        <v>29.6</v>
      </c>
    </row>
    <row r="21421" spans="1:1">
      <c r="A21421" s="25">
        <v>971</v>
      </c>
    </row>
    <row r="21422" spans="1:1" ht="45">
      <c r="A21422" s="26" t="s">
        <v>1034</v>
      </c>
    </row>
    <row r="21423" spans="1:1">
      <c r="A21423" s="27" t="s">
        <v>43</v>
      </c>
    </row>
    <row r="21424" spans="1:1">
      <c r="A21424" s="27">
        <v>10</v>
      </c>
    </row>
    <row r="21425" spans="1:1">
      <c r="A21425" s="27">
        <v>0</v>
      </c>
    </row>
    <row r="21426" spans="1:1">
      <c r="A21426" s="27">
        <v>0</v>
      </c>
    </row>
    <row r="21427" spans="1:1">
      <c r="A21427" s="27">
        <v>0</v>
      </c>
    </row>
    <row r="21428" spans="1:1">
      <c r="A21428" s="27">
        <v>-1</v>
      </c>
    </row>
    <row r="21429" spans="1:1">
      <c r="A21429" s="27">
        <v>2</v>
      </c>
    </row>
    <row r="21430" spans="1:1">
      <c r="A21430" s="27" t="s">
        <v>656</v>
      </c>
    </row>
    <row r="21431" spans="1:1">
      <c r="A21431" s="27">
        <v>0</v>
      </c>
    </row>
    <row r="21432" spans="1:1">
      <c r="A21432" s="27">
        <v>0</v>
      </c>
    </row>
    <row r="21433" spans="1:1">
      <c r="A21433" s="27">
        <v>0</v>
      </c>
    </row>
    <row r="21434" spans="1:1">
      <c r="A21434" s="27">
        <v>0</v>
      </c>
    </row>
    <row r="21435" spans="1:1">
      <c r="A21435" s="27">
        <v>0</v>
      </c>
    </row>
    <row r="21436" spans="1:1">
      <c r="A21436" s="27">
        <v>0</v>
      </c>
    </row>
    <row r="21437" spans="1:1">
      <c r="A21437" s="27">
        <v>2</v>
      </c>
    </row>
    <row r="21438" spans="1:1">
      <c r="A21438" s="27">
        <v>0</v>
      </c>
    </row>
    <row r="21439" spans="1:1">
      <c r="A21439" s="29">
        <v>0.29791666666666666</v>
      </c>
    </row>
    <row r="21440" spans="1:1">
      <c r="A21440" s="27">
        <v>9.5</v>
      </c>
    </row>
    <row r="21441" spans="1:1">
      <c r="A21441" s="28">
        <v>0</v>
      </c>
    </row>
    <row r="21442" spans="1:1">
      <c r="A21442" s="25">
        <v>972</v>
      </c>
    </row>
    <row r="21443" spans="1:1" ht="45">
      <c r="A21443" s="26" t="s">
        <v>1017</v>
      </c>
    </row>
    <row r="21444" spans="1:1">
      <c r="A21444" s="27" t="s">
        <v>42</v>
      </c>
    </row>
    <row r="21445" spans="1:1">
      <c r="A21445" s="27">
        <v>7</v>
      </c>
    </row>
    <row r="21446" spans="1:1">
      <c r="A21446" s="27">
        <v>0</v>
      </c>
    </row>
    <row r="21447" spans="1:1">
      <c r="A21447" s="27">
        <v>0</v>
      </c>
    </row>
    <row r="21448" spans="1:1">
      <c r="A21448" s="27">
        <v>0</v>
      </c>
    </row>
    <row r="21449" spans="1:1">
      <c r="A21449" s="27">
        <v>1</v>
      </c>
    </row>
    <row r="21450" spans="1:1">
      <c r="A21450" s="27">
        <v>0</v>
      </c>
    </row>
    <row r="21451" spans="1:1">
      <c r="A21451" s="27" t="s">
        <v>656</v>
      </c>
    </row>
    <row r="21452" spans="1:1">
      <c r="A21452" s="27">
        <v>0</v>
      </c>
    </row>
    <row r="21453" spans="1:1">
      <c r="A21453" s="27">
        <v>0</v>
      </c>
    </row>
    <row r="21454" spans="1:1">
      <c r="A21454" s="27">
        <v>0</v>
      </c>
    </row>
    <row r="21455" spans="1:1">
      <c r="A21455" s="27">
        <v>0</v>
      </c>
    </row>
    <row r="21456" spans="1:1">
      <c r="A21456" s="27">
        <v>0</v>
      </c>
    </row>
    <row r="21457" spans="1:1">
      <c r="A21457" s="27">
        <v>0</v>
      </c>
    </row>
    <row r="21458" spans="1:1">
      <c r="A21458" s="27">
        <v>4</v>
      </c>
    </row>
    <row r="21459" spans="1:1">
      <c r="A21459" s="27">
        <v>0</v>
      </c>
    </row>
    <row r="21460" spans="1:1">
      <c r="A21460" s="29">
        <v>0.60972222222222217</v>
      </c>
    </row>
    <row r="21461" spans="1:1">
      <c r="A21461" s="27">
        <v>19.399999999999999</v>
      </c>
    </row>
    <row r="21462" spans="1:1">
      <c r="A21462" s="28">
        <v>0</v>
      </c>
    </row>
    <row r="21463" spans="1:1">
      <c r="A21463" s="25">
        <v>973</v>
      </c>
    </row>
    <row r="21464" spans="1:1" ht="30">
      <c r="A21464" s="26" t="s">
        <v>1057</v>
      </c>
    </row>
    <row r="21465" spans="1:1">
      <c r="A21465" s="27" t="s">
        <v>42</v>
      </c>
    </row>
    <row r="21466" spans="1:1">
      <c r="A21466" s="27">
        <v>9</v>
      </c>
    </row>
    <row r="21467" spans="1:1">
      <c r="A21467" s="27">
        <v>0</v>
      </c>
    </row>
    <row r="21468" spans="1:1">
      <c r="A21468" s="27">
        <v>0</v>
      </c>
    </row>
    <row r="21469" spans="1:1">
      <c r="A21469" s="27">
        <v>0</v>
      </c>
    </row>
    <row r="21470" spans="1:1">
      <c r="A21470" s="27">
        <v>-3</v>
      </c>
    </row>
    <row r="21471" spans="1:1">
      <c r="A21471" s="27">
        <v>8</v>
      </c>
    </row>
    <row r="21472" spans="1:1">
      <c r="A21472" s="27" t="s">
        <v>656</v>
      </c>
    </row>
    <row r="21473" spans="1:1">
      <c r="A21473" s="27">
        <v>0</v>
      </c>
    </row>
    <row r="21474" spans="1:1">
      <c r="A21474" s="27">
        <v>0</v>
      </c>
    </row>
    <row r="21475" spans="1:1">
      <c r="A21475" s="27">
        <v>0</v>
      </c>
    </row>
    <row r="21476" spans="1:1">
      <c r="A21476" s="27">
        <v>0</v>
      </c>
    </row>
    <row r="21477" spans="1:1">
      <c r="A21477" s="27">
        <v>0</v>
      </c>
    </row>
    <row r="21478" spans="1:1">
      <c r="A21478" s="27">
        <v>0</v>
      </c>
    </row>
    <row r="21479" spans="1:1">
      <c r="A21479" s="27">
        <v>8</v>
      </c>
    </row>
    <row r="21480" spans="1:1">
      <c r="A21480" s="27">
        <v>0</v>
      </c>
    </row>
    <row r="21481" spans="1:1">
      <c r="A21481" s="29">
        <v>0.57291666666666663</v>
      </c>
    </row>
    <row r="21482" spans="1:1">
      <c r="A21482" s="27">
        <v>18.8</v>
      </c>
    </row>
    <row r="21483" spans="1:1">
      <c r="A21483" s="28">
        <v>0</v>
      </c>
    </row>
    <row r="21484" spans="1:1">
      <c r="A21484" s="25">
        <v>974</v>
      </c>
    </row>
    <row r="21485" spans="1:1" ht="30">
      <c r="A21485" s="26" t="s">
        <v>1053</v>
      </c>
    </row>
    <row r="21486" spans="1:1">
      <c r="A21486" s="27" t="s">
        <v>42</v>
      </c>
    </row>
    <row r="21487" spans="1:1">
      <c r="A21487" s="27">
        <v>19</v>
      </c>
    </row>
    <row r="21488" spans="1:1">
      <c r="A21488" s="27">
        <v>0</v>
      </c>
    </row>
    <row r="21489" spans="1:1">
      <c r="A21489" s="27">
        <v>0</v>
      </c>
    </row>
    <row r="21490" spans="1:1">
      <c r="A21490" s="27">
        <v>0</v>
      </c>
    </row>
    <row r="21491" spans="1:1">
      <c r="A21491" s="27">
        <v>2</v>
      </c>
    </row>
    <row r="21492" spans="1:1">
      <c r="A21492" s="27">
        <v>2</v>
      </c>
    </row>
    <row r="21493" spans="1:1">
      <c r="A21493" s="27" t="s">
        <v>656</v>
      </c>
    </row>
    <row r="21494" spans="1:1">
      <c r="A21494" s="27">
        <v>0</v>
      </c>
    </row>
    <row r="21495" spans="1:1">
      <c r="A21495" s="27">
        <v>0</v>
      </c>
    </row>
    <row r="21496" spans="1:1">
      <c r="A21496" s="27">
        <v>0</v>
      </c>
    </row>
    <row r="21497" spans="1:1">
      <c r="A21497" s="27">
        <v>0</v>
      </c>
    </row>
    <row r="21498" spans="1:1">
      <c r="A21498" s="27">
        <v>0</v>
      </c>
    </row>
    <row r="21499" spans="1:1">
      <c r="A21499" s="27">
        <v>0</v>
      </c>
    </row>
    <row r="21500" spans="1:1">
      <c r="A21500" s="27">
        <v>18</v>
      </c>
    </row>
    <row r="21501" spans="1:1">
      <c r="A21501" s="27">
        <v>0</v>
      </c>
    </row>
    <row r="21502" spans="1:1">
      <c r="A21502" s="29">
        <v>0.6694444444444444</v>
      </c>
    </row>
    <row r="21503" spans="1:1">
      <c r="A21503" s="27">
        <v>19.899999999999999</v>
      </c>
    </row>
    <row r="21504" spans="1:1">
      <c r="A21504" s="28">
        <v>0</v>
      </c>
    </row>
    <row r="21505" spans="1:1">
      <c r="A21505" s="25">
        <v>975</v>
      </c>
    </row>
    <row r="21506" spans="1:1" ht="30">
      <c r="A21506" s="26" t="s">
        <v>734</v>
      </c>
    </row>
    <row r="21507" spans="1:1">
      <c r="A21507" s="27" t="s">
        <v>653</v>
      </c>
    </row>
    <row r="21508" spans="1:1">
      <c r="A21508" s="27">
        <v>4</v>
      </c>
    </row>
    <row r="21509" spans="1:1">
      <c r="A21509" s="27">
        <v>0</v>
      </c>
    </row>
    <row r="21510" spans="1:1">
      <c r="A21510" s="27">
        <v>0</v>
      </c>
    </row>
    <row r="21511" spans="1:1">
      <c r="A21511" s="27">
        <v>0</v>
      </c>
    </row>
    <row r="21512" spans="1:1">
      <c r="A21512" s="27">
        <v>0</v>
      </c>
    </row>
    <row r="21513" spans="1:1">
      <c r="A21513" s="27">
        <v>4</v>
      </c>
    </row>
    <row r="21514" spans="1:1">
      <c r="A21514" s="27" t="s">
        <v>656</v>
      </c>
    </row>
    <row r="21515" spans="1:1">
      <c r="A21515" s="27">
        <v>0</v>
      </c>
    </row>
    <row r="21516" spans="1:1">
      <c r="A21516" s="27">
        <v>0</v>
      </c>
    </row>
    <row r="21517" spans="1:1">
      <c r="A21517" s="27">
        <v>0</v>
      </c>
    </row>
    <row r="21518" spans="1:1">
      <c r="A21518" s="27">
        <v>0</v>
      </c>
    </row>
    <row r="21519" spans="1:1">
      <c r="A21519" s="27">
        <v>0</v>
      </c>
    </row>
    <row r="21520" spans="1:1">
      <c r="A21520" s="27">
        <v>0</v>
      </c>
    </row>
    <row r="21521" spans="1:1">
      <c r="A21521" s="27">
        <v>3</v>
      </c>
    </row>
    <row r="21522" spans="1:1">
      <c r="A21522" s="27">
        <v>0</v>
      </c>
    </row>
    <row r="21523" spans="1:1">
      <c r="A21523" s="29">
        <v>0.45694444444444443</v>
      </c>
    </row>
    <row r="21524" spans="1:1">
      <c r="A21524" s="27">
        <v>14.8</v>
      </c>
    </row>
    <row r="21525" spans="1:1">
      <c r="A21525" s="28">
        <v>50</v>
      </c>
    </row>
    <row r="21526" spans="1:1">
      <c r="A21526" s="25">
        <v>976</v>
      </c>
    </row>
    <row r="21527" spans="1:1" ht="30">
      <c r="A21527" s="26" t="s">
        <v>1018</v>
      </c>
    </row>
    <row r="21528" spans="1:1">
      <c r="A21528" s="27" t="s">
        <v>42</v>
      </c>
    </row>
    <row r="21529" spans="1:1">
      <c r="A21529" s="27">
        <v>4</v>
      </c>
    </row>
    <row r="21530" spans="1:1">
      <c r="A21530" s="27">
        <v>0</v>
      </c>
    </row>
    <row r="21531" spans="1:1">
      <c r="A21531" s="27">
        <v>0</v>
      </c>
    </row>
    <row r="21532" spans="1:1">
      <c r="A21532" s="27">
        <v>0</v>
      </c>
    </row>
    <row r="21533" spans="1:1">
      <c r="A21533" s="27">
        <v>-2</v>
      </c>
    </row>
    <row r="21534" spans="1:1">
      <c r="A21534" s="27">
        <v>4</v>
      </c>
    </row>
    <row r="21535" spans="1:1">
      <c r="A21535" s="27" t="s">
        <v>656</v>
      </c>
    </row>
    <row r="21536" spans="1:1">
      <c r="A21536" s="27">
        <v>0</v>
      </c>
    </row>
    <row r="21537" spans="1:1">
      <c r="A21537" s="27">
        <v>0</v>
      </c>
    </row>
    <row r="21538" spans="1:1">
      <c r="A21538" s="27">
        <v>0</v>
      </c>
    </row>
    <row r="21539" spans="1:1">
      <c r="A21539" s="27">
        <v>0</v>
      </c>
    </row>
    <row r="21540" spans="1:1">
      <c r="A21540" s="27">
        <v>0</v>
      </c>
    </row>
    <row r="21541" spans="1:1">
      <c r="A21541" s="27">
        <v>0</v>
      </c>
    </row>
    <row r="21542" spans="1:1">
      <c r="A21542" s="27">
        <v>6</v>
      </c>
    </row>
    <row r="21543" spans="1:1">
      <c r="A21543" s="27">
        <v>0</v>
      </c>
    </row>
    <row r="21544" spans="1:1">
      <c r="A21544" s="29">
        <v>0.65</v>
      </c>
    </row>
    <row r="21545" spans="1:1">
      <c r="A21545" s="27">
        <v>18.8</v>
      </c>
    </row>
    <row r="21546" spans="1:1">
      <c r="A21546" s="28">
        <v>0</v>
      </c>
    </row>
    <row r="21547" spans="1:1">
      <c r="A21547" s="25">
        <v>977</v>
      </c>
    </row>
    <row r="21548" spans="1:1" ht="30">
      <c r="A21548" s="26" t="s">
        <v>783</v>
      </c>
    </row>
    <row r="21549" spans="1:1">
      <c r="A21549" s="27" t="s">
        <v>653</v>
      </c>
    </row>
    <row r="21550" spans="1:1">
      <c r="A21550" s="27">
        <v>8</v>
      </c>
    </row>
    <row r="21551" spans="1:1">
      <c r="A21551" s="27">
        <v>0</v>
      </c>
    </row>
    <row r="21552" spans="1:1">
      <c r="A21552" s="27">
        <v>0</v>
      </c>
    </row>
    <row r="21553" spans="1:1">
      <c r="A21553" s="27">
        <v>0</v>
      </c>
    </row>
    <row r="21554" spans="1:1">
      <c r="A21554" s="27">
        <v>0</v>
      </c>
    </row>
    <row r="21555" spans="1:1">
      <c r="A21555" s="27">
        <v>2</v>
      </c>
    </row>
    <row r="21556" spans="1:1">
      <c r="A21556" s="27" t="s">
        <v>656</v>
      </c>
    </row>
    <row r="21557" spans="1:1">
      <c r="A21557" s="27">
        <v>0</v>
      </c>
    </row>
    <row r="21558" spans="1:1">
      <c r="A21558" s="27">
        <v>0</v>
      </c>
    </row>
    <row r="21559" spans="1:1">
      <c r="A21559" s="27">
        <v>0</v>
      </c>
    </row>
    <row r="21560" spans="1:1">
      <c r="A21560" s="27">
        <v>0</v>
      </c>
    </row>
    <row r="21561" spans="1:1">
      <c r="A21561" s="27">
        <v>0</v>
      </c>
    </row>
    <row r="21562" spans="1:1">
      <c r="A21562" s="27">
        <v>0</v>
      </c>
    </row>
    <row r="21563" spans="1:1">
      <c r="A21563" s="27">
        <v>8</v>
      </c>
    </row>
    <row r="21564" spans="1:1">
      <c r="A21564" s="27">
        <v>0</v>
      </c>
    </row>
    <row r="21565" spans="1:1">
      <c r="A21565" s="29">
        <v>0.42222222222222222</v>
      </c>
    </row>
    <row r="21566" spans="1:1">
      <c r="A21566" s="27">
        <v>17</v>
      </c>
    </row>
    <row r="21567" spans="1:1">
      <c r="A21567" s="28">
        <v>47.2</v>
      </c>
    </row>
    <row r="21568" spans="1:1">
      <c r="A21568" s="25">
        <v>978</v>
      </c>
    </row>
    <row r="21569" spans="1:1" ht="30">
      <c r="A21569" s="26" t="s">
        <v>951</v>
      </c>
    </row>
    <row r="21570" spans="1:1">
      <c r="A21570" s="27" t="s">
        <v>42</v>
      </c>
    </row>
    <row r="21571" spans="1:1">
      <c r="A21571" s="27">
        <v>2</v>
      </c>
    </row>
    <row r="21572" spans="1:1">
      <c r="A21572" s="27">
        <v>0</v>
      </c>
    </row>
    <row r="21573" spans="1:1">
      <c r="A21573" s="27">
        <v>0</v>
      </c>
    </row>
    <row r="21574" spans="1:1">
      <c r="A21574" s="27">
        <v>0</v>
      </c>
    </row>
    <row r="21575" spans="1:1">
      <c r="A21575" s="27">
        <v>1</v>
      </c>
    </row>
    <row r="21576" spans="1:1">
      <c r="A21576" s="27">
        <v>0</v>
      </c>
    </row>
    <row r="21577" spans="1:1">
      <c r="A21577" s="27" t="s">
        <v>656</v>
      </c>
    </row>
    <row r="21578" spans="1:1">
      <c r="A21578" s="27">
        <v>0</v>
      </c>
    </row>
    <row r="21579" spans="1:1">
      <c r="A21579" s="27">
        <v>0</v>
      </c>
    </row>
    <row r="21580" spans="1:1">
      <c r="A21580" s="27">
        <v>0</v>
      </c>
    </row>
    <row r="21581" spans="1:1">
      <c r="A21581" s="27">
        <v>0</v>
      </c>
    </row>
    <row r="21582" spans="1:1">
      <c r="A21582" s="27">
        <v>0</v>
      </c>
    </row>
    <row r="21583" spans="1:1">
      <c r="A21583" s="27">
        <v>0</v>
      </c>
    </row>
    <row r="21584" spans="1:1">
      <c r="A21584" s="27">
        <v>1</v>
      </c>
    </row>
    <row r="21585" spans="1:1">
      <c r="A21585" s="27">
        <v>0</v>
      </c>
    </row>
    <row r="21586" spans="1:1">
      <c r="A21586" s="29">
        <v>0.43333333333333335</v>
      </c>
    </row>
    <row r="21587" spans="1:1">
      <c r="A21587" s="27">
        <v>16.5</v>
      </c>
    </row>
    <row r="21588" spans="1:1">
      <c r="A21588" s="28">
        <v>0</v>
      </c>
    </row>
    <row r="21589" spans="1:1">
      <c r="A21589" s="25">
        <v>979</v>
      </c>
    </row>
    <row r="21590" spans="1:1" ht="45">
      <c r="A21590" s="26" t="s">
        <v>1035</v>
      </c>
    </row>
    <row r="21591" spans="1:1">
      <c r="A21591" s="27" t="s">
        <v>43</v>
      </c>
    </row>
    <row r="21592" spans="1:1">
      <c r="A21592" s="27">
        <v>9</v>
      </c>
    </row>
    <row r="21593" spans="1:1">
      <c r="A21593" s="27">
        <v>0</v>
      </c>
    </row>
    <row r="21594" spans="1:1">
      <c r="A21594" s="27">
        <v>0</v>
      </c>
    </row>
    <row r="21595" spans="1:1">
      <c r="A21595" s="27">
        <v>0</v>
      </c>
    </row>
    <row r="21596" spans="1:1">
      <c r="A21596" s="27">
        <v>1</v>
      </c>
    </row>
    <row r="21597" spans="1:1">
      <c r="A21597" s="27">
        <v>0</v>
      </c>
    </row>
    <row r="21598" spans="1:1">
      <c r="A21598" s="27" t="s">
        <v>656</v>
      </c>
    </row>
    <row r="21599" spans="1:1">
      <c r="A21599" s="27">
        <v>0</v>
      </c>
    </row>
    <row r="21600" spans="1:1">
      <c r="A21600" s="27">
        <v>0</v>
      </c>
    </row>
    <row r="21601" spans="1:1">
      <c r="A21601" s="27">
        <v>0</v>
      </c>
    </row>
    <row r="21602" spans="1:1">
      <c r="A21602" s="27">
        <v>0</v>
      </c>
    </row>
    <row r="21603" spans="1:1">
      <c r="A21603" s="27">
        <v>0</v>
      </c>
    </row>
    <row r="21604" spans="1:1">
      <c r="A21604" s="27">
        <v>0</v>
      </c>
    </row>
    <row r="21605" spans="1:1">
      <c r="A21605" s="27">
        <v>2</v>
      </c>
    </row>
    <row r="21606" spans="1:1">
      <c r="A21606" s="27">
        <v>0</v>
      </c>
    </row>
    <row r="21607" spans="1:1">
      <c r="A21607" s="29">
        <v>0.23263888888888887</v>
      </c>
    </row>
    <row r="21608" spans="1:1">
      <c r="A21608" s="27">
        <v>8</v>
      </c>
    </row>
    <row r="21609" spans="1:1">
      <c r="A21609" s="28">
        <v>0</v>
      </c>
    </row>
    <row r="21610" spans="1:1">
      <c r="A21610" s="25">
        <v>980</v>
      </c>
    </row>
    <row r="21611" spans="1:1" ht="45">
      <c r="A21611" s="26" t="s">
        <v>922</v>
      </c>
    </row>
    <row r="21612" spans="1:1">
      <c r="A21612" s="27" t="s">
        <v>43</v>
      </c>
    </row>
    <row r="21613" spans="1:1">
      <c r="A21613" s="27">
        <v>4</v>
      </c>
    </row>
    <row r="21614" spans="1:1">
      <c r="A21614" s="27">
        <v>0</v>
      </c>
    </row>
    <row r="21615" spans="1:1">
      <c r="A21615" s="27">
        <v>0</v>
      </c>
    </row>
    <row r="21616" spans="1:1">
      <c r="A21616" s="27">
        <v>0</v>
      </c>
    </row>
    <row r="21617" spans="1:1">
      <c r="A21617" s="27">
        <v>-5</v>
      </c>
    </row>
    <row r="21618" spans="1:1">
      <c r="A21618" s="27">
        <v>0</v>
      </c>
    </row>
    <row r="21619" spans="1:1">
      <c r="A21619" s="27" t="s">
        <v>656</v>
      </c>
    </row>
    <row r="21620" spans="1:1">
      <c r="A21620" s="27">
        <v>0</v>
      </c>
    </row>
    <row r="21621" spans="1:1">
      <c r="A21621" s="27">
        <v>0</v>
      </c>
    </row>
    <row r="21622" spans="1:1">
      <c r="A21622" s="27">
        <v>0</v>
      </c>
    </row>
    <row r="21623" spans="1:1">
      <c r="A21623" s="27">
        <v>0</v>
      </c>
    </row>
    <row r="21624" spans="1:1">
      <c r="A21624" s="27">
        <v>0</v>
      </c>
    </row>
    <row r="21625" spans="1:1">
      <c r="A21625" s="27">
        <v>0</v>
      </c>
    </row>
    <row r="21626" spans="1:1">
      <c r="A21626" s="27">
        <v>3</v>
      </c>
    </row>
    <row r="21627" spans="1:1">
      <c r="A21627" s="27">
        <v>0</v>
      </c>
    </row>
    <row r="21628" spans="1:1">
      <c r="A21628" s="29">
        <v>0.49791666666666662</v>
      </c>
    </row>
    <row r="21629" spans="1:1">
      <c r="A21629" s="27">
        <v>16.3</v>
      </c>
    </row>
    <row r="21630" spans="1:1">
      <c r="A21630" s="28">
        <v>25</v>
      </c>
    </row>
    <row r="21631" spans="1:1">
      <c r="A21631" s="25">
        <v>981</v>
      </c>
    </row>
    <row r="21632" spans="1:1" ht="30">
      <c r="A21632" s="26" t="s">
        <v>968</v>
      </c>
    </row>
    <row r="21633" spans="1:1">
      <c r="A21633" s="27" t="s">
        <v>653</v>
      </c>
    </row>
    <row r="21634" spans="1:1">
      <c r="A21634" s="27">
        <v>3</v>
      </c>
    </row>
    <row r="21635" spans="1:1">
      <c r="A21635" s="27">
        <v>0</v>
      </c>
    </row>
    <row r="21636" spans="1:1">
      <c r="A21636" s="27">
        <v>0</v>
      </c>
    </row>
    <row r="21637" spans="1:1">
      <c r="A21637" s="27">
        <v>0</v>
      </c>
    </row>
    <row r="21638" spans="1:1">
      <c r="A21638" s="27">
        <v>0</v>
      </c>
    </row>
    <row r="21639" spans="1:1">
      <c r="A21639" s="27">
        <v>0</v>
      </c>
    </row>
    <row r="21640" spans="1:1">
      <c r="A21640" s="27" t="s">
        <v>656</v>
      </c>
    </row>
    <row r="21641" spans="1:1">
      <c r="A21641" s="27">
        <v>0</v>
      </c>
    </row>
    <row r="21642" spans="1:1">
      <c r="A21642" s="27">
        <v>0</v>
      </c>
    </row>
    <row r="21643" spans="1:1">
      <c r="A21643" s="27">
        <v>0</v>
      </c>
    </row>
    <row r="21644" spans="1:1">
      <c r="A21644" s="27">
        <v>0</v>
      </c>
    </row>
    <row r="21645" spans="1:1">
      <c r="A21645" s="27">
        <v>0</v>
      </c>
    </row>
    <row r="21646" spans="1:1">
      <c r="A21646" s="27">
        <v>0</v>
      </c>
    </row>
    <row r="21647" spans="1:1">
      <c r="A21647" s="27">
        <v>3</v>
      </c>
    </row>
    <row r="21648" spans="1:1">
      <c r="A21648" s="27">
        <v>0</v>
      </c>
    </row>
    <row r="21649" spans="1:1">
      <c r="A21649" s="29">
        <v>0.39513888888888887</v>
      </c>
    </row>
    <row r="21650" spans="1:1">
      <c r="A21650" s="27">
        <v>14.3</v>
      </c>
    </row>
    <row r="21651" spans="1:1">
      <c r="A21651" s="28">
        <v>0</v>
      </c>
    </row>
    <row r="21652" spans="1:1">
      <c r="A21652" s="25">
        <v>982</v>
      </c>
    </row>
    <row r="21653" spans="1:1" ht="30">
      <c r="A21653" s="26" t="s">
        <v>1003</v>
      </c>
    </row>
    <row r="21654" spans="1:1">
      <c r="A21654" s="27" t="s">
        <v>42</v>
      </c>
    </row>
    <row r="21655" spans="1:1">
      <c r="A21655" s="27">
        <v>10</v>
      </c>
    </row>
    <row r="21656" spans="1:1">
      <c r="A21656" s="27">
        <v>0</v>
      </c>
    </row>
    <row r="21657" spans="1:1">
      <c r="A21657" s="27">
        <v>0</v>
      </c>
    </row>
    <row r="21658" spans="1:1">
      <c r="A21658" s="27">
        <v>0</v>
      </c>
    </row>
    <row r="21659" spans="1:1">
      <c r="A21659" s="27">
        <v>-1</v>
      </c>
    </row>
    <row r="21660" spans="1:1">
      <c r="A21660" s="27">
        <v>0</v>
      </c>
    </row>
    <row r="21661" spans="1:1">
      <c r="A21661" s="27" t="s">
        <v>656</v>
      </c>
    </row>
    <row r="21662" spans="1:1">
      <c r="A21662" s="27">
        <v>0</v>
      </c>
    </row>
    <row r="21663" spans="1:1">
      <c r="A21663" s="27">
        <v>0</v>
      </c>
    </row>
    <row r="21664" spans="1:1">
      <c r="A21664" s="27">
        <v>0</v>
      </c>
    </row>
    <row r="21665" spans="1:1">
      <c r="A21665" s="27">
        <v>0</v>
      </c>
    </row>
    <row r="21666" spans="1:1">
      <c r="A21666" s="27">
        <v>0</v>
      </c>
    </row>
    <row r="21667" spans="1:1">
      <c r="A21667" s="27">
        <v>0</v>
      </c>
    </row>
    <row r="21668" spans="1:1">
      <c r="A21668" s="27">
        <v>7</v>
      </c>
    </row>
    <row r="21669" spans="1:1">
      <c r="A21669" s="27">
        <v>0</v>
      </c>
    </row>
    <row r="21670" spans="1:1">
      <c r="A21670" s="29">
        <v>0.45902777777777781</v>
      </c>
    </row>
    <row r="21671" spans="1:1">
      <c r="A21671" s="27">
        <v>15.8</v>
      </c>
    </row>
    <row r="21672" spans="1:1">
      <c r="A21672" s="28">
        <v>0</v>
      </c>
    </row>
    <row r="21673" spans="1:1">
      <c r="A21673" s="25">
        <v>983</v>
      </c>
    </row>
    <row r="21674" spans="1:1" ht="30">
      <c r="A21674" s="26" t="s">
        <v>1019</v>
      </c>
    </row>
    <row r="21675" spans="1:1">
      <c r="A21675" s="27" t="s">
        <v>43</v>
      </c>
    </row>
    <row r="21676" spans="1:1">
      <c r="A21676" s="27">
        <v>5</v>
      </c>
    </row>
    <row r="21677" spans="1:1">
      <c r="A21677" s="27">
        <v>0</v>
      </c>
    </row>
    <row r="21678" spans="1:1">
      <c r="A21678" s="27">
        <v>0</v>
      </c>
    </row>
    <row r="21679" spans="1:1">
      <c r="A21679" s="27">
        <v>0</v>
      </c>
    </row>
    <row r="21680" spans="1:1">
      <c r="A21680" s="27">
        <v>0</v>
      </c>
    </row>
    <row r="21681" spans="1:1">
      <c r="A21681" s="27">
        <v>5</v>
      </c>
    </row>
    <row r="21682" spans="1:1">
      <c r="A21682" s="27" t="s">
        <v>656</v>
      </c>
    </row>
    <row r="21683" spans="1:1">
      <c r="A21683" s="27">
        <v>0</v>
      </c>
    </row>
    <row r="21684" spans="1:1">
      <c r="A21684" s="27">
        <v>0</v>
      </c>
    </row>
    <row r="21685" spans="1:1">
      <c r="A21685" s="27">
        <v>0</v>
      </c>
    </row>
    <row r="21686" spans="1:1">
      <c r="A21686" s="27">
        <v>0</v>
      </c>
    </row>
    <row r="21687" spans="1:1">
      <c r="A21687" s="27">
        <v>0</v>
      </c>
    </row>
    <row r="21688" spans="1:1">
      <c r="A21688" s="27">
        <v>0</v>
      </c>
    </row>
    <row r="21689" spans="1:1">
      <c r="A21689" s="27">
        <v>5</v>
      </c>
    </row>
    <row r="21690" spans="1:1">
      <c r="A21690" s="27">
        <v>0</v>
      </c>
    </row>
    <row r="21691" spans="1:1">
      <c r="A21691" s="29">
        <v>0.37361111111111112</v>
      </c>
    </row>
    <row r="21692" spans="1:1">
      <c r="A21692" s="27">
        <v>10.4</v>
      </c>
    </row>
    <row r="21693" spans="1:1">
      <c r="A21693" s="28">
        <v>0</v>
      </c>
    </row>
    <row r="21694" spans="1:1">
      <c r="A21694" s="25">
        <v>984</v>
      </c>
    </row>
    <row r="21695" spans="1:1" ht="30">
      <c r="A21695" s="26" t="s">
        <v>952</v>
      </c>
    </row>
    <row r="21696" spans="1:1">
      <c r="A21696" s="27" t="s">
        <v>43</v>
      </c>
    </row>
    <row r="21697" spans="1:1">
      <c r="A21697" s="27">
        <v>7</v>
      </c>
    </row>
    <row r="21698" spans="1:1">
      <c r="A21698" s="27">
        <v>0</v>
      </c>
    </row>
    <row r="21699" spans="1:1">
      <c r="A21699" s="27">
        <v>0</v>
      </c>
    </row>
    <row r="21700" spans="1:1">
      <c r="A21700" s="27">
        <v>0</v>
      </c>
    </row>
    <row r="21701" spans="1:1">
      <c r="A21701" s="27">
        <v>-1</v>
      </c>
    </row>
    <row r="21702" spans="1:1">
      <c r="A21702" s="27">
        <v>0</v>
      </c>
    </row>
    <row r="21703" spans="1:1">
      <c r="A21703" s="27" t="s">
        <v>656</v>
      </c>
    </row>
    <row r="21704" spans="1:1">
      <c r="A21704" s="27">
        <v>0</v>
      </c>
    </row>
    <row r="21705" spans="1:1">
      <c r="A21705" s="27">
        <v>0</v>
      </c>
    </row>
    <row r="21706" spans="1:1">
      <c r="A21706" s="27">
        <v>0</v>
      </c>
    </row>
    <row r="21707" spans="1:1">
      <c r="A21707" s="27">
        <v>0</v>
      </c>
    </row>
    <row r="21708" spans="1:1">
      <c r="A21708" s="27">
        <v>0</v>
      </c>
    </row>
    <row r="21709" spans="1:1">
      <c r="A21709" s="27">
        <v>0</v>
      </c>
    </row>
    <row r="21710" spans="1:1">
      <c r="A21710" s="27">
        <v>3</v>
      </c>
    </row>
    <row r="21711" spans="1:1">
      <c r="A21711" s="27">
        <v>0</v>
      </c>
    </row>
    <row r="21712" spans="1:1">
      <c r="A21712" s="29">
        <v>0.36388888888888887</v>
      </c>
    </row>
    <row r="21713" spans="1:1">
      <c r="A21713" s="27">
        <v>12.1</v>
      </c>
    </row>
    <row r="21714" spans="1:1">
      <c r="A21714" s="28">
        <v>0</v>
      </c>
    </row>
  </sheetData>
  <sortState ref="D2:E21714">
    <sortCondition ref="D2:D21714"/>
  </sortState>
  <dataConsolidate/>
  <hyperlinks>
    <hyperlink ref="A2" r:id="rId1" display="https://www.nhl.com/player/Alex-Ovechkin-8471214" xr:uid="{27621DBB-2A37-42F9-9D04-D135A0815CD5}"/>
    <hyperlink ref="A23" r:id="rId2" display="https://www.nhl.com/player/Sidney-Crosby-8471675" xr:uid="{BAC05083-B513-4E55-B48F-786D928AC21C}"/>
    <hyperlink ref="A44" r:id="rId3" display="https://www.nhl.com/player/Joe-Thornton-8466138" xr:uid="{6289CE8B-5898-4B1C-80D3-D078B380DE12}"/>
    <hyperlink ref="A65" r:id="rId4" display="https://www.nhl.com/player/Evgeni-Malkin-8471215" xr:uid="{60633184-6524-42CF-A498-23E2C6217ADB}"/>
    <hyperlink ref="A86" r:id="rId5" display="https://www.nhl.com/player/Patrick-Kane-8474141" xr:uid="{9FE2C60E-35BB-47C0-AF6B-0B53A8A7D597}"/>
    <hyperlink ref="A107" r:id="rId6" display="https://www.nhl.com/player/Eric-Staal-8470595" xr:uid="{A27B7A13-53C2-4E6F-B023-0B3E8C4ECF77}"/>
    <hyperlink ref="A128" r:id="rId7" display="https://www.nhl.com/player/Ryan-Getzlaf-8470612" xr:uid="{C99EF9F0-0B35-4849-9162-372D4EEA4894}"/>
    <hyperlink ref="A149" r:id="rId8" display="https://www.nhl.com/player/Anze-Kopitar-8471685" xr:uid="{1D082262-2B3D-4701-81A1-BC76893BA38E}"/>
    <hyperlink ref="A170" r:id="rId9" display="https://www.nhl.com/player/Nicklas-Backstrom-8473563" xr:uid="{D873DB53-D27C-4DF1-BB4F-11B759F13B70}"/>
    <hyperlink ref="A191" r:id="rId10" display="https://www.nhl.com/player/Henrik-Zetterberg-8468083" xr:uid="{18BFE142-3E80-421D-A084-168A4589BB69}"/>
    <hyperlink ref="A212" r:id="rId11" display="https://www.nhl.com/player/Patrick-Marleau-8466139" xr:uid="{CBDD5502-43F0-4C81-B6AD-5CA652A4E4C8}"/>
    <hyperlink ref="A233" r:id="rId12" display="https://www.nhl.com/player/Jason-Spezza-8469455" xr:uid="{410B331A-92FF-467B-B66D-747D73F0AA61}"/>
    <hyperlink ref="A254" r:id="rId13" display="https://www.nhl.com/player/Phil-Kessel-8473548" xr:uid="{CD756C75-6788-452C-9464-95BE46B7265A}"/>
    <hyperlink ref="A275" r:id="rId14" display="https://www.nhl.com/player/Patrice-Bergeron-8470638" xr:uid="{A70BFD81-130D-402A-BB19-F6B2ECF8259F}"/>
    <hyperlink ref="A296" r:id="rId15" display="https://www.nhl.com/player/Steven-Stamkos-8474564" xr:uid="{4A36A71C-5420-42A0-864C-276C521FBC26}"/>
    <hyperlink ref="A317" r:id="rId16" display="https://www.nhl.com/player/Corey-Perry-8470621" xr:uid="{519F68A0-C490-4739-AA63-1D48EC84AABE}"/>
    <hyperlink ref="A338" r:id="rId17" display="https://www.nhl.com/player/Claude-Giroux-8473512" xr:uid="{33F4AB60-D4E0-4E8C-B076-1AB66898268D}"/>
    <hyperlink ref="A359" r:id="rId18" display="https://www.nhl.com/player/Joe-Pavelski-8470794" xr:uid="{6562A18B-6E9E-415A-981B-DB3BF67AEA84}"/>
    <hyperlink ref="A380" r:id="rId19" display="https://www.nhl.com/player/Jonathan-Toews-8473604" xr:uid="{205513EE-B0BA-41D2-875F-8B77566BFCE9}"/>
    <hyperlink ref="A401" r:id="rId20" display="https://www.nhl.com/player/Zach-Parise-8470610" xr:uid="{3D50A1B0-8A29-4C97-8D88-086F18526567}"/>
    <hyperlink ref="A422" r:id="rId21" display="https://www.nhl.com/player/Marian-Hossa-8466148" xr:uid="{C89C786B-A1A0-4F31-98A9-34492AE7D10E}"/>
    <hyperlink ref="A443" r:id="rId22" display="https://www.nhl.com/player/John-Tavares-8475166" xr:uid="{EE19023A-BDB7-4CD0-AEF2-6489BB506A22}"/>
    <hyperlink ref="A464" r:id="rId23" display="https://www.nhl.com/player/Jeff-Carter-8470604" xr:uid="{63023B48-AC3E-4DE9-8318-B0F80B1EFCC8}"/>
    <hyperlink ref="A485" r:id="rId24" display="https://www.nhl.com/player/Blake-Wheeler-8471218" xr:uid="{57CB6E73-7469-4065-8182-67D0A8D777CE}"/>
    <hyperlink ref="A506" r:id="rId25" display="https://www.nhl.com/player/Paul-Stastny-8471669" xr:uid="{531557DF-412E-40A6-805B-E2A7A4BE23B8}"/>
    <hyperlink ref="A527" r:id="rId26" display="https://www.nhl.com/player/Mikko-Koivu-8469459" xr:uid="{54D1E736-ECF8-4D45-BBF0-A771D74DDB95}"/>
    <hyperlink ref="A548" r:id="rId27" display="https://www.nhl.com/player/Brent-Burns-8470613" xr:uid="{68AB2570-1021-4D30-B767-C20E0786D8D3}"/>
    <hyperlink ref="A569" r:id="rId28" display="https://www.nhl.com/player/David-Krejci-8471276" xr:uid="{3854CD50-C7BF-4E0D-B28F-36111DBFE6D1}"/>
    <hyperlink ref="A590" r:id="rId29" display="https://www.nhl.com/player/Jamie-Benn-8473994" xr:uid="{E68ACB04-6D5B-40F0-9975-0822923D70A5}"/>
    <hyperlink ref="A611" r:id="rId30" display="https://www.nhl.com/player/Jakub-Voracek-8474161" xr:uid="{D44DCA58-C8CB-4D1D-AD46-29710E3DAD5E}"/>
    <hyperlink ref="A632" r:id="rId31" display="https://www.nhl.com/player/Ilya-Kovalchuk-8469454" xr:uid="{F7AFF32F-DD2C-4377-AB57-35B95ACA5F96}"/>
    <hyperlink ref="A653" r:id="rId32" display="https://www.nhl.com/player/Dustin-Brown-8470606" xr:uid="{F79A3704-ACE7-4B14-B478-2554997DBDAC}"/>
    <hyperlink ref="A674" r:id="rId33" display="https://www.nhl.com/player/Alexander-Steen-8470257" xr:uid="{DDDB7F64-C7E4-4EDD-B103-43E18EEF2ED1}"/>
    <hyperlink ref="A695" r:id="rId34" display="https://www.nhl.com/player/Marian-Gaborik-8468483" xr:uid="{2076DD8E-329D-4ABA-914C-CCCFA368D381}"/>
    <hyperlink ref="A716" r:id="rId35" display="https://www.nhl.com/player/Tyler-Seguin-8475794" xr:uid="{A880B6DD-E913-403D-A1B9-29B751B65AB0}"/>
    <hyperlink ref="A737" r:id="rId36" display="https://www.nhl.com/player/Brad-Marchand-8473419" xr:uid="{A61E9FDA-3FC3-45F9-B62E-1697DB03A3BA}"/>
    <hyperlink ref="A758" r:id="rId37" display="https://www.nhl.com/player/Duncan-Keith-8470281" xr:uid="{9247D9D0-F2E7-41BB-ADA9-4E54593566C9}"/>
    <hyperlink ref="A779" r:id="rId38" display="https://www.nhl.com/player/Erik-Karlsson-8474578" xr:uid="{93D82403-D7A9-4703-B6ED-62D530B0EA9B}"/>
    <hyperlink ref="A800" r:id="rId39" display="https://www.nhl.com/player/Loui-Eriksson-8470626" xr:uid="{E220E493-C9F6-4EF8-82C0-BFA5AB4132B8}"/>
    <hyperlink ref="A821" r:id="rId40" display="https://www.nhl.com/player/Ryan-Kesler-8470616" xr:uid="{70BABCA0-D333-477D-9D22-BDA6A8A1B1DC}"/>
    <hyperlink ref="A842" r:id="rId41" display="https://www.nhl.com/player/Matt-Duchene-8475168" xr:uid="{CA047E81-277C-4AB4-8218-405381B4D95F}"/>
    <hyperlink ref="A863" r:id="rId42" display="https://www.nhl.com/player/Shea-Weber-8470642" xr:uid="{ABD4C74C-D481-43BD-B8DB-D2F7D51B4255}"/>
    <hyperlink ref="A884" r:id="rId43" display="https://www.nhl.com/player/Ryan-Suter-8470600" xr:uid="{FE155445-BE94-4DC9-9552-561D6452C908}"/>
    <hyperlink ref="A905" r:id="rId44" display="https://www.nhl.com/player/David-Backes-8470655" xr:uid="{1685E4E2-116E-4C03-80CE-F390279B624F}"/>
    <hyperlink ref="A926" r:id="rId45" display="https://www.nhl.com/player/Bobby-Ryan-8471676" xr:uid="{3CB843EC-BA9B-44A2-A041-241A1DCCD638}"/>
    <hyperlink ref="A947" r:id="rId46" display="https://www.nhl.com/player/Keith-Yandle-8471735" xr:uid="{00E93CF7-6C30-4D9A-A019-083EA117678D}"/>
    <hyperlink ref="A968" r:id="rId47" display="https://www.nhl.com/player/T.J.-Oshie-8471698" xr:uid="{6B515EB3-27AD-4BB6-B128-9651DC305F21}"/>
    <hyperlink ref="A989" r:id="rId48" display="https://www.nhl.com/player/Andrew-Ladd-8471217" xr:uid="{4E5E3C0E-F13B-436F-BC11-CAC45559B27A}"/>
    <hyperlink ref="A1010" r:id="rId49" display="https://www.nhl.com/player/Logan-Couture-8474053" xr:uid="{EB17A50B-AB44-4E07-9819-0762C6AA8839}"/>
    <hyperlink ref="A1031" r:id="rId50" display="https://www.nhl.com/player/James-Neal-8471707" xr:uid="{D0F2A1BA-4FAE-4577-8108-610343916642}"/>
    <hyperlink ref="A1052" r:id="rId51" display="https://www.nhl.com/player/Taylor-Hall-8475791" xr:uid="{BDC3E159-FB07-4D63-A1CE-38D9917B878A}"/>
    <hyperlink ref="A1073" r:id="rId52" display="https://www.nhl.com/player/Ryan-O'Reilly-8475158" xr:uid="{A8F52D04-FAFE-4C5A-84D2-4896815EBA19}"/>
    <hyperlink ref="A1094" r:id="rId53" display="https://www.nhl.com/player/Dustin-Byfuglien-8470834" xr:uid="{C013F85C-809B-4498-AF18-9E43F58597B5}"/>
    <hyperlink ref="A1115" r:id="rId54" display="https://www.nhl.com/player/Zdeno-Chara-8465009" xr:uid="{E6E8C39F-2311-4896-81C9-441D32D80835}"/>
    <hyperlink ref="A1136" r:id="rId55" display="https://www.nhl.com/player/Bryan-Little-8473412" xr:uid="{F22D8438-3942-4110-88F1-C4176401F230}"/>
    <hyperlink ref="A1157" r:id="rId56" display="https://www.nhl.com/player/David-Perron-8474102" xr:uid="{B7DFCD3F-33FF-4CA8-82AD-52291673AB3B}"/>
    <hyperlink ref="A1178" r:id="rId57" display="https://www.nhl.com/player/Jordan-Staal-8473533" xr:uid="{77FBD302-1A37-48CA-A60C-B192DBD275CF}"/>
    <hyperlink ref="A1199" r:id="rId58" display="https://www.nhl.com/player/Travis-Zajac-8471233" xr:uid="{3F6058D2-970D-4A6A-9CE3-39426D87F537}"/>
    <hyperlink ref="A1220" r:id="rId59" display="https://www.nhl.com/player/Max-Pacioretty-8474157" xr:uid="{87E1811B-F6E5-40D8-8045-B0BE8C98E504}"/>
    <hyperlink ref="A1241" r:id="rId60" display="https://www.nhl.com/player/Kris-Letang-8471724" xr:uid="{E5DA5B75-7EC0-4B33-9F2C-24D2BF77CEAF}"/>
    <hyperlink ref="A1262" r:id="rId61" display="https://www.nhl.com/player/Valtteri-Filppula-8470047" xr:uid="{82FA0981-6754-4B06-998D-F42F125F4E93}"/>
    <hyperlink ref="A1283" r:id="rId62" display="https://www.nhl.com/player/Milan-Lucic-8473473" xr:uid="{ED2E8F9F-2AFA-4E99-8B3D-9153E689F181}"/>
    <hyperlink ref="A1304" r:id="rId63" display="https://www.nhl.com/player/Mike-Green-8471242" xr:uid="{A16CABDD-E59E-4F3F-9D8D-E5032A95F7E9}"/>
    <hyperlink ref="A1325" r:id="rId64" display="https://www.nhl.com/player/Nikita-Kucherov-8476453" xr:uid="{F2F9E9FF-F4D6-4945-8CA9-8284F7C89A58}"/>
    <hyperlink ref="A1346" r:id="rId65" display="https://www.nhl.com/player/Kyle-Okposo-8473449" xr:uid="{C78DC60B-2893-4389-90C8-3BF9933D159F}"/>
    <hyperlink ref="A1367" r:id="rId66" display="https://www.nhl.com/player/Jordan-Eberle-8474586" xr:uid="{9A8A2669-033E-4162-B267-B7D6F049CDB3}"/>
    <hyperlink ref="A1388" r:id="rId67" display="https://www.nhl.com/player/Wayne-Simmonds-8474190" xr:uid="{3903CBD0-B07B-4E27-82E7-62DED516AE43}"/>
    <hyperlink ref="A1409" r:id="rId68" display="https://www.nhl.com/player/Drew-Doughty-8474563" xr:uid="{1C37744A-800D-4D86-B645-AFE380E42538}"/>
    <hyperlink ref="A1430" r:id="rId69" display="https://www.nhl.com/player/Derick-Brassard-8473544" xr:uid="{9AE3CD66-4010-4924-BE61-33022934BDA7}"/>
    <hyperlink ref="A1451" r:id="rId70" display="https://www.nhl.com/player/Mark-Giordano-8470966" xr:uid="{D6155E7B-8709-40B5-AF26-AC1B76039EBD}"/>
    <hyperlink ref="A1472" r:id="rId71" display="https://www.nhl.com/player/Brent-Seabrook-8470607" xr:uid="{C833F3E2-7BFA-4149-9F62-E25FC058D047}"/>
    <hyperlink ref="A1493" r:id="rId72" display="https://www.nhl.com/player/Derek-Stepan-8474613" xr:uid="{874C6ABB-7319-408C-A258-D895D67DFE87}"/>
    <hyperlink ref="A1514" r:id="rId73" display="https://www.nhl.com/player/Jeff-Skinner-8475784" xr:uid="{FF2AF9BB-EF9A-4B5B-B0F1-BAB956AC4A16}"/>
    <hyperlink ref="A1535" r:id="rId74" display="https://www.nhl.com/player/Patric-Hornqvist-8471887" xr:uid="{18A3AABB-12E0-48F1-B04C-95299B5356F9}"/>
    <hyperlink ref="A1556" r:id="rId75" display="https://www.nhl.com/player/Frans-Nielsen-8470144" xr:uid="{BB0C995F-787A-4B90-B7CD-C9D8FC036BC1}"/>
    <hyperlink ref="A1577" r:id="rId76" display="https://www.nhl.com/player/James-van Riemsdyk-8474037" xr:uid="{1D2F2B8A-5062-41B0-9737-BC86321C7B97}"/>
    <hyperlink ref="A1598" r:id="rId77" display="https://www.nhl.com/player/Sam-Gagner-8474040" xr:uid="{414F8790-DFBD-4470-B825-D29BE2576EAF}"/>
    <hyperlink ref="A1619" r:id="rId78" display="https://www.nhl.com/player/Josh-Bailey-8474573" xr:uid="{4C9CF44F-9B0A-424F-97C8-D254D0563A54}"/>
    <hyperlink ref="A1640" r:id="rId79" display="https://www.nhl.com/player/Nick-Foligno-8473422" xr:uid="{FA53A371-E5F9-40E2-9CF6-C9707AFCAEE1}"/>
    <hyperlink ref="A1661" r:id="rId80" display="https://www.nhl.com/player/Nathan-MacKinnon-8477492" xr:uid="{3BC63C57-F5D3-4456-BBC7-C543CF516706}"/>
    <hyperlink ref="A1682" r:id="rId81" display="https://www.nhl.com/player/John-Carlson-8474590" xr:uid="{E7539A55-25EA-4CB2-8A3F-DE7700EF276C}"/>
    <hyperlink ref="A1703" r:id="rId82" display="https://www.nhl.com/player/Victor-Hedman-8475167" xr:uid="{8EE59F5F-A395-40BE-9C30-51091A3D3D63}"/>
    <hyperlink ref="A1724" r:id="rId83" display="https://www.nhl.com/player/Brandon-Dubinsky-8471273" xr:uid="{A0AE3D32-9517-4E5B-8C1B-B5FE420B0028}"/>
    <hyperlink ref="A1745" r:id="rId84" display="https://www.nhl.com/player/Evander-Kane-8475169" xr:uid="{32A59EC1-EEDD-425F-BB84-B4C27819D45C}"/>
    <hyperlink ref="A1766" r:id="rId85" display="https://www.nhl.com/player/Vladimir-Tarasenko-8475765" xr:uid="{A5B7012E-021B-4D29-8CEB-56592F8BE6DF}"/>
    <hyperlink ref="A1787" r:id="rId86" display="https://www.nhl.com/player/Gabriel-Landeskog-8476455" xr:uid="{138737CF-36C9-4A76-8F77-D88D2BE504B1}"/>
    <hyperlink ref="A1808" r:id="rId87" display="https://www.nhl.com/player/Connor-McDavid-8478402" xr:uid="{F2B811AF-38F3-4619-85C0-C86AB3B92A82}"/>
    <hyperlink ref="A1829" r:id="rId88" display="https://www.nhl.com/player/Ryan-Johansen-8475793" xr:uid="{8F74C677-2FC4-44E9-960E-3855CBA7C74E}"/>
    <hyperlink ref="A1850" r:id="rId89" display="https://www.nhl.com/player/Alex-Pietrangelo-8474565" xr:uid="{CD7C5E8D-201B-4AF9-8162-81A025D31982}"/>
    <hyperlink ref="A1871" r:id="rId90" display="https://www.nhl.com/player/Tyler-Bozak-8475098" xr:uid="{BBA972C1-A76E-455C-B715-2BE9BBA3338F}"/>
    <hyperlink ref="A1892" r:id="rId91" display="https://www.nhl.com/player/P.K.-Subban-8474056" xr:uid="{FA505223-8F81-4924-B98B-61E7E84961EE}"/>
    <hyperlink ref="A1913" r:id="rId92" display="https://www.nhl.com/player/Johnny-Gaudreau-8476346" xr:uid="{C0B71688-0966-4DA0-97C5-572F7CD0DCBD}"/>
    <hyperlink ref="A1934" r:id="rId93" display="https://www.nhl.com/player/Nathan-Horton-8470596" xr:uid="{A615E06B-0EBD-4CB5-B70A-599A62E3CF4C}"/>
    <hyperlink ref="A1955" r:id="rId94" display="https://www.nhl.com/player/Ryan-Nugent-Hopkins-8476454" xr:uid="{BBDBC9E3-C2F7-46B4-8231-BBA76B650465}"/>
    <hyperlink ref="A1976" r:id="rId95" display="https://www.nhl.com/player/Brayden-Schenn-8475170" xr:uid="{212D85DB-99BE-4993-AF7A-E57964709B18}"/>
    <hyperlink ref="A1997" r:id="rId96" display="https://www.nhl.com/player/Mark-Scheifele-8476460" xr:uid="{2EDF4C7C-8913-4DBF-A9AD-FD88BCF4D812}"/>
    <hyperlink ref="A2018" r:id="rId97" display="https://www.nhl.com/player/Kyle-Turris-8474068" xr:uid="{587F30F5-49EE-439C-B44E-583D4C3DD50A}"/>
    <hyperlink ref="A2039" r:id="rId98" display="https://www.nhl.com/player/Jonathan-Huberdeau-8476456" xr:uid="{B25AED09-8E9D-4122-AAA0-806F60236C83}"/>
    <hyperlink ref="A2060" r:id="rId99" display="https://www.nhl.com/player/Alex-Goligoski-8471274" xr:uid="{8A27176C-6469-4BAE-A67C-78B96370E140}"/>
    <hyperlink ref="A2081" r:id="rId100" display="https://www.nhl.com/player/Andrew-Cogliano-8471699" xr:uid="{2E9E8B1D-AED5-4CA5-A6A7-56458FAEE5B7}"/>
    <hyperlink ref="A2102" r:id="rId101" display="https://www.nhl.com/player/Ryan-Callahan-8471339" xr:uid="{C3BD8F3E-FCE6-4799-A40A-75998D4C3CA6}"/>
    <hyperlink ref="A2123" r:id="rId102" display="https://www.nhl.com/player/Jay-Bouwmeester-8470151" xr:uid="{76569339-F03D-42B3-9855-A8F689343871}"/>
    <hyperlink ref="A2144" r:id="rId103" display="https://www.nhl.com/player/Sean-Monahan-8477497" xr:uid="{76C6C2AD-2892-4EFE-A5A4-23E08F1533F4}"/>
    <hyperlink ref="A2165" r:id="rId104" display="https://www.nhl.com/player/Alexander-Edler-8471303" xr:uid="{7AE61A59-4533-4E70-A239-11BB5EA80C72}"/>
    <hyperlink ref="A2186" r:id="rId105" display="https://www.nhl.com/player/Nazem-Kadri-8475172" xr:uid="{4BDCD9E9-6E58-4287-9B36-3F5BE8051FC6}"/>
    <hyperlink ref="A2207" r:id="rId106" display="https://www.nhl.com/player/Aleksander-Barkov-8477493" xr:uid="{41EADC2F-8D49-4ACA-89A7-A82A60F818ED}"/>
    <hyperlink ref="A2228" r:id="rId107" display="https://www.nhl.com/player/Michael-Frolik-8473564" xr:uid="{B2460639-B3E4-4607-AE30-44DBDF900E90}"/>
    <hyperlink ref="A2249" r:id="rId108" display="https://www.nhl.com/player/Roman-Josi-8474600" xr:uid="{D1AD446D-6943-42C7-9028-4911CD887FEE}"/>
    <hyperlink ref="A2270" r:id="rId109" display="https://www.nhl.com/player/Johan-Franzen-8471309" xr:uid="{474E248D-D4E7-4234-98C7-6533BBC6DCD4}"/>
    <hyperlink ref="A2291" r:id="rId110" display="https://www.nhl.com/player/Kevin-Shattenkirk-8474031" xr:uid="{CB30960F-033F-4E13-9568-4807A1AF793B}"/>
    <hyperlink ref="A2312" r:id="rId111" display="https://www.nhl.com/player/Mats-Zuccarello-8475692" xr:uid="{438FB58C-5EE4-4D00-813C-477E8958CBE8}"/>
    <hyperlink ref="A2333" r:id="rId112" display="https://www.nhl.com/player/Evgeny-Kuznetsov-8475744" xr:uid="{D8FD40F3-34FF-4F94-AAEC-914147B3C6CD}"/>
    <hyperlink ref="A2354" r:id="rId113" display="https://www.nhl.com/player/Sean-Couturier-8476461" xr:uid="{DF82B220-8838-4A44-8087-01E67E70DCC9}"/>
    <hyperlink ref="A2375" r:id="rId114" display="https://www.nhl.com/player/Leon-Draisaitl-8477934" xr:uid="{866D5860-AFE3-4462-AA00-E4C3E0B0D0AB}"/>
    <hyperlink ref="A2396" r:id="rId115" display="https://www.nhl.com/player/Troy-Brouwer-8471426" xr:uid="{EA9523A5-829E-4CC5-9B99-8277201DF56E}"/>
    <hyperlink ref="A2417" r:id="rId116" display="https://www.nhl.com/player/Cam-Atkinson-8474715" xr:uid="{A9DB906A-DD58-46AB-85E1-F5AE3932BE75}"/>
    <hyperlink ref="A2438" r:id="rId117" display="https://www.nhl.com/player/Artemi-Panarin-8478550" xr:uid="{B7FEA7C3-C5D8-4AB5-8A57-313D6B7715A5}"/>
    <hyperlink ref="A2459" r:id="rId118" display="https://www.nhl.com/player/Artem-Anisimov-8473573" xr:uid="{C20D3573-DF1B-420D-91A2-C651102EB61F}"/>
    <hyperlink ref="A2480" r:id="rId119" display="https://www.nhl.com/player/Adam-Henrique-8474641" xr:uid="{5BC49252-3B15-4117-A08A-9688EE366CA1}"/>
    <hyperlink ref="A2501" r:id="rId120" display="https://www.nhl.com/player/Mark-Stone-8475913" xr:uid="{F5B023A9-C94F-4C25-A231-6BB5C6EAC1B2}"/>
    <hyperlink ref="A2522" r:id="rId121" display="https://www.nhl.com/player/Marcus-Johansson-8475149" xr:uid="{37F0C2B8-E68C-42FD-ABFC-2826D5F5E5E3}"/>
    <hyperlink ref="A2543" r:id="rId122" display="https://www.nhl.com/player/Oliver-Ekman-Larsson-8475171" xr:uid="{66ADB854-C3DA-4BD8-96D4-0FF43DFB9357}"/>
    <hyperlink ref="A2564" r:id="rId123" display="https://www.nhl.com/player/Martin-Hanzal-8471691" xr:uid="{F628C39E-7C2A-46FE-8752-13AF4C95A690}"/>
    <hyperlink ref="A2585" r:id="rId124" display="https://www.nhl.com/player/Matt-Niskanen-8471702" xr:uid="{DC3C4C4E-2141-49CC-9BF1-8F0CECFBB6B5}"/>
    <hyperlink ref="A2606" r:id="rId125" display="https://www.nhl.com/player/Mikael-Granlund-8475798" xr:uid="{54B788F8-E321-4F52-9877-60C685821BD9}"/>
    <hyperlink ref="A2627" r:id="rId126" display="https://www.nhl.com/player/Brandon-Saad-8476438" xr:uid="{F550280E-70E0-4D9E-90AB-12D9552238B1}"/>
    <hyperlink ref="A2648" r:id="rId127" display="https://www.nhl.com/player/Mikael-Backlund-8474150" xr:uid="{CC4E207D-A45F-4A38-B8ED-C805810D90C2}"/>
    <hyperlink ref="A2669" r:id="rId128" display="https://www.nhl.com/player/Jaden-Schwartz-8475768" xr:uid="{F614FB88-618E-417D-9C93-8A99BB2F0408}"/>
    <hyperlink ref="A2690" r:id="rId129" display="https://www.nhl.com/player/David-Pastrnak-8477956" xr:uid="{D0F6AE27-CD29-47AD-A499-6A9784954D5D}"/>
    <hyperlink ref="A2711" r:id="rId130" display="https://www.nhl.com/player/Mika-Zibanejad-8476459" xr:uid="{13398C0F-FEE1-4A03-A832-366F1D1EF5F8}"/>
    <hyperlink ref="A2732" r:id="rId131" display="https://www.nhl.com/player/Gustav-Nyquist-8474679" xr:uid="{BACFAC3B-E4E9-4D0B-8458-0F8F7D0747E2}"/>
    <hyperlink ref="A2753" r:id="rId132" display="https://www.nhl.com/player/Mikkel-Boedker-8474571" xr:uid="{E90AD19C-9500-4F63-B789-FE91BAC512AE}"/>
    <hyperlink ref="A2774" r:id="rId133" display="https://www.nhl.com/player/Dan-Hamhuis-8469465" xr:uid="{FEC37F05-C599-4027-86DF-6C75E2AC6149}"/>
    <hyperlink ref="A2795" r:id="rId134" display="https://www.nhl.com/player/Filip-Forsberg-8476887" xr:uid="{8426DEF7-AB39-44A1-8D21-96D5BCEBBEC0}"/>
    <hyperlink ref="A2816" r:id="rId135" display="https://www.nhl.com/player/Chris-Stewart-8473485" xr:uid="{B03C0842-5062-4743-A940-4DEBB8D976C1}"/>
    <hyperlink ref="A2837" r:id="rId136" display="https://www.nhl.com/player/Reilly-Smith-8475191" xr:uid="{7E1CBCB1-535C-4714-8C20-126C32322617}"/>
    <hyperlink ref="A2858" r:id="rId137" display="https://www.nhl.com/player/Tyler-Johnson-8474870" xr:uid="{348AF23F-4769-4697-B3E7-268675C67C4C}"/>
    <hyperlink ref="A2879" r:id="rId138" display="https://www.nhl.com/player/Tyson-Barrie-8475197" xr:uid="{62ECCB1D-54A2-46D0-B399-B53D0BE4767F}"/>
    <hyperlink ref="A2900" r:id="rId139" display="https://www.nhl.com/player/Marc-Edouard-Vlasic-8471709" xr:uid="{186154D9-73B2-43BC-A5CA-11EC887AB3C0}"/>
    <hyperlink ref="A2921" r:id="rId140" display="https://www.nhl.com/player/Mike-Hoffman-8474884" xr:uid="{8EA4D6EE-4AEE-4658-94F7-0C51AD9EEBC8}"/>
    <hyperlink ref="A2942" r:id="rId141" display="https://www.nhl.com/player/Mathieu-Perreault-8473618" xr:uid="{98DABAEA-949F-4E94-BC01-DFE82D8ACACC}"/>
    <hyperlink ref="A2963" r:id="rId142" display="https://www.nhl.com/player/Alexander-Radulov-8471228" xr:uid="{52037E9C-F5F7-44EE-B405-7129EFAB11E2}"/>
    <hyperlink ref="A2984" r:id="rId143" display="https://www.nhl.com/player/Brendan-Gallagher-8475848" xr:uid="{4D65BA3F-BEBC-4403-8D97-12B26F92A06A}"/>
    <hyperlink ref="A3005" r:id="rId144" display="https://www.nhl.com/player/Kyle-Palmieri-8475151" xr:uid="{3B2A5A6B-532A-440B-9389-8042095C7B78}"/>
    <hyperlink ref="A3026" r:id="rId145" display="https://www.nhl.com/player/Tomas-Tatar-8475193" xr:uid="{D37D3847-938A-4404-8DB9-C260A2DB3A30}"/>
    <hyperlink ref="A3047" r:id="rId146" display="https://www.nhl.com/player/Blake-Comeau-8471260" xr:uid="{705C0BFD-BC2B-470C-9B56-3144ACC5A9A3}"/>
    <hyperlink ref="A3068" r:id="rId147" display="https://www.nhl.com/player/Craig-Smith-8475225" xr:uid="{8B88DF88-E835-4CBD-BD74-FCCDA0E57F58}"/>
    <hyperlink ref="A3089" r:id="rId148" display="https://www.nhl.com/player/Alex-Galchenyuk-8476851" xr:uid="{918B82C6-160E-43FB-81CA-26CA9A82E825}"/>
    <hyperlink ref="A3110" r:id="rId149" display="https://www.nhl.com/player/Torey-Krug-8476792" xr:uid="{83A6E500-5700-4AA7-A6F1-E84E132B6B2C}"/>
    <hyperlink ref="A3131" r:id="rId150" display="https://www.nhl.com/player/Clarke-MacArthur-8470667" xr:uid="{D8E002D4-BC75-4D17-B4DF-886C02319D10}"/>
    <hyperlink ref="A3152" r:id="rId151" display="https://www.nhl.com/player/Ondrej-Palat-8476292" xr:uid="{01B497DF-A2A1-45D4-AFA8-1F937758B4D2}"/>
    <hyperlink ref="A3173" r:id="rId152" display="https://www.nhl.com/player/Ron-Hainsey-8468493" xr:uid="{71EEC786-7716-4858-9CF1-14584C72DAF9}"/>
    <hyperlink ref="A3194" r:id="rId153" display="https://www.nhl.com/player/Jack-Eichel-8478403" xr:uid="{DBE0C80B-85EF-4AC9-BC73-633D4E0663C5}"/>
    <hyperlink ref="A3215" r:id="rId154" display="https://www.nhl.com/player/Kyle-Brodziak-8470803" xr:uid="{888F7E83-E553-4ECD-A6CC-868638B920D4}"/>
    <hyperlink ref="A3236" r:id="rId155" display="https://www.nhl.com/player/Trevor-Daley-8470110" xr:uid="{FE7BB745-3A49-478D-8912-8EC0FFF08196}"/>
    <hyperlink ref="A3257" r:id="rId156" display="https://www.nhl.com/player/Ryan-McDonagh-8474151" xr:uid="{21D14FAC-62D3-490A-94AF-D680C401A97C}"/>
    <hyperlink ref="A3278" r:id="rId157" display="https://www.nhl.com/player/Jack-Johnson-8471677" xr:uid="{CE89EEB5-6D67-44BE-9F09-41AAFE47A092}"/>
    <hyperlink ref="A3299" r:id="rId158" display="https://www.nhl.com/player/Nick-Leddy-8475181" xr:uid="{80087B83-9154-422E-B9AC-2E7B21A6F34E}"/>
    <hyperlink ref="A3320" r:id="rId159" display="https://www.nhl.com/player/Erik-Johnson-8473446" xr:uid="{57B3B333-BA8D-4B23-B2F0-A77BF1912F1E}"/>
    <hyperlink ref="A3341" r:id="rId160" display="https://www.nhl.com/player/Tyler-Ennis-8474589" xr:uid="{86F17327-6E70-40D7-8BA4-952D0A1C2944}"/>
    <hyperlink ref="A3362" r:id="rId161" display="https://www.nhl.com/player/Elias-Lindholm-8477496" xr:uid="{9DD51148-6BC5-4423-B3BE-07826F957638}"/>
    <hyperlink ref="A3383" r:id="rId162" display="https://www.nhl.com/player/Dougie-Hamilton-8476462" xr:uid="{BA66DF40-690D-424A-A4C1-76B9982BB9F2}"/>
    <hyperlink ref="A3404" r:id="rId163" display="https://www.nhl.com/player/Cam-Fowler-8475764" xr:uid="{D1F97E77-1B2B-475B-A925-B0DE0FF2AF42}"/>
    <hyperlink ref="A3425" r:id="rId164" display="https://www.nhl.com/player/Colin-Wilson-8474569" xr:uid="{2EA56FE1-D57F-4031-A8B5-C54CB9FAAD1D}"/>
    <hyperlink ref="A3446" r:id="rId165" display="https://www.nhl.com/player/Chris-Kreider-8475184" xr:uid="{0610BBF7-F5BA-4E57-9E87-EA2466B91385}"/>
    <hyperlink ref="A3467" r:id="rId166" display="https://www.nhl.com/player/Alex-Killorn-8473986" xr:uid="{66A76A81-F201-46A1-9B74-A826D3B45B9C}"/>
    <hyperlink ref="A3488" r:id="rId167" display="https://www.nhl.com/player/Michael-Grabner-8473546" xr:uid="{2A3AA3D3-2BC4-4F69-B1F8-37513C4EB674}"/>
    <hyperlink ref="A3509" r:id="rId168" display="https://www.nhl.com/player/Anders-Lee-8475314" xr:uid="{532CAC7C-F6AA-484E-83E8-96D1CF60189A}"/>
    <hyperlink ref="A3530" r:id="rId169" display="https://www.nhl.com/player/Nino-Niederreiter-8475799" xr:uid="{74045677-75BB-47F4-9B76-B74C0A8C59AF}"/>
    <hyperlink ref="A3551" r:id="rId170" display="https://www.nhl.com/player/Jakob-Silfverberg-8475164" xr:uid="{310C831E-04DE-4D5E-9613-B5423D1FFB33}"/>
    <hyperlink ref="A3572" r:id="rId171" display="https://www.nhl.com/player/Lars-Eller-8474189" xr:uid="{D5DE1B34-BD64-4A90-AD9B-09DC11A04F1C}"/>
    <hyperlink ref="A3593" r:id="rId172" display="https://www.nhl.com/player/Tyler-Toffoli-8475726" xr:uid="{14E29A43-5AA0-4E57-B221-E594C935C445}"/>
    <hyperlink ref="A3614" r:id="rId173" display="https://www.nhl.com/player/Tyler-Myers-8474574" xr:uid="{DBFB4C28-53B0-481D-A3BE-ECE7AF2ACCA7}"/>
    <hyperlink ref="A3635" r:id="rId174" display="https://www.nhl.com/player/Brandon-Sutter-8474091" xr:uid="{FAF969DF-15F9-4F7D-A1DF-283C96263EF6}"/>
    <hyperlink ref="A3656" r:id="rId175" display="https://www.nhl.com/player/John-Klingberg-8475906" xr:uid="{9D5548B5-D9ED-4EF7-8627-48096681D2B9}"/>
    <hyperlink ref="A3677" r:id="rId176" display="https://www.nhl.com/player/Tomas-Hertl-8476881" xr:uid="{031BDA5B-CA88-40CD-92C8-F9FD5B76B4A3}"/>
    <hyperlink ref="A3698" r:id="rId177" display="https://www.nhl.com/player/J.T.-Miller-8476468" xr:uid="{01973DE2-3CAC-4590-8017-A5B202327DFF}"/>
    <hyperlink ref="A3719" r:id="rId178" display="https://www.nhl.com/player/Justin-Faulk-8475753" xr:uid="{E3AB3DE4-1526-4886-9CA5-0273B6A6CD80}"/>
    <hyperlink ref="A3740" r:id="rId179" display="https://www.nhl.com/player/Charlie-Coyle-8475745" xr:uid="{66650771-5F0A-45C6-AF16-0EAAAEF13EC2}"/>
    <hyperlink ref="A3761" r:id="rId180" display="https://www.nhl.com/player/Jared-Spurgeon-8474716" xr:uid="{DEEE7B8C-9FEA-4116-873D-0C0C8B0A0D05}"/>
    <hyperlink ref="A3782" r:id="rId181" display="https://www.nhl.com/player/Nick-Bonino-8474009" xr:uid="{63AD7A02-7BBF-411F-A580-C1FC2058D62D}"/>
    <hyperlink ref="A3803" r:id="rId182" display="https://www.nhl.com/player/Morgan-Rielly-8476853" xr:uid="{5B1D0E03-3ABF-4FA7-82D4-A957068D0357}"/>
    <hyperlink ref="A3824" r:id="rId183" display="https://www.nhl.com/player/Brock-Nelson-8475754" xr:uid="{EB2BCBCA-598A-455E-8E3C-90A1ED396097}"/>
    <hyperlink ref="A3845" r:id="rId184" display="https://www.nhl.com/player/Rickard-Rakell-8476483" xr:uid="{226DE2B2-2C8E-4409-A6C3-FEA0AE4813E0}"/>
    <hyperlink ref="A3866" r:id="rId185" display="https://www.nhl.com/player/Vincent-Trocheck-8476389" xr:uid="{C5F311FA-9139-4D49-8B36-3C6C9D1635A6}"/>
    <hyperlink ref="A3887" r:id="rId186" display="https://www.nhl.com/player/Carl-Soderberg-8471262" xr:uid="{44D15201-E069-47F3-BFBC-EDFBD3EA11A9}"/>
    <hyperlink ref="A3908" r:id="rId187" display="https://www.nhl.com/player/TJ-Brodie-8474673" xr:uid="{C76A2056-22F6-46CC-AA65-9434DACEDDA3}"/>
    <hyperlink ref="A3929" r:id="rId188" display="https://www.nhl.com/player/Justin-Abdelkader-8471716" xr:uid="{D89ECD0B-D2F4-45F1-BDF7-F28AA29BA3FA}"/>
    <hyperlink ref="A3950" r:id="rId189" display="https://www.nhl.com/player/Teuvo-Teravainen-8476882" xr:uid="{21DE65C5-DF52-4DA6-AE64-71ACD6D4E198}"/>
    <hyperlink ref="A3971" r:id="rId190" display="https://www.nhl.com/player/Anton-Stralman-8471873" xr:uid="{9C9145E2-5859-49B9-B1BB-D28CE65BB50C}"/>
    <hyperlink ref="A3992" r:id="rId191" display="https://www.nhl.com/player/Jake-Gardiner-8474581" xr:uid="{21D32EE8-38F4-4CFF-B9ED-95404115741E}"/>
    <hyperlink ref="A4013" r:id="rId192" display="https://www.nhl.com/player/Bo-Horvat-8477500" xr:uid="{E368CABB-AAD7-4633-8199-309D2285431C}"/>
    <hyperlink ref="A4034" r:id="rId193" display="https://www.nhl.com/player/Carl-Hagelin-8474176" xr:uid="{9D703532-3E46-4BBB-929B-811477F5E03A}"/>
    <hyperlink ref="A4055" r:id="rId194" display="https://www.nhl.com/player/Andrew-Shaw-8476381" xr:uid="{119A8BC5-390D-4E32-A2C0-1F96B867E3D8}"/>
    <hyperlink ref="A4076" r:id="rId195" display="https://www.nhl.com/player/Kevin-Hayes-8475763" xr:uid="{AA971AD0-7DDA-49D2-8BAC-9ADB6D9DC0E4}"/>
    <hyperlink ref="A4097" r:id="rId196" display="https://www.nhl.com/player/Seth-Jones-8477495" xr:uid="{57E5F87F-22D1-4ED8-A382-717C6616C0E1}"/>
    <hyperlink ref="A4118" r:id="rId197" display="https://www.nhl.com/player/Patrick-Eaves-8470622" xr:uid="{926791EB-0058-4353-9136-DC6D2D24BAD9}"/>
    <hyperlink ref="A4139" r:id="rId198" display="https://www.nhl.com/player/Mitchell-Marner-8478483" xr:uid="{16B8873A-CC4A-4D8A-AC2A-451BBAAA87F8}"/>
    <hyperlink ref="A4160" r:id="rId199" display="https://www.nhl.com/player/Jake-Muzzin-8474162" xr:uid="{85686EA4-D6A1-4233-9B5C-4BC126632971}"/>
    <hyperlink ref="A4181" r:id="rId200" display="https://www.nhl.com/player/Andy-Greene-8472382" xr:uid="{BB5B4F8E-2F0F-4149-912A-30C034C1E857}"/>
    <hyperlink ref="A4202" r:id="rId201" display="https://www.nhl.com/player/Andrej-Sekera-8471284" xr:uid="{96626BE2-C7F6-423F-9E33-109395D10992}"/>
    <hyperlink ref="A4223" r:id="rId202" display="https://www.nhl.com/player/Auston-Matthews-8479318" xr:uid="{9A29DFCD-C3FE-47EE-B935-891EDE1E215B}"/>
    <hyperlink ref="A4244" r:id="rId203" display="https://www.nhl.com/player/Cal-Clutterbuck-8473504" xr:uid="{212DEC9C-3CD4-4948-A06D-C59AD816B9B4}"/>
    <hyperlink ref="A4265" r:id="rId204" display="https://www.nhl.com/player/Ryan-Ellis-8475176" xr:uid="{BE2ABB60-3DAA-49F3-B16B-5282684098D1}"/>
    <hyperlink ref="A4286" r:id="rId205" display="https://www.nhl.com/player/Jason-Zucker-8475722" xr:uid="{B7E72B27-1844-4151-BC21-77CB2B5B9E42}"/>
    <hyperlink ref="A4307" r:id="rId206" display="https://www.nhl.com/player/Darren-Helm-8471794" xr:uid="{5BD2DB81-094E-40E0-BAD3-47C69C7EBC1F}"/>
    <hyperlink ref="A4328" r:id="rId207" display="https://www.nhl.com/player/Brad-Richardson-8470755" xr:uid="{0F1710D2-70A8-479C-88B5-9D30BB39C397}"/>
    <hyperlink ref="A4349" r:id="rId208" display="https://www.nhl.com/player/Dylan-Larkin-8477946" xr:uid="{B60444E1-2730-476A-90D3-EBEC4ECF1BD9}"/>
    <hyperlink ref="A4370" r:id="rId209" display="https://www.nhl.com/player/Kris-Russell-8471729" xr:uid="{2B7BDFFF-80B1-4E5B-9AA7-F66D3F351A3F}"/>
    <hyperlink ref="A4391" r:id="rId210" display="https://www.nhl.com/player/Cody-Eakin-8475236" xr:uid="{26F2D761-24A9-42EF-AE86-ED02D46F1DCB}"/>
    <hyperlink ref="A4412" r:id="rId211" display="https://www.nhl.com/player/Braydon-Coburn-8470601" xr:uid="{08BBD429-64F6-4539-95BD-598EBD953A88}"/>
    <hyperlink ref="A4433" r:id="rId212" display="https://www.nhl.com/player/Jeff-Petry-8473507" xr:uid="{9F89C4B6-6BF6-40BD-9126-F5CB97FE358D}"/>
    <hyperlink ref="A4454" r:id="rId213" display="https://www.nhl.com/player/Mikko-Rantanen-8478420" xr:uid="{2A624553-F1D4-4240-847F-C371BB51AC94}"/>
    <hyperlink ref="A4475" r:id="rId214" display="https://www.nhl.com/player/Michael-Del Zotto-8474584" xr:uid="{7CF0EA3D-F95F-4935-BED6-30000D88C900}"/>
    <hyperlink ref="A4496" r:id="rId215" display="https://www.nhl.com/player/Jonathan-Marchessault-8476539" xr:uid="{692E4BA9-57AC-4EB1-AEA5-C6064E8171B8}"/>
    <hyperlink ref="A4517" r:id="rId216" display="https://www.nhl.com/player/Sam-Reinhart-8477933" xr:uid="{6476F8D5-B729-4A8C-91FE-023BBB6C535D}"/>
    <hyperlink ref="A4538" r:id="rId217" display="https://www.nhl.com/player/Brian-Boyle-8470619" xr:uid="{BA4C7318-688E-42F4-8D73-97FB55B2C52D}"/>
    <hyperlink ref="A4559" r:id="rId218" display="https://www.nhl.com/player/Max-Domi-8477503" xr:uid="{1777E221-A9D4-4B60-8B19-35481BA18AD7}"/>
    <hyperlink ref="A4580" r:id="rId219" display="https://www.nhl.com/player/Nikolaj-Ehlers-8477940" xr:uid="{08DBE5F5-61D1-40B4-B0C7-630653E73B6A}"/>
    <hyperlink ref="A4601" r:id="rId220" display="https://www.nhl.com/player/Sebastian-Aho-8478427" xr:uid="{D9811E0D-AFA2-4E96-BF52-1652AE12C6B6}"/>
    <hyperlink ref="A4622" r:id="rId221" display="https://www.nhl.com/player/Brayden-Point-8478010" xr:uid="{A649D536-6BB0-4585-B8FB-315AE73DC198}"/>
    <hyperlink ref="A4643" r:id="rId222" display="https://www.nhl.com/player/Ryan-Strome-8476458" xr:uid="{48679158-A8B4-4A69-B505-8C1ADC03B74A}"/>
    <hyperlink ref="A4664" r:id="rId223" display="https://www.nhl.com/player/Pat-Maroon-8474034" xr:uid="{9CEB74FB-4656-4078-804C-35A86C58CF3F}"/>
    <hyperlink ref="A4685" r:id="rId224" display="https://www.nhl.com/player/Patrik-Laine-8479339" xr:uid="{B60EB3F8-7B40-46C2-8887-73D4DCCD6C9B}"/>
    <hyperlink ref="A4706" r:id="rId225" display="https://www.nhl.com/player/Mark-Letestu-8473914" xr:uid="{3DD8C042-9AB9-4430-8658-37C5B8B3DE0F}"/>
    <hyperlink ref="A4727" r:id="rId226" display="https://www.nhl.com/player/Justin-Schultz-8474602" xr:uid="{C884ACD9-3FD5-4253-B731-96D2EC496B61}"/>
    <hyperlink ref="A4748" r:id="rId227" display="https://www.nhl.com/player/William-Karlsson-8476448" xr:uid="{6E7449B1-A95A-425F-9D90-AD912D98B3A8}"/>
    <hyperlink ref="A4769" r:id="rId228" display="https://www.nhl.com/player/Jonathan-Drouin-8477494" xr:uid="{CE3B5354-42C9-4681-B94F-D81869B2932D}"/>
    <hyperlink ref="A4790" r:id="rId229" display="https://www.nhl.com/player/Boone-Jenner-8476432" xr:uid="{346A734E-706C-45B1-B16B-B29D552B2910}"/>
    <hyperlink ref="A4811" r:id="rId230" display="https://www.nhl.com/player/Nick-Bjugstad-8475760" xr:uid="{0B49F170-C7EE-40C2-894F-8B283109FFA4}"/>
    <hyperlink ref="A4832" r:id="rId231" display="https://www.nhl.com/player/Rasmus-Ristolainen-8477499" xr:uid="{84C5F088-A640-4C20-A705-01FDDE07F8F1}"/>
    <hyperlink ref="A4853" r:id="rId232" display="https://www.nhl.com/player/Jason-Demers-8474218" xr:uid="{A1A9BEE6-CD70-441D-887C-2BD91DB59013}"/>
    <hyperlink ref="A4874" r:id="rId233" display="https://www.nhl.com/player/Johnny-Boychuk-8470187" xr:uid="{03CA9BC7-E7D6-497B-90AB-F6E81A1B4185}"/>
    <hyperlink ref="A4895" r:id="rId234" display="https://www.nhl.com/player/Viktor-Arvidsson-8478042" xr:uid="{80B40D72-9F07-4B39-9462-D19C4972A331}"/>
    <hyperlink ref="A4916" r:id="rId235" display="https://www.nhl.com/player/David-Clarkson-8470920" xr:uid="{C14105CA-9B97-4EDE-831B-CAF8302CC071}"/>
    <hyperlink ref="A4937" r:id="rId236" display="https://www.nhl.com/player/Zack-Smith-8474250" xr:uid="{34EE6C4A-ED28-4945-AF65-23EF8EBA08C7}"/>
    <hyperlink ref="A4958" r:id="rId237" display="https://www.nhl.com/player/Matthew-Tkachuk-8479314" xr:uid="{455724AD-4535-4548-A448-03C4A50324A7}"/>
    <hyperlink ref="A4979" r:id="rId238" display="https://www.nhl.com/player/Shayne-Gostisbehere-8476906" xr:uid="{DFC52FDB-CEDE-4B34-9CC3-75238EC72FA5}"/>
    <hyperlink ref="A5000" r:id="rId239" display="https://www.nhl.com/player/Alec-Martinez-8474166" xr:uid="{54F2F58D-D92F-421F-8714-FCF1FE6567EC}"/>
    <hyperlink ref="A5021" r:id="rId240" display="https://www.nhl.com/player/Jacob-Trouba-8476885" xr:uid="{D13ABA6E-5748-4CEB-B88C-59BE4CAAC964}"/>
    <hyperlink ref="A5042" r:id="rId241" display="https://www.nhl.com/player/Zach-Bogosian-8474567" xr:uid="{F2232AB0-9F25-4C84-BB23-843F1C65B613}"/>
    <hyperlink ref="A5063" r:id="rId242" display="https://www.nhl.com/player/Tanner-Pearson-8476871" xr:uid="{84F32952-100C-4857-80DA-50640B2CF887}"/>
    <hyperlink ref="A5084" r:id="rId243" display="https://www.nhl.com/player/Matt-Calvert-8474685" xr:uid="{726944B3-831E-4DC7-8AFF-313771730A86}"/>
    <hyperlink ref="A5105" r:id="rId244" display="https://www.nhl.com/player/Alexander-Wennberg-8477505" xr:uid="{A63AB5A2-0B83-426F-A533-CE6CC1C7B2FC}"/>
    <hyperlink ref="A5126" r:id="rId245" display="https://www.nhl.com/player/Aaron-Ekblad-8477932" xr:uid="{BD3DDBF9-F1A7-41BA-B065-F2B77B767523}"/>
    <hyperlink ref="A5147" r:id="rId246" display="https://www.nhl.com/player/Jake-Guentzel-8477404" xr:uid="{0133EA2F-EEF2-427C-8DD9-8DD955EB4E53}"/>
    <hyperlink ref="A5168" r:id="rId247" display="https://www.nhl.com/player/William-Nylander-8477939" xr:uid="{EEB35432-A612-4993-986D-31A588B8BB4A}"/>
    <hyperlink ref="A5189" r:id="rId248" display="https://www.nhl.com/player/Hampus-Lindholm-8476854" xr:uid="{194993FB-1E5F-4825-8498-9AF63AB01AB3}"/>
    <hyperlink ref="A5210" r:id="rId249" display="https://www.nhl.com/player/Sami-Vatanen-8475222" xr:uid="{1F060560-3E70-4D06-97EF-4A61A232B448}"/>
    <hyperlink ref="A5231" r:id="rId250" display="https://www.nhl.com/player/Travis-Hamonic-8474612" xr:uid="{CB845066-E48E-4EAA-B8C3-AF3D3F995C17}"/>
    <hyperlink ref="A5252" r:id="rId251" display="https://www.nhl.com/player/Paul-Byron-8474038" xr:uid="{B8A8815C-FFAE-44DA-A94B-0F2018B68A5C}"/>
    <hyperlink ref="A5273" r:id="rId252" display="https://www.nhl.com/player/Marc-Staal-8471686" xr:uid="{37479868-F3C9-4151-AEF8-5B03FEF30866}"/>
    <hyperlink ref="A5294" r:id="rId253" display="https://www.nhl.com/player/Evgenii-Dadonov-8474149" xr:uid="{3901F7A9-B9E8-46E3-9882-B150EE6E9AC3}"/>
    <hyperlink ref="A5315" r:id="rId254" display="https://www.nhl.com/player/Mattias-Ekholm-8475218" xr:uid="{669A7684-09FE-4673-8F16-6C3231A29DAE}"/>
    <hyperlink ref="A5336" r:id="rId255" display="https://www.nhl.com/player/Brett-Connolly-8475792" xr:uid="{4309316D-3E59-4D99-B8A9-08F1AE7CA665}"/>
    <hyperlink ref="A5357" r:id="rId256" display="https://www.nhl.com/player/Antoine-Roussel-8474849" xr:uid="{13ECE721-50BC-4C8B-AAC2-AC0E5CD0BE59}"/>
    <hyperlink ref="A5378" r:id="rId257" display="https://www.nhl.com/player/Vladislav-Namestnikov-8476480" xr:uid="{31F349A3-446F-4C0E-9EFF-C8EB824BACB2}"/>
    <hyperlink ref="A5399" r:id="rId258" display="https://www.nhl.com/player/Victor-Rask-8476437" xr:uid="{FA189D2F-2560-462E-BB22-1D6FE75377D2}"/>
    <hyperlink ref="A5420" r:id="rId259" display="https://www.nhl.com/player/Vladimir-Sobotka-8471743" xr:uid="{EAE22D75-622F-4796-8D78-1F5D443547B4}"/>
    <hyperlink ref="A5441" r:id="rId260" display="https://www.nhl.com/player/Mathew-Barzal-8478445" xr:uid="{31707E74-46E0-4227-A768-F343E9153CB9}"/>
    <hyperlink ref="A5462" r:id="rId261" display="https://www.nhl.com/player/Alex-Chiasson-8475163" xr:uid="{00D5C43D-024F-448D-B99B-893A6FDD77E5}"/>
    <hyperlink ref="A5483" r:id="rId262" display="https://www.nhl.com/player/Calle-Jarnkrok-8475714" xr:uid="{2E06C34D-23F9-4C1B-A1C7-29AE798EAD0D}"/>
    <hyperlink ref="A5504" r:id="rId263" display="https://www.nhl.com/player/Andre-Burakovsky-8477444" xr:uid="{E01639B4-8EF7-465F-86AE-53A0C2CC897D}"/>
    <hyperlink ref="A5525" r:id="rId264" display="https://www.nhl.com/player/Chris-Tierney-8476919" xr:uid="{5D3AD3B3-E64D-486C-ADC7-6F7F117A4AFF}"/>
    <hyperlink ref="A5546" r:id="rId265" display="https://www.nhl.com/player/Tom-Wilson-8476880" xr:uid="{5D0E8AAB-4557-4F68-B82B-5075801C8CF1}"/>
    <hyperlink ref="A5567" r:id="rId266" display="https://www.nhl.com/player/Casey-Cizikas-8475231" xr:uid="{89F11B20-B467-453F-8941-EDFD686AD6DC}"/>
    <hyperlink ref="A5588" r:id="rId267" display="https://www.nhl.com/player/Marcus-Foligno-8475220" xr:uid="{381D36A8-CBDC-4BD3-902F-A822ACA43531}"/>
    <hyperlink ref="A5609" r:id="rId268" display="https://www.nhl.com/player/Dmitry-Orlov-8475200" xr:uid="{DE1E5B6B-FCB3-4EEE-9AD2-D0A58FAEFFAB}"/>
    <hyperlink ref="A5630" r:id="rId269" display="https://www.nhl.com/player/Dmitry-Kulikov-8475179" xr:uid="{2050A0D1-59B2-48E0-960F-BB95609ACBCD}"/>
    <hyperlink ref="A5651" r:id="rId270" display="https://www.nhl.com/player/Jean-Gabriel-Pageau-8476419" xr:uid="{FA46C495-4FC7-475A-A260-5ADDB3094169}"/>
    <hyperlink ref="A5672" r:id="rId271" display="https://www.nhl.com/player/Niklas-Hjalmarsson-8471769" xr:uid="{909E2306-A433-4875-A47E-89EB1BB69092}"/>
    <hyperlink ref="A5693" r:id="rId272" display="https://www.nhl.com/player/Erik-Haula-8475287" xr:uid="{CA382394-A9C9-4B86-B503-88676A4B6286}"/>
    <hyperlink ref="A5714" r:id="rId273" display="https://www.nhl.com/player/Zack-Kassian-8475178" xr:uid="{2875771F-8F7B-4D1B-8B51-9A1C44AD6B35}"/>
    <hyperlink ref="A5735" r:id="rId274" display="https://www.nhl.com/player/Richard-Panik-8475209" xr:uid="{50C2CECB-D3E2-4CC7-8F04-74E5F72898E3}"/>
    <hyperlink ref="A5756" r:id="rId275" display="https://www.nhl.com/player/Matt-Dumba-8476856" xr:uid="{C0CDB984-93BC-422B-8030-9A9C8AAEA3C8}"/>
    <hyperlink ref="A5777" r:id="rId276" display="https://www.nhl.com/player/Justin-Braun-8474027" xr:uid="{E27525BE-BCE9-4136-90DD-17CEC63FC205}"/>
    <hyperlink ref="A5798" r:id="rId277" display="https://www.nhl.com/player/Anthony-Mantha-8477511" xr:uid="{F3555256-24B0-442F-B523-79A2C1437AA9}"/>
    <hyperlink ref="A5819" r:id="rId278" display="https://www.nhl.com/player/Matt-Beleskey-8473492" xr:uid="{B7535995-7519-48CF-9552-C3F4BB083D7F}"/>
    <hyperlink ref="A5840" r:id="rId279" display="https://www.nhl.com/player/Riley-Nash-8474062" xr:uid="{505335BA-179A-466F-A148-A68C9A085754}"/>
    <hyperlink ref="A5861" r:id="rId280" display="https://www.nhl.com/player/Trevor-Lewis-8473453" xr:uid="{81673F5A-892E-497B-B36C-332860AFB2A9}"/>
    <hyperlink ref="A5882" r:id="rId281" display="https://www.nhl.com/player/Ryan-Dzingel-8476288" xr:uid="{E67C07BF-FB7C-438F-BE69-3647191BEAD7}"/>
    <hyperlink ref="A5903" r:id="rId282" display="https://www.nhl.com/player/David-Savard-8475233" xr:uid="{526D14A9-00D0-4910-9E27-0057F9437DA9}"/>
    <hyperlink ref="A5924" r:id="rId283" display="https://www.nhl.com/player/Kyle-Connor-8478398" xr:uid="{58BBEAE9-94BC-43D9-BFDB-E6EAB43F298B}"/>
    <hyperlink ref="A5945" r:id="rId284" display="https://www.nhl.com/player/Leo-Komarov-8473463" xr:uid="{09602E7E-23B8-4ABD-958D-F8935459AB85}"/>
    <hyperlink ref="A5966" r:id="rId285" display="https://www.nhl.com/player/Travis-Konecny-8478439" xr:uid="{A90F1F3D-4E8E-48AF-907D-9FCE6F6582EA}"/>
    <hyperlink ref="A5987" r:id="rId286" display="https://www.nhl.com/player/Riley-Sheahan-8475772" xr:uid="{FB11BBFF-E8E9-46B2-8AB5-61CC5A9492F3}"/>
    <hyperlink ref="A6008" r:id="rId287" display="https://www.nhl.com/player/Nate-Thompson-8470775" xr:uid="{E420E9C8-E59B-4128-A37A-A3C7A88D8F73}"/>
    <hyperlink ref="A6029" r:id="rId288" display="https://www.nhl.com/player/Phillip-Danault-8476479" xr:uid="{4AC7E5BF-5F05-4A09-8A24-6814D6496867}"/>
    <hyperlink ref="A6050" r:id="rId289" display="https://www.nhl.com/player/Alex-DeBrincat-8479337" xr:uid="{89BE1498-1042-40D1-87B8-EA8A5B29B3F0}"/>
    <hyperlink ref="A6071" r:id="rId290" display="https://www.nhl.com/player/Luke-Schenn-8474568" xr:uid="{EF2B5D13-73FB-45B0-93CC-EEDFAF52A487}"/>
    <hyperlink ref="A6092" r:id="rId291" display="https://www.nhl.com/player/Andreas-Athanasiou-8476960" xr:uid="{341F6518-64E7-4358-91C2-0B8B92FA3C6F}"/>
    <hyperlink ref="A6113" r:id="rId292" display="https://www.nhl.com/player/Joonas-Donskoi-8475820" xr:uid="{606530DD-E90D-4F03-9271-43777C8C96E1}"/>
    <hyperlink ref="A6134" r:id="rId293" display="https://www.nhl.com/player/Zach-Werenski-8478460" xr:uid="{4A1D7062-B903-480F-A66B-C88AD9108931}"/>
    <hyperlink ref="A6155" r:id="rId294" display="https://www.nhl.com/player/Colton-Parayko-8476892" xr:uid="{25DAF375-B91D-484E-ACCE-3B673A558197}"/>
    <hyperlink ref="A6176" r:id="rId295" display="https://www.nhl.com/player/Brock-Boeser-8478444" xr:uid="{45D1B5A8-71C6-4B38-84E2-9955D6FE0EA7}"/>
    <hyperlink ref="A6197" r:id="rId296" display="https://www.nhl.com/player/Matt-Nieto-8476442" xr:uid="{2FCBF0F2-29D4-4975-B3EC-B99084EFD044}"/>
    <hyperlink ref="A6218" r:id="rId297" display="https://www.nhl.com/player/Michael-Raffl-8477290" xr:uid="{90F86F41-0454-4528-8AD3-15E143898994}"/>
    <hyperlink ref="A6239" r:id="rId298" display="https://www.nhl.com/player/Oscar-Klefbom-8476472" xr:uid="{A947F347-FD33-491F-AEE0-F07C37951FB6}"/>
    <hyperlink ref="A6260" r:id="rId299" display="https://www.nhl.com/player/Anthony-Duclair-8477407" xr:uid="{886C242F-A863-4E5D-B30D-D471EA010F5A}"/>
    <hyperlink ref="A6281" r:id="rId300" display="https://www.nhl.com/player/Damon-Severson-8476923" xr:uid="{AE74E0D4-64B2-4344-8CDB-C1DE07B55FB0}"/>
    <hyperlink ref="A6302" r:id="rId301" display="https://www.nhl.com/player/Sven-Baertschi-8476466" xr:uid="{50958850-A780-43E2-BBBF-058651CB7565}"/>
    <hyperlink ref="A6323" r:id="rId302" display="https://www.nhl.com/player/Nathan-Gerbe-8471804" xr:uid="{12DC11C1-6288-488E-B084-03D6D0F786CE}"/>
    <hyperlink ref="A6344" r:id="rId303" display="https://www.nhl.com/player/Roman-Polak-8471392" xr:uid="{A7AF5025-CEF0-4382-9667-AC31F5E598E4}"/>
    <hyperlink ref="A6365" r:id="rId304" display="https://www.nhl.com/player/Conor-Sheary-8477839" xr:uid="{40BEDB47-FBF3-4ED3-B484-3169917121E6}"/>
    <hyperlink ref="A6386" r:id="rId305" display="https://www.nhl.com/player/Yanni-Gourde-8476826" xr:uid="{D4F08B90-4283-47B9-91B6-211F9177AA7B}"/>
    <hyperlink ref="A6407" r:id="rId306" display="https://www.nhl.com/player/Micheal-Ferland-8475907" xr:uid="{98188009-9948-4D04-9BBA-982E419129BA}"/>
    <hyperlink ref="A6428" r:id="rId307" display="https://www.nhl.com/player/Carl-Gunnarsson-8474125" xr:uid="{339F1FD2-A7F6-4A21-B445-39E471165297}"/>
    <hyperlink ref="A6449" r:id="rId308" display="https://www.nhl.com/player/Jay-Beagle-8474291" xr:uid="{28BC8577-D406-411F-A950-2B184ABAA0EB}"/>
    <hyperlink ref="A6470" r:id="rId309" display="https://www.nhl.com/player/Colton-Sceviour-8474098" xr:uid="{0EA12013-9744-430D-8FEA-A32FC5470D2E}"/>
    <hyperlink ref="A6491" r:id="rId310" display="https://www.nhl.com/player/Nick-Holden-8474207" xr:uid="{B739A33A-3D01-4578-B3CE-A1EE5FDF57E5}"/>
    <hyperlink ref="A6512" r:id="rId311" display="https://www.nhl.com/player/Bryan-Rust-8475810" xr:uid="{5AB94FA9-8374-403E-9B92-9EF4212E2805}"/>
    <hyperlink ref="A6533" r:id="rId312" display="https://www.nhl.com/player/Kevin-Labanc-8478099" xr:uid="{D7A5D30B-30D3-4B3B-94FE-04B15E9CB5AC}"/>
    <hyperlink ref="A6554" r:id="rId313" display="https://www.nhl.com/player/Clayton-Keller-8479343" xr:uid="{CF838D96-A285-4336-B692-B22026EEFAA5}"/>
    <hyperlink ref="A6575" r:id="rId314" display="https://www.nhl.com/player/Jaccob-Slavin-8476958" xr:uid="{D976BD25-DDF8-42E0-8E6F-8E884AD91F0A}"/>
    <hyperlink ref="A6596" r:id="rId315" display="https://www.nhl.com/player/Marco-Scandella-8474618" xr:uid="{F5A35F83-0084-4787-8246-DA3D87C7A437}"/>
    <hyperlink ref="A6617" r:id="rId316" display="https://www.nhl.com/player/Karl-Alzner-8473991" xr:uid="{50270FF2-4182-4B71-B1C2-FA522128883A}"/>
    <hyperlink ref="A6638" r:id="rId317" display="https://www.nhl.com/player/Tobias-Rieder-8476356" xr:uid="{4A30D1EB-63A1-415D-8408-2EB30AB7056F}"/>
    <hyperlink ref="A6659" r:id="rId318" display="https://www.nhl.com/player/Pierre-Luc-Dubois-8479400" xr:uid="{BCCA63CE-1BE1-4F24-88B1-3D1029469502}"/>
    <hyperlink ref="A6680" r:id="rId319" display="https://www.nhl.com/player/Jesper-Fast-8475855" xr:uid="{2B70C339-121F-46AA-8517-8EAF07E52BF2}"/>
    <hyperlink ref="A6701" r:id="rId320" display="https://www.nhl.com/player/Jonas-Brodin-8476463" xr:uid="{57D11F1B-83C4-4095-B3D7-57B68763DF09}"/>
    <hyperlink ref="A6722" r:id="rId321" display="https://www.nhl.com/player/Timo-Meier-8478414" xr:uid="{BEA4015E-F005-46E8-B33B-E6E5304B1182}"/>
    <hyperlink ref="A6743" r:id="rId322" display="https://www.nhl.com/player/Matt-Martin-8474709" xr:uid="{B2940E2E-9D6D-4D61-B17C-76DABAEC91E1}"/>
    <hyperlink ref="A6764" r:id="rId323" display="https://www.nhl.com/player/Zemgus-Girgensons-8476878" xr:uid="{6716AC24-5AC3-4FA8-A934-3475A6935F0C}"/>
    <hyperlink ref="A6785" r:id="rId324" display="https://www.nhl.com/player/Nick-Schmaltz-8477951" xr:uid="{F532CBD2-CECA-484E-8EA2-CBAC6D66D154}"/>
    <hyperlink ref="A6806" r:id="rId325" display="https://www.nhl.com/player/Jonathan-Ericsson-8470318" xr:uid="{E76B9602-E063-4AE1-AC83-2401A5992598}"/>
    <hyperlink ref="A6827" r:id="rId326" display="https://www.nhl.com/player/Deryk-Engelland-8468674" xr:uid="{4045119F-E26F-4A9A-8711-4CF11D84AF0F}"/>
    <hyperlink ref="A6848" r:id="rId327" display="https://www.nhl.com/player/Cody-Ceci-8476879" xr:uid="{E80AB6C5-A03D-4AF0-A16F-80313E0AEA9D}"/>
    <hyperlink ref="A6869" r:id="rId328" display="https://www.nhl.com/player/Danny-DeKeyser-8477215" xr:uid="{099E2A61-4D61-4A23-9CD1-463DB1FAF42A}"/>
    <hyperlink ref="A6890" r:id="rId329" display="https://www.nhl.com/player/Noah-Hanifin-8478396" xr:uid="{2AC56BE2-C617-47B3-BB35-3F14B3784241}"/>
    <hyperlink ref="A6911" r:id="rId330" display="https://www.nhl.com/player/Kyle-Clifford-8475160" xr:uid="{A313E302-26A0-4A88-9499-4C4BFD39A916}"/>
    <hyperlink ref="A6932" r:id="rId331" display="https://www.nhl.com/player/Ian-Cole-8474013" xr:uid="{EEA9E12D-6B9C-4AEA-BC35-F5BF738E5A55}"/>
    <hyperlink ref="A6953" r:id="rId332" display="https://www.nhl.com/player/Sam-Bennett-8477935" xr:uid="{C01FA229-F6EC-4795-B861-3D8C6A12C7A0}"/>
    <hyperlink ref="A6974" r:id="rId333" display="https://www.nhl.com/player/Adam-Larsson-8476457" xr:uid="{6C59EE5B-72F1-4705-B14E-775A071EEB36}"/>
    <hyperlink ref="A6995" r:id="rId334" display="https://www.nhl.com/player/Brandon-Pirri-8475204" xr:uid="{D4506CBD-6806-4FD9-80E3-656C491F8225}"/>
    <hyperlink ref="A7016" r:id="rId335" display="https://www.nhl.com/player/Radek-Faksa-8476889" xr:uid="{8C6D0BB7-8458-4B2A-A5A7-1578238D6B58}"/>
    <hyperlink ref="A7037" r:id="rId336" display="https://www.nhl.com/player/Dale-Weise-8474668" xr:uid="{759D1762-B2E6-4108-8EFD-A898FCDB8233}"/>
    <hyperlink ref="A7058" r:id="rId337" display="https://www.nhl.com/player/Pavel-Buchnevich-8477402" xr:uid="{D1824D38-2BD5-4945-85CA-26B7F1E2F8E6}"/>
    <hyperlink ref="A7079" r:id="rId338" display="https://www.nhl.com/player/Michael-Stone-8474628" xr:uid="{B4760C0E-70E4-428F-B485-DA26E54DDA9B}"/>
    <hyperlink ref="A7100" r:id="rId339" display="https://www.nhl.com/player/Nate-Schmidt-8477220" xr:uid="{D9945EF5-CB3E-4E8A-8DDE-D9797B98B0C6}"/>
    <hyperlink ref="A7121" r:id="rId340" display="https://www.nhl.com/player/Zach-Hyman-8475786" xr:uid="{E21251AA-1D87-400F-8816-9DEB2E3A752B}"/>
    <hyperlink ref="A7142" r:id="rId341" display="https://www.nhl.com/player/Matt-Hunwick-8471436" xr:uid="{AF3F3608-D3EB-4C72-BE5C-4345C03428D5}"/>
    <hyperlink ref="A7163" r:id="rId342" display="https://www.nhl.com/player/Kevin-Fiala-8477942" xr:uid="{0EEE93B0-1311-42C2-9093-6F2493926E76}"/>
    <hyperlink ref="A7184" r:id="rId343" display="https://www.nhl.com/player/Derek-Ryan-8478585" xr:uid="{1EC8D216-016C-4638-AA31-F18DB0F83673}"/>
    <hyperlink ref="A7205" r:id="rId344" display="https://www.nhl.com/player/Adam-Lowry-8476392" xr:uid="{7D97A98D-4EED-40C5-BA2D-C2657A4640C8}"/>
    <hyperlink ref="A7226" r:id="rId345" display="https://www.nhl.com/player/Connor-Brown-8477015" xr:uid="{C3D10CD6-E954-4237-8E3A-B736CB2304D4}"/>
    <hyperlink ref="A7247" r:id="rId346" display="https://www.nhl.com/player/Nico-Hischier-8480002" xr:uid="{99C579FE-EE92-4A06-AC19-5FFFFC9032E1}"/>
    <hyperlink ref="A7268" r:id="rId347" display="https://www.nhl.com/player/Ivan-Provorov-8478500" xr:uid="{E0568B9F-60E0-4A22-8D97-B6AD1294EF14}"/>
    <hyperlink ref="A7289" r:id="rId348" display="https://www.nhl.com/player/Olli-Maatta-8476874" xr:uid="{B37BD923-1BE8-4A4B-9B3D-6572B351BB49}"/>
    <hyperlink ref="A7310" r:id="rId349" display="https://www.nhl.com/player/Thomas-Hickey-8474066" xr:uid="{4BDD52D2-FA86-4BDC-82C9-E7B1794DD72C}"/>
    <hyperlink ref="A7331" r:id="rId350" display="https://www.nhl.com/player/Jordie-Benn-8474818" xr:uid="{C65080FF-1AB6-4E7B-B3D3-C388452B112D}"/>
    <hyperlink ref="A7352" r:id="rId351" display="https://www.nhl.com/player/Josh-Anderson-8476981" xr:uid="{4BA07BC3-835A-4547-95EE-9B34561200D1}"/>
    <hyperlink ref="A7373" r:id="rId352" display="https://www.nhl.com/player/Oliver-Bjorkstrand-8477416" xr:uid="{9AB26106-8EA4-492C-8FF4-5D68193D7DDD}"/>
    <hyperlink ref="A7394" r:id="rId353" display="https://www.nhl.com/player/John-Moore-8475186" xr:uid="{C286B70C-7A53-4D3E-9E74-E036935055B3}"/>
    <hyperlink ref="A7415" r:id="rId354" display="https://www.nhl.com/player/Radko-Gudas-8475462" xr:uid="{AC8335E2-9645-43D3-962C-592C3402DAD6}"/>
    <hyperlink ref="A7436" r:id="rId355" display="https://www.nhl.com/player/Luke-Glendening-8476822" xr:uid="{A9CE69A9-AE03-434C-9FB2-20B311DA1977}"/>
    <hyperlink ref="A7457" r:id="rId356" display="https://www.nhl.com/player/Luca-Sbisa-8474579" xr:uid="{3A856EF2-0D5E-49A5-97B6-A3838BD3B196}"/>
    <hyperlink ref="A7478" r:id="rId357" display="https://www.nhl.com/player/Melker-Karlsson-8477922" xr:uid="{009DBB14-1165-4926-99DD-DD31C1C0E867}"/>
    <hyperlink ref="A7499" r:id="rId358" display="https://www.nhl.com/player/Jared-McCann-8477955" xr:uid="{2AE05E38-01E3-4C4D-B72D-3B6D78E5D038}"/>
    <hyperlink ref="A7520" r:id="rId359" display="https://www.nhl.com/player/Brenden-Dillon-8475455" xr:uid="{7E8B2A15-8093-42D9-B033-BD7629B9FF2F}"/>
    <hyperlink ref="A7541" r:id="rId360" display="https://www.nhl.com/player/Ryan-Murray-8476850" xr:uid="{F4AEE663-0198-416C-AB89-3A278DF6E54A}"/>
    <hyperlink ref="A7562" r:id="rId361" display="https://www.nhl.com/player/Anthony-Beauvillier-8478463" xr:uid="{30040156-8272-4EA9-AE58-528CF73BE71A}"/>
    <hyperlink ref="A7583" r:id="rId362" display="https://www.nhl.com/player/Jakub-Vrana-8477944" xr:uid="{BCC60103-36F2-4E4F-BFFA-3ADDFFC69AD1}"/>
    <hyperlink ref="A7604" r:id="rId363" display="https://www.nhl.com/player/Christopher-Tanev-8475690" xr:uid="{019C427B-5FBE-4AB9-8ABD-D9E74B5656D3}"/>
    <hyperlink ref="A7625" r:id="rId364" display="https://www.nhl.com/player/Colin-Miller-8476525" xr:uid="{C242BD77-29FB-416E-B550-AF0CBD3D1224}"/>
    <hyperlink ref="A7646" r:id="rId365" display="https://www.nhl.com/player/Markus-Granlund-8476440" xr:uid="{839C7526-657C-44D0-84B0-36EBCC7FD212}"/>
    <hyperlink ref="A7667" r:id="rId366" display="https://www.nhl.com/player/Darnell-Nurse-8477498" xr:uid="{FCF1AE84-3E35-40EC-9A7A-247D267B5C39}"/>
    <hyperlink ref="A7688" r:id="rId367" display="https://www.nhl.com/player/Gabriel-Bourque-8475268" xr:uid="{A8414B42-013F-49B1-9D6A-10C03BEB1FB5}"/>
    <hyperlink ref="A7709" r:id="rId368" display="https://www.nhl.com/player/Nick-Ritchie-8477941" xr:uid="{F777272C-B21A-4330-8938-6B0956DF67BF}"/>
    <hyperlink ref="A7730" r:id="rId369" display="https://www.nhl.com/player/Erik-Gustafsson-8476979" xr:uid="{FF2AC3F9-3297-4B92-8304-DEC4A60C528F}"/>
    <hyperlink ref="A7751" r:id="rId370" display="https://www.nhl.com/player/Brady-Skjei-8476869" xr:uid="{EBE357B4-8F57-438F-9A1A-5E9639ABB20F}"/>
    <hyperlink ref="A7772" r:id="rId371" display="https://www.nhl.com/player/Calvin-de Haan-8475177" xr:uid="{B535D605-1FC9-4645-B3FA-65EF7A35EAF5}"/>
    <hyperlink ref="A7793" r:id="rId372" display="https://www.nhl.com/player/Mattias-Janmark-8477406" xr:uid="{F26E9731-8E79-4C40-8259-E048D9F38199}"/>
    <hyperlink ref="A7814" r:id="rId373" display="https://www.nhl.com/player/Elias-Pettersson-8480012" xr:uid="{E8E003B5-FDF8-4163-866C-66D3FD3FF987}"/>
    <hyperlink ref="A7835" r:id="rId374" display="https://www.nhl.com/player/Jimmy-Vesey-8476918" xr:uid="{BEAC6827-62CE-4CB1-9DE9-826757671901}"/>
    <hyperlink ref="A7856" r:id="rId375" display="https://www.nhl.com/player/Jake-DeBrusk-8478498" xr:uid="{3CDB6B0B-BC95-4BB1-BBE1-F48C4C74A5A2}"/>
    <hyperlink ref="A7877" r:id="rId376" display="https://www.nhl.com/player/Alex-Tuch-8477949" xr:uid="{5A8D34FF-3AB0-4240-A494-E82BE59FB642}"/>
    <hyperlink ref="A7898" r:id="rId377" display="https://www.nhl.com/player/Devin-Shore-8476913" xr:uid="{EAA6A198-44E4-4CB7-8818-D5718F1ADE29}"/>
    <hyperlink ref="A7919" r:id="rId378" display="https://www.nhl.com/player/Thomas-Chabot-8478469" xr:uid="{F68A0B3B-6309-4DCF-9227-8D4E06DD16CD}"/>
    <hyperlink ref="A7940" r:id="rId379" display="https://www.nhl.com/player/Brendan-Smith-8474090" xr:uid="{49727601-CF50-40EA-AA6B-E3694CF269AA}"/>
    <hyperlink ref="A7961" r:id="rId380" display="https://www.nhl.com/player/Joel-Armia-8476469" xr:uid="{F79EE30E-9A99-4223-8BBA-4486C284BDC0}"/>
    <hyperlink ref="A7982" r:id="rId381" display="https://www.nhl.com/player/Ryan-Hartman-8477451" xr:uid="{ADC738EB-AAD0-43C6-AEC0-68CFBFB6D331}"/>
    <hyperlink ref="A8003" r:id="rId382" display="https://www.nhl.com/player/Andrew-Copp-8477429" xr:uid="{7A035AAD-54C7-4CBD-941F-55D13267A659}"/>
    <hyperlink ref="A8024" r:id="rId383" display="https://www.nhl.com/player/Tyler-Bertuzzi-8477479" xr:uid="{F079F1E4-EC1A-420F-8533-BA4068D3476A}"/>
    <hyperlink ref="A8045" r:id="rId384" display="https://www.nhl.com/player/Shea-Theodore-8477447" xr:uid="{992BA7C1-E3C4-48F9-9DCF-F0D375A474E5}"/>
    <hyperlink ref="A8066" r:id="rId385" display="https://www.nhl.com/player/Christian-Dvorak-8477989" xr:uid="{EC9CFCB1-F455-4E05-AC64-4A513F102527}"/>
    <hyperlink ref="A8087" r:id="rId386" display="https://www.nhl.com/player/Alexander-Kerfoot-8477021" xr:uid="{0D4D40D2-89D6-4E58-8DC8-67BF592C5454}"/>
    <hyperlink ref="A8108" r:id="rId387" display="https://www.nhl.com/player/Danton-Heinen-8478046" xr:uid="{53682E3E-269D-406C-BA77-18F7E4B043CB}"/>
    <hyperlink ref="A8129" r:id="rId388" display="https://www.nhl.com/player/Josh-Morrissey-8477504" xr:uid="{91F42FDE-99C4-45BF-9F17-9D9EE1CF060C}"/>
    <hyperlink ref="A8150" r:id="rId389" display="https://www.nhl.com/player/Jordan-Martinook-8476921" xr:uid="{80D571C8-4803-46A8-B8C0-8CF04B2F6991}"/>
    <hyperlink ref="A8171" r:id="rId390" display="https://www.nhl.com/player/Brett-Pesce-8477488" xr:uid="{B64D3B63-196E-49A1-8B2A-CFF7A5085196}"/>
    <hyperlink ref="A8192" r:id="rId391" display="https://www.nhl.com/player/Artturi-Lehkonen-8477476" xr:uid="{2FBADD84-ED40-4517-B40E-FCDFB0F649CF}"/>
    <hyperlink ref="A8213" r:id="rId392" display="https://www.nhl.com/player/Yannick-Weber-8474134" xr:uid="{B3F332DF-33D7-4183-B3D7-95F85429E110}"/>
    <hyperlink ref="A8234" r:id="rId393" display="https://www.nhl.com/player/Josh-Manson-8476312" xr:uid="{84D0C9C7-0563-4523-BB6F-BE59CEDD66C8}"/>
    <hyperlink ref="A8255" r:id="rId394" display="https://www.nhl.com/player/Frank-Vatrano-8478366" xr:uid="{B04B9A03-6AC4-4169-8D4D-6315D5EDE34D}"/>
    <hyperlink ref="A8276" r:id="rId395" display="https://www.nhl.com/player/Colton-Sissons-8476925" xr:uid="{92ABB3ED-3EC1-43DE-A1A7-2487C9E1BF04}"/>
    <hyperlink ref="A8297" r:id="rId396" display="https://www.nhl.com/player/Vinnie-Hinostroza-8476994" xr:uid="{72828313-BD3B-4E8C-B0A3-FE2F65EF8015}"/>
    <hyperlink ref="A8318" r:id="rId397" display="https://www.nhl.com/player/Pavel-Zacha-8478401" xr:uid="{3E40FFD3-5BD9-49CA-B174-00178E95E3F2}"/>
    <hyperlink ref="A8339" r:id="rId398" display="https://www.nhl.com/player/Brayden-McNabb-8475188" xr:uid="{7A1FD39C-8B06-43C0-8CFE-7577AA6961C9}"/>
    <hyperlink ref="A8360" r:id="rId399" display="https://www.nhl.com/player/Mikhail-Sergachev-8479410" xr:uid="{6378F54E-D77B-4169-A9FA-2EB60FCCF6E6}"/>
    <hyperlink ref="A8381" r:id="rId400" display="https://www.nhl.com/player/Johan-Larsson-8475728" xr:uid="{0915448F-F7F1-4200-A68E-BD03BA25DEB5}"/>
    <hyperlink ref="A8402" r:id="rId401" display="https://www.nhl.com/player/Scott-Laughton-8476872" xr:uid="{668BE9A5-0CB6-4992-AF68-333E186A3C2B}"/>
    <hyperlink ref="A8423" r:id="rId402" display="https://www.nhl.com/player/Ryan-Pulock-8477506" xr:uid="{D8DBAF53-B765-4DD7-928D-13084892EF36}"/>
    <hyperlink ref="A8444" r:id="rId403" display="https://www.nhl.com/player/Ryan-Reaves-8471817" xr:uid="{A1DFBAB8-50F2-457A-BFCD-EA9061701BBF}"/>
    <hyperlink ref="A8465" r:id="rId404" display="https://www.nhl.com/player/Esa-Lindell-8476902" xr:uid="{940BA3A0-00F4-4198-81DB-669D8A194340}"/>
    <hyperlink ref="A8486" r:id="rId405" display="https://www.nhl.com/player/Dylan-Strome-8478440" xr:uid="{A2E49C49-E636-4150-87FE-FC9BA4FBBACC}"/>
    <hyperlink ref="A8507" r:id="rId406" display="https://www.nhl.com/player/Ondrej-Kase-8478131" xr:uid="{561A7FB5-AF06-44F5-8C27-E6AEEBCB1D82}"/>
    <hyperlink ref="A8528" r:id="rId407" display="https://www.nhl.com/player/Robby-Fabbri-8477952" xr:uid="{873145CF-AB0C-4652-9DD7-8505F1FE2AB0}"/>
    <hyperlink ref="A8549" r:id="rId408" display="https://www.nhl.com/player/Will-Butcher-8477355" xr:uid="{02334869-9F0B-4E7F-B615-50EE46AB8A52}"/>
    <hyperlink ref="A8570" r:id="rId409" display="https://www.nhl.com/player/Brock-McGinn-8476934" xr:uid="{7AB7A799-612D-4DD2-ACB6-E385D8F0F195}"/>
    <hyperlink ref="A8591" r:id="rId410" display="https://www.nhl.com/player/Nathan-Beaulieu-8476470" xr:uid="{0A899780-9ABA-443D-A956-A390F61B6D25}"/>
    <hyperlink ref="A8612" r:id="rId411" display="https://www.nhl.com/player/Brian-Dumoulin-8475208" xr:uid="{8E23E52D-2BAA-491C-9CF3-8B33DE594F51}"/>
    <hyperlink ref="A8633" r:id="rId412" display="https://www.nhl.com/player/Miles-Wood-8477425" xr:uid="{022C25E5-9536-4EA5-B5B9-5C844395C9E1}"/>
    <hyperlink ref="A8654" r:id="rId413" display="https://www.nhl.com/player/Adrian-Kempe-8477960" xr:uid="{985543B9-8C31-4CB1-8A99-80AF64354005}"/>
    <hyperlink ref="A8675" r:id="rId414" display="https://www.nhl.com/player/Nick-Cousins-8476393" xr:uid="{AE2885F6-47B8-4AFE-A547-281A582DEEDF}"/>
    <hyperlink ref="A8696" r:id="rId415" display="https://www.nhl.com/player/Valeri-Nichushkin-8477501" xr:uid="{AB9CB86B-F4B4-4A4E-8EC5-1674D971C1F7}"/>
    <hyperlink ref="A8717" r:id="rId416" display="https://www.nhl.com/player/Matt-Irwin-8475625" xr:uid="{4E0D9F63-E6E5-45F0-9560-07C85F31AB0B}"/>
    <hyperlink ref="A8738" r:id="rId417" display="https://www.nhl.com/player/Brandon-Montour-8477986" xr:uid="{803241B3-DD01-423C-B809-1C9537D14729}"/>
    <hyperlink ref="A8759" r:id="rId418" display="https://www.nhl.com/player/Blake-Coleman-8476399" xr:uid="{2A8C3F2E-6D6B-47A4-8F62-73743EFBAF3A}"/>
    <hyperlink ref="A8780" r:id="rId419" display="https://www.nhl.com/player/Connor-Murphy-8476473" xr:uid="{E2CF8DC3-C9A0-492D-8184-3A395296A6D8}"/>
    <hyperlink ref="A8801" r:id="rId420" display="https://www.nhl.com/player/Kevin-Connauton-8475246" xr:uid="{FB7E10CD-87D2-42FA-9AC2-D884E02E829A}"/>
    <hyperlink ref="A8822" r:id="rId421" display="https://www.nhl.com/player/Jesper-Bratt-8479407" xr:uid="{4ACCFEF8-90BC-495F-A4F9-2018FB10D7A2}"/>
    <hyperlink ref="A8843" r:id="rId422" display="https://www.nhl.com/player/Cedric-Paquette-8476975" xr:uid="{9E0D0AB4-215E-4BD1-96E9-2CEEA5822FE5}"/>
    <hyperlink ref="A8864" r:id="rId423" display="https://www.nhl.com/player/Cory-Conacher-8476195" xr:uid="{370FFD08-713F-4DB6-8944-2584AA5CA1FE}"/>
    <hyperlink ref="A8885" r:id="rId424" display="https://www.nhl.com/player/Ben-Hutton-8477018" xr:uid="{A6A806FA-92A2-4418-AE6C-D56C12816622}"/>
    <hyperlink ref="A8906" r:id="rId425" display="https://www.nhl.com/player/J.T.-Compher-8477456" xr:uid="{55F28232-146B-4A1D-A2B0-AC7BCC736748}"/>
    <hyperlink ref="A8927" r:id="rId426" display="https://www.nhl.com/player/Ben-Chiarot-8475279" xr:uid="{905445F4-31F9-4F89-B935-C5D484F6BB36}"/>
    <hyperlink ref="A8948" r:id="rId427" display="https://www.nhl.com/player/Brendan-Perlini-8477943" xr:uid="{174090E4-09C8-4892-A31A-CD663239F294}"/>
    <hyperlink ref="A8969" r:id="rId428" display="https://www.nhl.com/player/Pierre-Edouard-Bellemare-8477930" xr:uid="{2607FC48-163C-4957-B99D-2D7F5BD4FAFC}"/>
    <hyperlink ref="A8990" r:id="rId429" display="https://www.nhl.com/player/Mike-Matheson-8476875" xr:uid="{D8E1616C-FA96-4824-B179-D3E73BA43002}"/>
    <hyperlink ref="A9011" r:id="rId430" display="https://www.nhl.com/player/Jake-Virtanen-8477937" xr:uid="{F60B61E4-1CF1-4157-9026-7D91DA0E06DA}"/>
    <hyperlink ref="A9032" r:id="rId431" display="https://www.nhl.com/player/Austin-Watson-8475766" xr:uid="{53B67593-C877-465F-B0A8-4DA35A295F1B}"/>
    <hyperlink ref="A9053" r:id="rId432" display="https://www.nhl.com/player/Alex-Iafallo-8480113" xr:uid="{9733DB15-716A-440F-A7FB-B77CF91B3B14}"/>
    <hyperlink ref="A9074" r:id="rId433" display="https://www.nhl.com/player/J.T.-Brown-8476806" xr:uid="{50EC6585-DC3B-4641-AAC3-FFE483603D73}"/>
    <hyperlink ref="A9095" r:id="rId434" display="https://www.nhl.com/player/Mark-Pysyk-8475796" xr:uid="{B9F8CFA7-CC68-4362-8F2B-39B93BCB8C64}"/>
    <hyperlink ref="A9116" r:id="rId435" display="https://www.nhl.com/player/Kasperi-Kapanen-8477953" xr:uid="{9E252141-C8A2-4E55-B3AA-868EDD4A8A64}"/>
    <hyperlink ref="A9137" r:id="rId436" display="https://www.nhl.com/player/Tony-DeAngelo-8477950" xr:uid="{22EB342E-06FF-48BB-A1CA-40EC662E0D26}"/>
    <hyperlink ref="A9158" r:id="rId437" display="https://www.nhl.com/player/Nikita-Zaitsev-8479458" xr:uid="{9801AA2F-7C07-4127-8DD5-776ADAA558D8}"/>
    <hyperlink ref="A9179" r:id="rId438" display="https://www.nhl.com/player/Erik-Gudbranson-8475790" xr:uid="{851C9503-6A4F-4F60-BCC1-7BDCB43264F9}"/>
    <hyperlink ref="A9200" r:id="rId439" display="https://www.nhl.com/player/Charlie-McAvoy-8479325" xr:uid="{6F9A37A0-8B58-4DBE-AB5A-38BFD3BCB31D}"/>
    <hyperlink ref="A9221" r:id="rId440" display="https://www.nhl.com/player/Anthony-Cirelli-8478519" xr:uid="{FACC240A-CD85-45A2-AFAA-1CAAAC8F791D}"/>
    <hyperlink ref="A9242" r:id="rId441" display="https://www.nhl.com/player/Brian-Gibbons-8476207" xr:uid="{3ACACEBE-1CA3-4337-8440-D2F7E71BA366}"/>
    <hyperlink ref="A9263" r:id="rId442" display="https://www.nhl.com/player/Vince-Dunn-8478407" xr:uid="{3F4FE55C-36E7-476A-BF5C-C13800A01CDB}"/>
    <hyperlink ref="A9284" r:id="rId443" display="https://www.nhl.com/player/Jake-McCabe-8476931" xr:uid="{A0C1C8D6-7EDA-49C9-A145-A9815FD12BF1}"/>
    <hyperlink ref="A9305" r:id="rId444" display="https://www.nhl.com/player/Kevan-Miller-8476191" xr:uid="{BECBD7C0-3A37-41E1-870F-C16295FFE5B5}"/>
    <hyperlink ref="A9326" r:id="rId445" display="https://www.nhl.com/player/Andrei-Svechnikov-8480830" xr:uid="{612F5E83-06C8-4776-B587-22A47B54BBC7}"/>
    <hyperlink ref="A9347" r:id="rId446" display="https://www.nhl.com/player/Nikita-Zadorov-8477507" xr:uid="{FA123104-6B03-4CAD-8BF9-026431D10A45}"/>
    <hyperlink ref="A9368" r:id="rId447" display="https://www.nhl.com/player/Drake-Caggiula-8479465" xr:uid="{5C690F33-A66E-4555-BBF1-3BC5CB4E9F0E}"/>
    <hyperlink ref="A9389" r:id="rId448" display="https://www.nhl.com/player/Brandon-Tanev-8479293" xr:uid="{097CEF5C-42A8-4D50-9CF1-1F853910E64A}"/>
    <hyperlink ref="A9410" r:id="rId449" display="https://www.nhl.com/player/Ivan-Barbashev-8477964" xr:uid="{98A1E103-813A-4820-AB4D-CB8AFD4778AC}"/>
    <hyperlink ref="A9431" r:id="rId450" display="https://www.nhl.com/player/Joakim-Nordstrom-8475807" xr:uid="{9A0A1ED6-50E4-40C9-A121-EB589381384A}"/>
    <hyperlink ref="A9452" r:id="rId451" display="https://www.nhl.com/player/Beau-Bennett-8475761" xr:uid="{80847710-C9F8-44E2-B8D4-C8A5F4185A28}"/>
    <hyperlink ref="A9473" r:id="rId452" display="https://www.nhl.com/player/Jakob-Chychrun-8479345" xr:uid="{A1A1E204-C3F7-40DB-B785-1554CAD0507B}"/>
    <hyperlink ref="A9494" r:id="rId453" display="https://www.nhl.com/player/Evan-Rodrigues-8478542" xr:uid="{E9E70CA5-B4AD-4D19-B794-4B5F2A347956}"/>
    <hyperlink ref="A9515" r:id="rId454" display="https://www.nhl.com/player/Trevor-van Riemsdyk-8477845" xr:uid="{894DF388-4C89-4B4F-BE15-6FC8BEC8D3E9}"/>
    <hyperlink ref="A9536" r:id="rId455" display="https://www.nhl.com/player/Troy-Stecher-8479442" xr:uid="{CBBD6563-E4B3-4CBB-A779-A5D975751841}"/>
    <hyperlink ref="A9557" r:id="rId456" display="https://www.nhl.com/player/Andreas-Johnsson-8477341" xr:uid="{6309DDB5-1C4C-44A5-967B-55E7613510C1}"/>
    <hyperlink ref="A9578" r:id="rId457" display="https://www.nhl.com/player/Brady-Tkachuk-8480801" xr:uid="{74981AA4-D01A-402D-93E3-947F95AA8198}"/>
    <hyperlink ref="A9599" r:id="rId458" display="https://www.nhl.com/player/Nolan-Patrick-8479974" xr:uid="{FA1B1BAD-06F9-45C8-BDBF-BA92EF97E1D7}"/>
    <hyperlink ref="A9620" r:id="rId459" display="https://www.nhl.com/player/Christian-Fischer-8478432" xr:uid="{569E9F4A-4AC2-446B-AAE0-2E8060297B2A}"/>
    <hyperlink ref="A9641" r:id="rId460" display="https://www.nhl.com/player/Josh-Leivo-8476410" xr:uid="{56680CC8-8CCA-4267-8A19-7A06219428BF}"/>
    <hyperlink ref="A9662" r:id="rId461" display="https://www.nhl.com/player/Barclay-Goodrow-8476624" xr:uid="{4C11D48F-8A38-4E84-A02E-9A0CD01FC6DC}"/>
    <hyperlink ref="A9683" r:id="rId462" display="https://www.nhl.com/player/Joel-Edmundson-8476441" xr:uid="{248ADB2B-ECBF-414E-BED7-77337F5FA095}"/>
    <hyperlink ref="A9704" r:id="rId463" display="https://www.nhl.com/player/Rasmus-Dahlin-8480839" xr:uid="{BEF719CD-05F0-43C6-86F5-3B68ADB720F8}"/>
    <hyperlink ref="A9725" r:id="rId464" display="https://www.nhl.com/player/Samuel-Girard-8479398" xr:uid="{81E4025F-9512-45B7-96BE-53FB332C456F}"/>
    <hyperlink ref="A9746" r:id="rId465" display="https://www.nhl.com/player/Adam-Pelech-8476917" xr:uid="{9DA42C9D-E6FD-4F9D-81C8-81795EF78D91}"/>
    <hyperlink ref="A9767" r:id="rId466" display="https://www.nhl.com/player/Tyler-Pitlick-8475752" xr:uid="{9DD245FC-8F3D-48D7-8770-2C057B351EBB}"/>
    <hyperlink ref="A9788" r:id="rId467" display="https://www.nhl.com/player/Brett-Ritchie-8476439" xr:uid="{4F42F804-D0E8-4667-A3C0-22AFADF038AD}"/>
    <hyperlink ref="A9809" r:id="rId468" display="https://www.nhl.com/player/Tyson-Jost-8479370" xr:uid="{81A9D680-DF2E-4DE9-B9E8-39A16E40223E}"/>
    <hyperlink ref="A9830" r:id="rId469" display="https://www.nhl.com/player/Jordan-Weal-8475738" xr:uid="{26F6B92D-D96C-4B1A-AD9A-39ED2A365028}"/>
    <hyperlink ref="A9851" r:id="rId470" display="https://www.nhl.com/player/Matt-Benning-8476988" xr:uid="{C6797326-A212-47FD-B1ED-A5740670118E}"/>
    <hyperlink ref="A9872" r:id="rId471" display="https://www.nhl.com/player/Mark-Jankowski-8476873" xr:uid="{5E339574-5221-445E-AB44-F5D0A274F442}"/>
    <hyperlink ref="A9893" r:id="rId472" display="https://www.nhl.com/player/Oskar-Lindblom-8478067" xr:uid="{7E69FBA6-0ABC-46A9-B98B-7BBDFDA154CB}"/>
    <hyperlink ref="A9914" r:id="rId473" display="https://www.nhl.com/player/Denis-Malgin-8478843" xr:uid="{6AA7F59D-EB8D-4210-B36C-C70388C2BAC0}"/>
    <hyperlink ref="A9935" r:id="rId474" display="https://www.nhl.com/player/Dylan-DeMelo-8476331" xr:uid="{235BDAA0-0CDD-452D-A2C7-72A30A61C8D8}"/>
    <hyperlink ref="A9956" r:id="rId475" display="https://www.nhl.com/player/Derek-Grant-8474683" xr:uid="{4EC610DC-0BC0-4AE2-9E83-5DFE78766EE9}"/>
    <hyperlink ref="A9977" r:id="rId476" display="https://www.nhl.com/player/Nicholas-Shore-8476406" xr:uid="{8FE5928E-E43E-41D9-AE39-09742DE83848}"/>
    <hyperlink ref="A9998" r:id="rId477" display="https://www.nhl.com/player/Brendan-Leipsic-8476894" xr:uid="{179992E6-D6B6-4B99-9886-ABD1267D5022}"/>
    <hyperlink ref="A10019" r:id="rId478" display="https://www.nhl.com/player/Jon-Merrill-8475750" xr:uid="{E7B3C4BC-03F0-416B-B82B-ABAFD6F5DEAB}"/>
    <hyperlink ref="A10040" r:id="rId479" display="https://www.nhl.com/player/Tim-Schaller-8477213" xr:uid="{767EBDD3-7F63-44FD-A763-434E961EC6C5}"/>
    <hyperlink ref="A10061" r:id="rId480" display="https://www.nhl.com/player/Michal-Kempny-8479482" xr:uid="{ABE72F44-FCE5-4138-AF9F-B6C703EECC91}"/>
    <hyperlink ref="A10082" r:id="rId481" display="https://www.nhl.com/player/Dominik-Simon-8478866" xr:uid="{55F69CA4-1013-4C53-8220-9D9B9EE00D52}"/>
    <hyperlink ref="A10103" r:id="rId482" display="https://www.nhl.com/player/Nic-Dowd-8475343" xr:uid="{AE3BCD7D-CB67-4FF2-BEC7-9A5EECE489E8}"/>
    <hyperlink ref="A10124" r:id="rId483" display="https://www.nhl.com/player/Colin-White-8478400" xr:uid="{43B5625D-2260-43F8-A3B4-BA2AB82670BB}"/>
    <hyperlink ref="A10145" r:id="rId484" display="https://www.nhl.com/player/Mark-Barberio-8474717" xr:uid="{6266F214-5094-4F5D-AF66-F8A86A790695}"/>
    <hyperlink ref="A10166" r:id="rId485" display="https://www.nhl.com/player/Neal-Pionk-8480145" xr:uid="{483A5337-E530-4EB2-9565-7730F9F577AB}"/>
    <hyperlink ref="A10187" r:id="rId486" display="https://www.nhl.com/player/Chris-Wagner-8475780" xr:uid="{5BA0B02F-E30A-4F29-9DE9-BB5B5F91AC62}"/>
    <hyperlink ref="A10208" r:id="rId487" display="https://www.nhl.com/player/Nicolas-Deslauriers-8475235" xr:uid="{17529E50-04E2-484B-B321-A3E1EFDC6670}"/>
    <hyperlink ref="A10229" r:id="rId488" display="https://www.nhl.com/player/Dominik-Kahun-8480946" xr:uid="{9DAA6334-E1A6-4765-855F-A839E7C0CF22}"/>
    <hyperlink ref="A10250" r:id="rId489" display="https://www.nhl.com/player/Markus-Nutivaara-8478906" xr:uid="{86A698CB-A5DF-4E0E-8826-80B26FE7A312}"/>
    <hyperlink ref="A10271" r:id="rId490" display="https://www.nhl.com/player/Robert-Bortuzzo-8474145" xr:uid="{BB03F870-8C10-433B-8069-5BD48FC69AD5}"/>
    <hyperlink ref="A10292" r:id="rId491" display="https://www.nhl.com/player/Travis-Sanheim-8477948" xr:uid="{C21B47A6-C26D-4B0F-AFE4-CE5A232C8FBC}"/>
    <hyperlink ref="A10313" r:id="rId492" display="https://www.nhl.com/player/Oskar-Sundqvist-8476897" xr:uid="{D6890D0A-AB30-402B-96E9-84DC883262C6}"/>
    <hyperlink ref="A10334" r:id="rId493" display="https://www.nhl.com/player/Jordan-Nolan-8475325" xr:uid="{6E168C98-84A3-4B02-B150-1E64057AD45E}"/>
    <hyperlink ref="A10355" r:id="rId494" display="https://www.nhl.com/player/Tomas-Jurco-8476430" xr:uid="{45CB8480-A548-424E-8E3F-0F1F7CCB51C8}"/>
    <hyperlink ref="A10376" r:id="rId495" display="https://www.nhl.com/player/Curtis-Lazar-8477508" xr:uid="{312F72F1-65CB-4610-8981-06D6CD55223B}"/>
    <hyperlink ref="A10397" r:id="rId496" display="https://www.nhl.com/player/Jamie-Oleksiak-8476467" xr:uid="{B8979966-5E41-4951-A28A-80FA36B39BA0}"/>
    <hyperlink ref="A10418" r:id="rId497" display="https://www.nhl.com/player/Derek-Forbort-8475762" xr:uid="{9B69F407-AC11-477C-903A-BA279F667BC4}"/>
    <hyperlink ref="A10439" r:id="rId498" display="https://www.nhl.com/player/Miro-Heiskanen-8480036" xr:uid="{7A6ADBB1-E35C-4714-B580-FAF3534889B1}"/>
    <hyperlink ref="A10460" r:id="rId499" display="https://www.nhl.com/player/Brad-Hunt-8476779" xr:uid="{2EB1EABE-053C-4776-B28C-A87465022DC1}"/>
    <hyperlink ref="A10481" r:id="rId500" display="https://www.nhl.com/player/Jack-Roslovic-8478458" xr:uid="{6F26A1FC-C3E7-4F52-96B9-27161FE00573}"/>
    <hyperlink ref="A10502" r:id="rId501" display="https://www.nhl.com/player/Nick-Jensen-8475324" xr:uid="{0AE2887B-EC69-43B9-82DE-6952E04914B2}"/>
    <hyperlink ref="A10523" r:id="rId502" display="https://www.nhl.com/player/Alexander-Petrovic-8475755" xr:uid="{823874C4-1A5C-4C9D-9C9E-B120635B5545}"/>
    <hyperlink ref="A10544" r:id="rId503" display="https://www.nhl.com/player/Marcus-Sorensen-8475834" xr:uid="{25FCA346-476F-4BBE-95CE-0717203B2972}"/>
    <hyperlink ref="A10565" r:id="rId504" display="https://www.nhl.com/player/Garnet-Hathaway-8477903" xr:uid="{2DCC5DEF-D795-4EEA-A88B-969575429ADD}"/>
    <hyperlink ref="A10586" r:id="rId505" display="https://www.nhl.com/player/Scott-Wilson-8476293" xr:uid="{12B5992C-AB98-4304-A18E-2F18401603B8}"/>
    <hyperlink ref="A10607" r:id="rId506" display="https://www.nhl.com/player/Jujhar-Khaira-8476915" xr:uid="{A549A76F-8F09-4B81-B894-B0C0CDA54F5E}"/>
    <hyperlink ref="A10628" r:id="rId507" display="https://www.nhl.com/player/Tom-Kuhnhackl-8475832" xr:uid="{D2CED7FF-4E96-4165-84E6-42180260B27C}"/>
    <hyperlink ref="A10649" r:id="rId508" display="https://www.nhl.com/player/Brandon-Manning-8475430" xr:uid="{66AB5272-D942-46F1-BDBE-2126FA9A931E}"/>
    <hyperlink ref="A10670" r:id="rId509" display="https://www.nhl.com/player/Scott-Mayfield-8476429" xr:uid="{F054DC1B-1D3D-46DA-A88B-4E448320A67E}"/>
    <hyperlink ref="A10691" r:id="rId510" display="https://www.nhl.com/player/Derrick-Pouliot-8476884" xr:uid="{DA7E3F5C-C41B-47AD-B768-7CE40275643A}"/>
    <hyperlink ref="A10712" r:id="rId511" display="https://www.nhl.com/player/Matt-Bartkowski-8474749" xr:uid="{34043B6D-7780-4B91-99B1-42F6803A6DB8}"/>
    <hyperlink ref="A10733" r:id="rId512" display="https://www.nhl.com/player/Lawson-Crouse-8478474" xr:uid="{C7F86BD4-09BF-4B76-8F4D-44489A2432F3}"/>
    <hyperlink ref="A10754" r:id="rId513" display="https://www.nhl.com/player/Joel-Eriksson Ek-8478493" xr:uid="{3730841C-8628-4E3F-9579-E59C7F54AA7F}"/>
    <hyperlink ref="A10775" r:id="rId514" display="https://www.nhl.com/player/Nate-Prosser-8475613" xr:uid="{3465C451-0725-484D-968D-F3DE60F377FF}"/>
    <hyperlink ref="A10796" r:id="rId515" display="https://www.nhl.com/player/Stefan-Noesen-8476474" xr:uid="{E9D61A1B-1750-4D8E-987D-CD81A9286FEC}"/>
    <hyperlink ref="A10817" r:id="rId516" display="https://www.nhl.com/player/Nikolay-Goldobin-8477958" xr:uid="{D913994E-47F6-4013-9901-34255B4B65B7}"/>
    <hyperlink ref="A10838" r:id="rId517" display="https://www.nhl.com/player/Jordan-Oesterle-8477851" xr:uid="{D47261DE-AB6A-49DF-ACDA-F225B1B45742}"/>
    <hyperlink ref="A10859" r:id="rId518" display="https://www.nhl.com/player/Marko-Dano-8477448" xr:uid="{6010B8EE-CB6F-4670-9F14-695C40741E50}"/>
    <hyperlink ref="A10880" r:id="rId519" display="https://www.nhl.com/player/Chris-Wideman-8475227" xr:uid="{78F879EA-4F54-4444-BCAD-9C441B5952F6}"/>
    <hyperlink ref="A10901" r:id="rId520" display="https://www.nhl.com/player/Sean-Kuraly-8476374" xr:uid="{4B1F0A83-5E68-466B-85DD-68B08121FBD1}"/>
    <hyperlink ref="A10922" r:id="rId521" display="https://www.nhl.com/player/Ryan-Carpenter-8477846" xr:uid="{E1B1916D-6961-4471-98C4-9E738010D7CD}"/>
    <hyperlink ref="A10943" r:id="rId522" display="https://www.nhl.com/player/Pontus-Aberg-8476857" xr:uid="{228E5689-4D2D-46A9-9B5C-07F080E9FA15}"/>
    <hyperlink ref="A10964" r:id="rId523" display="https://www.nhl.com/player/Robert-Thomas-8480023" xr:uid="{11BA4D18-9456-406F-9E37-587DDD895B82}"/>
    <hyperlink ref="A10985" r:id="rId524" display="https://www.nhl.com/player/Mark-Borowiecki-8474697" xr:uid="{E94EC11E-4338-4ED7-BE46-9E051BAC23DA}"/>
    <hyperlink ref="A11006" r:id="rId525" display="https://www.nhl.com/player/Christian-Folin-8477850" xr:uid="{5DF1B824-DFB3-4B26-A1A3-3BAA887943CE}"/>
    <hyperlink ref="A11027" r:id="rId526" display="https://www.nhl.com/player/Patrik-Nemeth-8475747" xr:uid="{26C46FB7-8E32-4B73-A7BB-9622589DB2EE}"/>
    <hyperlink ref="A11048" r:id="rId527" display="https://www.nhl.com/player/Reid-Boucher-8476423" xr:uid="{062630F6-6297-4EF6-9DDF-8814DA5B8272}"/>
    <hyperlink ref="A11069" r:id="rId528" display="https://www.nhl.com/player/Connor-Carrick-8476941" xr:uid="{F0324FA6-2537-4E35-9FC8-45BAA62FA2D6}"/>
    <hyperlink ref="A11090" r:id="rId529" display="https://www.nhl.com/player/Brandon-Carlo-8478443" xr:uid="{C861B7E7-F7E2-4CC0-A8C6-88A7879137AB}"/>
    <hyperlink ref="A11111" r:id="rId530" display="https://www.nhl.com/player/Phillip-Di Giuseppe-8476858" xr:uid="{B96BC5D5-C597-4C52-ABDD-0028AF8FBADD}"/>
    <hyperlink ref="A11132" r:id="rId531" display="https://www.nhl.com/player/Matt-Grzelcyk-8476891" xr:uid="{26A6D035-CB42-4847-BD4F-78AC22385C68}"/>
    <hyperlink ref="A11153" r:id="rId532" display="https://www.nhl.com/player/Mike-Reilly-8476422" xr:uid="{10A2865F-A3A3-4F2E-BAE0-856E300DE0C7}"/>
    <hyperlink ref="A11174" r:id="rId533" display="https://www.nhl.com/player/Ryan-Donato-8477987" xr:uid="{69E5392D-FE99-4265-AB00-E67EED37539D}"/>
    <hyperlink ref="A11195" r:id="rId534" display="https://www.nhl.com/player/Carter-Rowney-8477240" xr:uid="{D52F9C67-67D4-44EF-8E20-F3BE7A0EF260}"/>
    <hyperlink ref="A11216" r:id="rId535" display="https://www.nhl.com/player/Charles-Hudon-8476948" xr:uid="{0AC77C32-2F92-45D7-BDB8-74A8BACAF875}"/>
    <hyperlink ref="A11237" r:id="rId536" display="https://www.nhl.com/player/Tomas-Nosek-8477931" xr:uid="{71C241EC-14CA-459C-9FB6-C1D0622AA5B3}"/>
    <hyperlink ref="A11258" r:id="rId537" display="https://www.nhl.com/player/Casey-Mittelstadt-8479999" xr:uid="{E90E525F-60DA-4DEA-8481-1FC41CD1A361}"/>
    <hyperlink ref="A11279" r:id="rId538" display="https://www.nhl.com/player/Jesperi-Kotkaniemi-8480829" xr:uid="{13D424A0-E562-4B93-815D-06AC5F2A25EE}"/>
    <hyperlink ref="A11300" r:id="rId539" display="https://www.nhl.com/player/Lucas-Wallmark-8478027" xr:uid="{FE965FAE-E375-421D-9649-D107FA4B403D}"/>
    <hyperlink ref="A11321" r:id="rId540" display="https://www.nhl.com/player/Noel-Acciari-8478569" xr:uid="{87317182-20FE-4F72-B7D4-1ED504C8EF84}"/>
    <hyperlink ref="A11342" r:id="rId541" display="https://www.nhl.com/player/Chris-Terry-8474052" xr:uid="{A3B62790-8337-4F19-99CE-1D6267B50F7F}"/>
    <hyperlink ref="A11363" r:id="rId542" display="https://www.nhl.com/player/Zach-Sanford-8477482" xr:uid="{D61A0727-F058-4181-B28A-64309B11416E}"/>
    <hyperlink ref="A11384" r:id="rId543" display="https://www.nhl.com/player/Austin-Czarnik-8478512" xr:uid="{E9870059-9DD4-4B23-9E4C-34D1E10A44E4}"/>
    <hyperlink ref="A11405" r:id="rId544" display="https://www.nhl.com/player/Dalton-Prout-8474774" xr:uid="{B39465CF-7EB2-456A-970B-4469D3651C55}"/>
    <hyperlink ref="A11426" r:id="rId545" display="https://www.nhl.com/player/Marcus-Pettersson-8477969" xr:uid="{2F2FB032-82AB-41B8-8101-E1FBE0603C5D}"/>
    <hyperlink ref="A11447" r:id="rId546" display="https://www.nhl.com/player/Josh-Archibald-8476326" xr:uid="{10BBFACF-B5F9-4F0E-A66B-03001EFA9AD8}"/>
    <hyperlink ref="A11468" r:id="rId547" display="https://www.nhl.com/player/Zac-Rinaldo-8474736" xr:uid="{4A87409E-2483-4EE0-A04A-4BD94AA00AC1}"/>
    <hyperlink ref="A11489" r:id="rId548" display="https://www.nhl.com/player/David-Kampf-8480144" xr:uid="{52743EB9-A753-49EE-ACC7-B2AFBAAC3E0E}"/>
    <hyperlink ref="A11510" r:id="rId549" display="https://www.nhl.com/player/Filip-Chytil-8480078" xr:uid="{CA648BE1-0D79-4C68-AA87-914D4EAED0E4}"/>
    <hyperlink ref="A11531" r:id="rId550" display="https://www.nhl.com/player/Filip-Hronek-8479425" xr:uid="{2D3EB4E7-618E-44FE-A96C-3AAAC50C8B95}"/>
    <hyperlink ref="A11552" r:id="rId551" display="https://www.nhl.com/player/Greg-Pateryn-8474688" xr:uid="{776D1814-0AED-425C-B532-222196BC861A}"/>
    <hyperlink ref="A11573" r:id="rId552" display="https://www.nhl.com/player/Alex-Biega-8473415" xr:uid="{9B55F4ED-7A43-4803-B50B-995052009BBF}"/>
    <hyperlink ref="A11594" r:id="rId553" display="https://www.nhl.com/player/Roope-Hintz-8478449" xr:uid="{916C038F-3FF8-4074-B059-D9B7F25A6D12}"/>
    <hyperlink ref="A11615" r:id="rId554" display="https://www.nhl.com/player/Daniel-Carr-8477901" xr:uid="{42AB765D-52FD-4FC3-9CE8-DE39889B29B8}"/>
    <hyperlink ref="A11636" r:id="rId555" display="https://www.nhl.com/player/Jason-Dickinson-8477450" xr:uid="{C99D7C10-E4CA-494E-9CDE-AB113DE0A1A7}"/>
    <hyperlink ref="A11657" r:id="rId556" display="https://www.nhl.com/player/Rocco-Grimaldi-8476428" xr:uid="{5527F578-7FB6-494C-B2A9-1DCB16B85040}"/>
    <hyperlink ref="A11678" r:id="rId557" display="https://www.nhl.com/player/Travis-Dermott-8478408" xr:uid="{E855926B-14EE-4BD8-BD3A-B77F6AE103BE}"/>
    <hyperlink ref="A11699" r:id="rId558" display="https://www.nhl.com/player/Sonny-Milano-8477947" xr:uid="{C601DD16-4D88-4A50-A09B-5CA520876209}"/>
    <hyperlink ref="A11720" r:id="rId559" display="https://www.nhl.com/player/Jordan-Greenway-8478413" xr:uid="{6EA528B8-0F7A-461A-AC02-17FF9F2D1A8A}"/>
    <hyperlink ref="A11741" r:id="rId560" display="https://www.nhl.com/player/Chandler-Stephenson-8476905" xr:uid="{E75309A5-04B5-4771-A3BD-14E29B90F12E}"/>
    <hyperlink ref="A11762" r:id="rId561" display="https://www.nhl.com/player/Taylor-Fedun-8476166" xr:uid="{5089DE5C-C635-4675-A6D7-BA57D0E592C0}"/>
    <hyperlink ref="A11783" r:id="rId562" display="https://www.nhl.com/player/Conor-Garland-8478856" xr:uid="{581DCFF5-5868-472D-825F-7B24F30D1EE5}"/>
    <hyperlink ref="A11804" r:id="rId563" display="https://www.nhl.com/player/Mathieu-Joseph-8478472" xr:uid="{87A46542-CA09-4236-959E-3AC1B62FD944}"/>
    <hyperlink ref="A11825" r:id="rId564" display="https://www.nhl.com/player/Jacob-de la Rose-8477455" xr:uid="{E5AE89D5-68AA-44E7-87A6-2BEF5F2C8F83}"/>
    <hyperlink ref="A11846" r:id="rId565" display="https://www.nhl.com/player/MacKenzie-Weegar-8477346" xr:uid="{28A92213-0C9B-4064-8C94-01BEF271B9B6}"/>
    <hyperlink ref="A11867" r:id="rId566" display="https://www.nhl.com/player/Steven-Kampfer-8474000" xr:uid="{F788F90F-199F-42BA-90D8-A4BEEF80F99C}"/>
    <hyperlink ref="A11888" r:id="rId567" display="https://www.nhl.com/player/Micheal-Haley-8474230" xr:uid="{B16C515C-E540-4F61-A8B7-E07D31915D71}"/>
    <hyperlink ref="A11909" r:id="rId568" display="https://www.nhl.com/player/Joe-Morrow-8476476" xr:uid="{94E07408-CA24-4534-8838-7B62FBB1CABF}"/>
    <hyperlink ref="A11930" r:id="rId569" display="https://www.nhl.com/player/Robert-Hagg-8477462" xr:uid="{492E96B9-8E93-45AD-B40B-B386B75B67AC}"/>
    <hyperlink ref="A11951" r:id="rId570" display="https://www.nhl.com/player/Tyler-Motte-8477353" xr:uid="{C3A17BD7-FC6E-46F7-879D-19DADE90B239}"/>
    <hyperlink ref="A11972" r:id="rId571" display="https://www.nhl.com/player/Luke-Kunin-8479316" xr:uid="{8CC03DF2-D0B2-4B5E-A3B4-506F3C615596}"/>
    <hyperlink ref="A11993" r:id="rId572" display="https://www.nhl.com/player/Martin-Frk-8476924" xr:uid="{2667130D-A1BD-4772-B6D9-4C233E5A5B7A}"/>
    <hyperlink ref="A12014" r:id="rId573" display="https://www.nhl.com/player/Logan-Shaw-8476400" xr:uid="{2A973366-07F9-4600-B342-C1D98CCC7FC9}"/>
    <hyperlink ref="A12035" r:id="rId574" display="https://www.nhl.com/player/Zach-Aston-Reese-8479944" xr:uid="{5FCDE896-2201-4091-9923-7E770BBFF2DA}"/>
    <hyperlink ref="A12056" r:id="rId575" display="https://www.nhl.com/player/Michael-Amadio-8478020" xr:uid="{76B02051-AFBD-4E80-A814-5C3B79499F99}"/>
    <hyperlink ref="A12077" r:id="rId576" display="https://www.nhl.com/player/Brad-Malone-8474089" xr:uid="{C22B6A3B-8246-461E-8117-9A74F2259E02}"/>
    <hyperlink ref="A12098" r:id="rId577" display="https://www.nhl.com/player/Brett-Howden-8479353" xr:uid="{F8EF9904-48F9-4DDF-BB6B-84F83B77D787}"/>
    <hyperlink ref="A12119" r:id="rId578" display="https://www.nhl.com/player/Brett-Kulak-8476967" xr:uid="{68AFCA85-C9EE-4D1A-B791-7F637CCDF7AE}"/>
    <hyperlink ref="A12140" r:id="rId579" display="https://www.nhl.com/player/Kenny-Agostino-8475844" xr:uid="{E4D39359-210D-48CA-B9EE-1E5012996DEB}"/>
    <hyperlink ref="A12161" r:id="rId580" display="https://www.nhl.com/player/Jan-Rutta-8480172" xr:uid="{88FE3B1A-8DFA-4884-B53B-E487EBA6D9E7}"/>
    <hyperlink ref="A12182" r:id="rId581" display="https://www.nhl.com/player/Martin-Marincin-8475716" xr:uid="{5CA5124A-280B-410D-A947-120469573338}"/>
    <hyperlink ref="A12203" r:id="rId582" display="https://www.nhl.com/player/Madison-Bowey-8477474" xr:uid="{4EE6C465-B1F9-4F20-A8D9-FB681EB14A9A}"/>
    <hyperlink ref="A12224" r:id="rId583" display="https://www.nhl.com/player/Brendan-Lemieux-8477962" xr:uid="{377D0B5F-852E-4B0E-B674-40A3B31BB0EC}"/>
    <hyperlink ref="A12245" r:id="rId584" display="https://www.nhl.com/player/Joseph-Blandisi-8477010" xr:uid="{9A5692A6-0E6D-4200-9314-E34C9AD762E2}"/>
    <hyperlink ref="A12266" r:id="rId585" display="https://www.nhl.com/player/Devon-Toews-8478038" xr:uid="{654D5650-C88A-4536-9CBC-080B45B376A5}"/>
    <hyperlink ref="A12287" r:id="rId586" display="https://www.nhl.com/player/Brian-Strait-8473565" xr:uid="{0FFD7D09-B8A5-42CB-B3B2-F03A582CD858}"/>
    <hyperlink ref="A12308" r:id="rId587" display="https://www.nhl.com/player/Daniel-Sprong-8478466" xr:uid="{DDE7DF61-0DBD-4F8E-BD56-FAF2EA442EEC}"/>
    <hyperlink ref="A12329" r:id="rId588" display="https://www.nhl.com/player/Stephen-Johns-8475730" xr:uid="{863A392F-2116-401B-8E14-9B3176BAEB01}"/>
    <hyperlink ref="A12350" r:id="rId589" display="https://www.nhl.com/player/Alan-Quine-8476409" xr:uid="{5B2FA96F-8EF1-4997-AF2C-BF7CE7444DDF}"/>
    <hyperlink ref="A12371" r:id="rId590" display="https://www.nhl.com/player/Travis-Boyd-8476329" xr:uid="{447EF681-494D-4625-ABD5-9FB5DB6AC82B}"/>
    <hyperlink ref="A12392" r:id="rId591" display="https://www.nhl.com/player/Victor-Mete-8479376" xr:uid="{393AE280-B664-459A-BAB7-0F0D89E74303}"/>
    <hyperlink ref="A12413" r:id="rId592" display="https://www.nhl.com/player/William-Carrier-8477478" xr:uid="{78442E6A-9188-450E-85C3-E85D5C6FAD5A}"/>
    <hyperlink ref="A12434" r:id="rId593" display="https://www.nhl.com/player/Warren-Foegele-8477998" xr:uid="{94AB6B7E-2773-41D9-9AC7-53CE57C92BF5}"/>
    <hyperlink ref="A12455" r:id="rId594" display="https://www.nhl.com/player/Adam-Erne-8477454" xr:uid="{6E263941-789B-43B2-B229-3281D041E234}"/>
    <hyperlink ref="A12476" r:id="rId595" display="https://www.nhl.com/player/Miikka-Salomaki-8476447" xr:uid="{4BB17B60-658E-4376-AB9E-7B24D1FD6536}"/>
    <hyperlink ref="A12497" r:id="rId596" display="https://www.nhl.com/player/Gustav-Forsling-8478055" xr:uid="{36BC05DC-34D7-4247-9A8D-2423757FE4D7}"/>
    <hyperlink ref="A12518" r:id="rId597" display="https://www.nhl.com/player/Cale-Makar-8480069" xr:uid="{6C3241EE-100B-451D-9D0E-C935C036BEC6}"/>
    <hyperlink ref="A12539" r:id="rId598" display="https://www.nhl.com/player/Nic-Petan-8477464" xr:uid="{B3C2743D-AE33-4F94-BA63-B42A5EDD6770}"/>
    <hyperlink ref="A12560" r:id="rId599" display="https://www.nhl.com/player/Scott-Harrington-8476449" xr:uid="{A40BC359-592C-49CD-A403-4BF5CDE68210}"/>
    <hyperlink ref="A12581" r:id="rId600" display="https://www.nhl.com/player/Rasmus-Andersson-8478397" xr:uid="{8F3D7724-9ECF-4605-A462-B1512D23ADEF}"/>
    <hyperlink ref="A12602" r:id="rId601" display="https://www.nhl.com/player/Austin-Wagner-8478455" xr:uid="{253F3586-03E8-401D-B958-0B8122D8BD7D}"/>
    <hyperlink ref="A12623" r:id="rId602" display="https://www.nhl.com/player/Greg-McKegg-8475735" xr:uid="{2510026F-E8DF-4FCA-86BA-E537ED109D55}"/>
    <hyperlink ref="A12644" r:id="rId603" display="https://www.nhl.com/player/Victor-Olofsson-8478109" xr:uid="{E22FD11E-CF80-407D-97FE-84B378C77285}"/>
    <hyperlink ref="A12665" r:id="rId604" display="https://www.nhl.com/player/Fredrik-Claesson-8476368" xr:uid="{B046BB49-3EF2-4DCE-A10B-E58D399062E5}"/>
    <hyperlink ref="A12686" r:id="rId605" display="https://www.nhl.com/player/Xavier-Ouellet-8476443" xr:uid="{E257BF7A-7093-4082-8D81-DC3030BDE533}"/>
    <hyperlink ref="A12707" r:id="rId606" display="https://www.nhl.com/player/Quinn-Hughes-8480800" xr:uid="{3BF3C731-46A6-4AFF-96B4-7AD5665A4FB2}"/>
    <hyperlink ref="A12728" r:id="rId607" display="https://www.nhl.com/player/Andy-Andreoff-8476404" xr:uid="{647CD736-FD7E-4F2E-B96F-A26512A662AA}"/>
    <hyperlink ref="A12749" r:id="rId608" display="https://www.nhl.com/player/Zac-Dalpe-8474610" xr:uid="{05699DF1-9237-48C9-AEFA-A9FE01E5F065}"/>
    <hyperlink ref="A12770" r:id="rId609" display="https://www.nhl.com/player/Adam-Gaudette-8478874" xr:uid="{43B48B08-F03A-4434-B6BB-C2CAA254C2B5}"/>
    <hyperlink ref="A12791" r:id="rId610" display="https://www.nhl.com/player/Tim-Heed-8475841" xr:uid="{111C08E5-0827-48AF-BBDD-E8F0C9419D6B}"/>
    <hyperlink ref="A12812" r:id="rId611" display="https://www.nhl.com/player/Frederik-Gauthier-8477512" xr:uid="{25C7ABB1-A3F0-4F9B-B198-239ECBB7D878}"/>
    <hyperlink ref="A12833" r:id="rId612" display="https://www.nhl.com/player/Joshua-Ho-Sang-8477959" xr:uid="{186EE088-3FEF-4A96-B489-E66ACA1ABC46}"/>
    <hyperlink ref="A12854" r:id="rId613" display="https://www.nhl.com/player/Korbinian-Holzer-8473560" xr:uid="{4358B3F8-9D29-4D6E-A90C-751A6B125A6E}"/>
    <hyperlink ref="A12875" r:id="rId614" display="https://www.nhl.com/player/Adam-Clendening-8476431" xr:uid="{DB1E183C-CADD-4C9B-9728-87742F0C9B0F}"/>
    <hyperlink ref="A12896" r:id="rId615" display="https://www.nhl.com/player/Christian-Djoos-8477043" xr:uid="{EC07B247-A4BA-4A3C-90AD-772CC94C70AB}"/>
    <hyperlink ref="A12917" r:id="rId616" display="https://www.nhl.com/player/Curtis-McKenzie-8475310" xr:uid="{28AAA75D-F961-4B03-857A-FB53289CADC3}"/>
    <hyperlink ref="A12938" r:id="rId617" display="https://www.nhl.com/player/Dennis-Cholowski-8479395" xr:uid="{0AE5B243-FAE4-4600-9EEF-852588233FC9}"/>
    <hyperlink ref="A12959" r:id="rId618" display="https://www.nhl.com/player/Andreas-Martinsen-8478561" xr:uid="{4131825C-868C-43A7-9291-2BEF3B6DD3B6}"/>
    <hyperlink ref="A12980" r:id="rId619" display="https://www.nhl.com/player/Brandon-Davidson-8475869" xr:uid="{7C208A7A-91A5-4220-AD69-AD12C23EE672}"/>
    <hyperlink ref="A13001" r:id="rId620" display="https://www.nhl.com/player/John-Hayden-8477401" xr:uid="{97FE6DEA-ABBA-4DC5-AE4E-B8416FBF5D5F}"/>
    <hyperlink ref="A13022" r:id="rId621" display="https://www.nhl.com/player/Jake-Dotchin-8477009" xr:uid="{8C495559-160C-4D94-8B9F-6A1C1E925587}"/>
    <hyperlink ref="A13043" r:id="rId622" display="https://www.nhl.com/player/Matt-Tennyson-8476807" xr:uid="{F98DC133-5D6A-4FE9-9D4A-F435C7FFA534}"/>
    <hyperlink ref="A13064" r:id="rId623" display="https://www.nhl.com/player/Cody-Goloubef-8474597" xr:uid="{72E44620-9586-4FFA-AD6A-15EC570B4E3A}"/>
    <hyperlink ref="A13085" r:id="rId624" display="https://www.nhl.com/player/Andrew-Mangiapane-8478233" xr:uid="{4F776A9B-9093-48A7-89C5-DCAB2C99B7FD}"/>
    <hyperlink ref="A13106" r:id="rId625" display="https://www.nhl.com/player/Anders-Bjork-8478075" xr:uid="{A8518FA8-DCF5-4E53-AB0D-70EDD502C813}"/>
    <hyperlink ref="A13127" r:id="rId626" display="https://www.nhl.com/player/Tanner-Kero-8478528" xr:uid="{DFEBD669-28D9-400D-97EB-FEA3ED4E05BC}"/>
    <hyperlink ref="A13148" r:id="rId627" display="https://www.nhl.com/player/Sean-Walker-8480336" xr:uid="{787FCF4B-D446-4B6B-A1FA-50841D95A5A3}"/>
    <hyperlink ref="A13169" r:id="rId628" display="https://www.nhl.com/player/Remi-Elie-8477461" xr:uid="{219345E0-A42B-43A6-B01D-ED436CAE8488}"/>
    <hyperlink ref="A13190" r:id="rId629" display="https://www.nhl.com/player/Slater-Koekkoek-8476886" xr:uid="{AD4F9C55-2C51-4FF1-820D-69B6BD89D2F7}"/>
    <hyperlink ref="A13211" r:id="rId630" display="https://www.nhl.com/player/Michael-Chaput-8475808" xr:uid="{623B534A-91CB-4FCD-8890-5D94BEE6D595}"/>
    <hyperlink ref="A13232" r:id="rId631" display="https://www.nhl.com/player/Gemel-Smith-8476966" xr:uid="{D086C96A-89EB-4F76-A1A2-A5938D6C1021}"/>
    <hyperlink ref="A13253" r:id="rId632" display="https://www.nhl.com/player/Tage-Thompson-8479420" xr:uid="{EB7216B4-17A2-4C61-B234-D79E2731A659}"/>
    <hyperlink ref="A13274" r:id="rId633" display="https://www.nhl.com/player/Sam-Steel-8479351" xr:uid="{CE1B58A4-913A-462B-A4B2-509411910E84}"/>
    <hyperlink ref="A13295" r:id="rId634" display="https://www.nhl.com/player/Steven-Santini-8477463" xr:uid="{B48FDFE3-785B-4022-BA99-7469BD3FD23D}"/>
    <hyperlink ref="A13316" r:id="rId635" display="https://www.nhl.com/player/Joakim-Ryan-8477046" xr:uid="{2C850FD5-5592-415E-8584-5B7A1437E062}"/>
    <hyperlink ref="A13337" r:id="rId636" display="https://www.nhl.com/player/Mirco-Mueller-8477509" xr:uid="{165EA4C0-00EE-4641-9A12-BF68B18E0F75}"/>
    <hyperlink ref="A13358" r:id="rId637" display="https://www.nhl.com/player/Anthony-Bitetto-8475868" xr:uid="{8D6B68C9-6B86-4A1C-A821-BC407042DFD2}"/>
    <hyperlink ref="A13379" r:id="rId638" display="https://www.nhl.com/player/Jayson-Megna-8477126" xr:uid="{B4E757EC-32E0-499A-A6F8-C54D1591B4AA}"/>
    <hyperlink ref="A13400" r:id="rId639" display="https://www.nhl.com/player/Chad-Ruhwedel-8477244" xr:uid="{9C803586-EB18-4B36-9E6D-59F394964704}"/>
    <hyperlink ref="A13421" r:id="rId640" display="https://www.nhl.com/player/Henri-Jokiharju-8480035" xr:uid="{55081E96-438A-4189-8BEC-A50A8CB7A5B3}"/>
    <hyperlink ref="A13442" r:id="rId641" display="https://www.nhl.com/player/Matt-Donovan-8474659" xr:uid="{FC1129CB-7973-43A5-907D-DC010F637689}"/>
    <hyperlink ref="A13463" r:id="rId642" display="https://www.nhl.com/player/Henrik-Borgstrom-8479404" xr:uid="{59019680-C13C-43E7-B649-01BBB7DF8601}"/>
    <hyperlink ref="A13484" r:id="rId643" display="https://www.nhl.com/player/Seth-Griffith-8476495" xr:uid="{E95DBDCC-F070-45EC-B310-584F8C744CBA}"/>
    <hyperlink ref="A13505" r:id="rId644" display="https://www.nhl.com/player/Troy-Terry-8478873" xr:uid="{D0FE8C2A-CC90-4F74-B74A-173B5E5BE548}"/>
    <hyperlink ref="A13526" r:id="rId645" display="https://www.nhl.com/player/Boo-Nieves-8476922" xr:uid="{8281406D-F4BC-4E9D-86D6-C3D3B0018D44}"/>
    <hyperlink ref="A13547" r:id="rId646" display="https://www.nhl.com/player/Michael-Rasmussen-8479992" xr:uid="{8FBCA871-2989-486E-A845-439D943A7F66}"/>
    <hyperlink ref="A13568" r:id="rId647" display="https://www.nhl.com/player/Martin-Necas-8480039" xr:uid="{E0216A14-86EA-492B-8B3C-916A538A0BAD}"/>
    <hyperlink ref="A13589" r:id="rId648" display="https://www.nhl.com/player/Paul-LaDue-8476983" xr:uid="{F012ED7C-1C45-474D-8B9B-3CDEA03CDD09}"/>
    <hyperlink ref="A13610" r:id="rId649" display="https://www.nhl.com/player/Casey-Nelson-8479268" xr:uid="{207A9591-F1A5-4F86-9D30-C2F734F99C60}"/>
    <hyperlink ref="A13631" r:id="rId650" display="https://www.nhl.com/player/Teddy-Blueger-8476927" xr:uid="{90BC4B57-B944-4DCC-9415-95A8728FF572}"/>
    <hyperlink ref="A13652" r:id="rId651" display="https://www.nhl.com/player/Phil-Varone-8475321" xr:uid="{9DE37356-0910-49D0-BA76-D67DDD2991E9}"/>
    <hyperlink ref="A13673" r:id="rId652" display="https://www.nhl.com/player/Nick-Paul-8477426" xr:uid="{4387B8EB-D539-4FBA-A0BA-F7DAC37218F3}"/>
    <hyperlink ref="A13694" r:id="rId653" display="https://www.nhl.com/player/Erik-Cernak-8478416" xr:uid="{5A4CD79B-5874-4C54-B73F-C7410578B77F}"/>
    <hyperlink ref="A13715" r:id="rId654" display="https://www.nhl.com/player/Matthew-Peca-8476285" xr:uid="{2457CA8D-978E-45B4-B252-9D73EA7FF6C4}"/>
    <hyperlink ref="A13736" r:id="rId655" display="https://www.nhl.com/player/Ilya-Mikheyev-8481624" xr:uid="{5E8A0C41-F64F-4B7C-8424-68DDDE237313}"/>
    <hyperlink ref="A13757" r:id="rId656" display="https://www.nhl.com/player/Matt-Puempel-8476477" xr:uid="{FA5549D5-FA0C-441B-9420-B6D696CD75F3}"/>
    <hyperlink ref="A13778" r:id="rId657" display="https://www.nhl.com/player/Paul-Carey-8474008" xr:uid="{C2A3528E-C324-4BC0-9075-FAC7D190FCE6}"/>
    <hyperlink ref="A13799" r:id="rId658" display="https://www.nhl.com/player/Alex-Nylander-8479423" xr:uid="{B149BC2E-EF69-4CB2-BA8D-E1FDF1789B1F}"/>
    <hyperlink ref="A13820" r:id="rId659" display="https://www.nhl.com/player/Brendan-Gaunce-8476867" xr:uid="{B0A2D0E5-9966-400F-B1CA-F74C06A2FF63}"/>
    <hyperlink ref="A13841" r:id="rId660" display="https://www.nhl.com/player/Byron-Froese-8475278" xr:uid="{00ACE094-639F-4451-BF79-8E60CFA22259}"/>
    <hyperlink ref="A13862" r:id="rId661" display="https://www.nhl.com/player/Sammy-Blais-8478104" xr:uid="{8AD9C485-48CD-4475-B867-C62FA235D201}"/>
    <hyperlink ref="A13883" r:id="rId662" display="https://www.nhl.com/player/Markus-Hannikainen-8478541" xr:uid="{8CE10886-1880-4CB8-9220-04F4BE0DB2E4}"/>
    <hyperlink ref="A13904" r:id="rId663" display="https://www.nhl.com/player/Jayce-Hawryluk-8477963" xr:uid="{13015735-9922-4D66-8EAF-5520CE153249}"/>
    <hyperlink ref="A13925" r:id="rId664" display="https://www.nhl.com/player/Maxime-Lajoie-8479320" xr:uid="{731BDB42-B810-485A-90BB-F98556A1756E}"/>
    <hyperlink ref="A13946" r:id="rId665" display="https://www.nhl.com/player/Valentin-Zykov-8477458" xr:uid="{BADFD644-904D-4C93-8AD2-FCC6106335F2}"/>
    <hyperlink ref="A13967" r:id="rId666" display="https://www.nhl.com/player/Christian-Wolanin-8478846" xr:uid="{112B51C1-5544-4FE6-AD3E-E9F02B77C3C1}"/>
    <hyperlink ref="A13988" r:id="rId667" display="https://www.nhl.com/player/Dryden-Hunt-8478211" xr:uid="{25EB146B-D0DA-4773-BB94-2C1CB9994A25}"/>
    <hyperlink ref="A14009" r:id="rId668" display="https://www.nhl.com/player/Ryan-Graves-8477435" xr:uid="{6D660071-3268-41A4-B597-5DDF0BCC084D}"/>
    <hyperlink ref="A14030" r:id="rId669" display="https://www.nhl.com/player/Nick-Suzuki-8480018" xr:uid="{9C7C5229-A97D-4708-900C-B4B6F9101407}"/>
    <hyperlink ref="A14051" r:id="rId670" display="https://www.nhl.com/player/Oscar-Fantenberg-8480147" xr:uid="{FEB2FF91-214E-48D3-89A0-13CB2A156F6A}"/>
    <hyperlink ref="A14072" r:id="rId671" display="https://www.nhl.com/player/Adam-Fox-8479323" xr:uid="{A9680DB2-6132-44D6-AF15-0057422903E2}"/>
    <hyperlink ref="A14093" r:id="rId672" display="https://www.nhl.com/player/Rudolfs-Balcers-8478870" xr:uid="{A7226E41-1230-4C14-BA7E-DF34ED609535}"/>
    <hyperlink ref="A14114" r:id="rId673" display="https://www.nhl.com/player/Taro-Hirose-8481433" xr:uid="{8BED611B-07D6-4656-AB2E-4E7D99939681}"/>
    <hyperlink ref="A14135" r:id="rId674" display="https://www.nhl.com/player/Par-Lindholm-8480944" xr:uid="{26F95B29-C926-4525-9FF8-94445BB2D8E5}"/>
    <hyperlink ref="A14156" r:id="rId675" display="https://www.nhl.com/player/Brian-Lashoff-8474873" xr:uid="{DF513F83-5E6A-48C9-A36E-4CBD45E957C3}"/>
    <hyperlink ref="A14177" r:id="rId676" display="https://www.nhl.com/player/Matt-Luff-8479644" xr:uid="{43994675-539E-4319-A1AB-07F41D364BF1}"/>
    <hyperlink ref="A14198" r:id="rId677" display="https://www.nhl.com/player/TJ-Brennan-8474113" xr:uid="{D26FC201-0829-4713-9219-6D7720D2A8E0}"/>
    <hyperlink ref="A14219" r:id="rId678" display="https://www.nhl.com/player/Ethan-Bear-8478451" xr:uid="{2C0A0502-A2C7-4669-9BBD-7A341C54E05C}"/>
    <hyperlink ref="A14240" r:id="rId679" display="https://www.nhl.com/player/Brett-Seney-8478881" xr:uid="{7276A5C3-A65C-488B-9EF8-DFFC236CD26C}"/>
    <hyperlink ref="A14261" r:id="rId680" display="https://www.nhl.com/player/Trevor-Moore-8479675" xr:uid="{C07A9B04-81CC-442C-9E13-4B867C44B9C3}"/>
    <hyperlink ref="A14282" r:id="rId681" display="https://www.nhl.com/player/Zach-Trotman-8475902" xr:uid="{ECB830C6-B34E-4DBB-8C22-EAE3D1584EE5}"/>
    <hyperlink ref="A14303" r:id="rId682" display="https://www.nhl.com/player/Luke-Witkowski-8474722" xr:uid="{82B6E689-E259-4DDD-AA97-8D30861AA818}"/>
    <hyperlink ref="A14324" r:id="rId683" display="https://www.nhl.com/player/Haydn-Fleury-8477938" xr:uid="{39D240D7-3835-4F5B-8658-71A7AD30E664}"/>
    <hyperlink ref="A14345" r:id="rId684" display="https://www.nhl.com/player/Radim-Simek-8480160" xr:uid="{536BF79A-AD0E-4D21-99FC-25B4DF8F6207}"/>
    <hyperlink ref="A14366" r:id="rId685" display="https://www.nhl.com/player/Kevin-Gravel-8475857" xr:uid="{C027D543-2759-4F1F-8177-6A94EF81FCFA}"/>
    <hyperlink ref="A14387" r:id="rId686" display="https://www.nhl.com/player/Jonny-Brodzinski-8477380" xr:uid="{8044FCF6-F151-47E6-9E31-BCFDFE04D0F6}"/>
    <hyperlink ref="A14408" r:id="rId687" display="https://www.nhl.com/player/Kiefer-Sherwood-8480748" xr:uid="{177F3E2A-47B5-432C-893B-8898FE02B288}"/>
    <hyperlink ref="A14429" r:id="rId688" display="https://www.nhl.com/player/Denis-Gurianov-8478495" xr:uid="{728138F3-366C-4D72-9CF4-47C739FAB99D}"/>
    <hyperlink ref="A14450" r:id="rId689" display="https://www.nhl.com/player/Nikita-Gusev-8477038" xr:uid="{FE1E6726-2BA2-47FE-AFAC-552AEEFA3E67}"/>
    <hyperlink ref="A14471" r:id="rId690" display="https://www.nhl.com/player/Matt-Roy-8478911" xr:uid="{712073B3-8681-4D01-987E-8EFD3D6B909D}"/>
    <hyperlink ref="A14492" r:id="rId691" display="https://www.nhl.com/player/Max-Comtois-8480031" xr:uid="{E161A043-A89B-48FA-A28A-87C8D532F13B}"/>
    <hyperlink ref="A14513" r:id="rId692" display="https://www.nhl.com/player/Dean-Kukan-8478567" xr:uid="{9F6C20A0-7293-41DD-B826-0625FFB87217}"/>
    <hyperlink ref="A14534" r:id="rId693" display="https://www.nhl.com/player/Tyler-Graovac-8476344" xr:uid="{009D351A-8B84-42C2-863C-C401914226CA}"/>
    <hyperlink ref="A14555" r:id="rId694" display="https://www.nhl.com/player/Mackenzie-MacEachern-8476907" xr:uid="{ADC72AD8-00C8-4F3B-97A2-5EF52531342C}"/>
    <hyperlink ref="A14576" r:id="rId695" display="https://www.nhl.com/player/Lukas-Radil-8480780" xr:uid="{14316B6C-B33B-4DE3-96A4-B16C34A6472B}"/>
    <hyperlink ref="A14597" r:id="rId696" display="https://www.nhl.com/player/Kevin-Rooney-8479291" xr:uid="{9A2F426D-91FC-4870-857D-B3A496D1AD5A}"/>
    <hyperlink ref="A14618" r:id="rId697" display="https://www.nhl.com/player/Kaapo-Kakko-8481554" xr:uid="{29092553-BA10-4FBD-A2B8-325CD37F6B0D}"/>
    <hyperlink ref="A14639" r:id="rId698" display="https://www.nhl.com/player/Ross-Johnston-8477527" xr:uid="{D940ACD6-AC77-49FA-9A6F-6A3BF09744DF}"/>
    <hyperlink ref="A14660" r:id="rId699" display="https://www.nhl.com/player/Peter-Cehlarik-8477417" xr:uid="{CBAD9E2E-EC4D-4545-9883-ECE2A7F05406}"/>
    <hyperlink ref="A14681" r:id="rId700" display="https://www.nhl.com/player/Jack-Hughes-8481559" xr:uid="{35BA3FBF-088D-4E8A-A29E-DFE3EACA7AD2}"/>
    <hyperlink ref="A14702" r:id="rId701" display="https://www.nhl.com/player/Philippe-Myers-8479026" xr:uid="{B43B579A-26F4-4E28-A498-4FB3195B0027}"/>
    <hyperlink ref="A14723" r:id="rId702" display="https://www.nhl.com/player/Justin-Holl-8475718" xr:uid="{E2CE6ED4-E00D-4668-8E7D-DCAD6A3AB857}"/>
    <hyperlink ref="A14744" r:id="rId703" display="https://www.nhl.com/player/Andreas-Borgman-8480158" xr:uid="{E3C10DB6-7654-4AC9-B173-766713A2A759}"/>
    <hyperlink ref="A14765" r:id="rId704" display="https://www.nhl.com/player/John-Marino-8478507" xr:uid="{BAE431F0-378A-4D18-A276-FA06527F4F64}"/>
    <hyperlink ref="A14786" r:id="rId705" display="https://www.nhl.com/player/Nick-Seeler-8476372" xr:uid="{CC64189D-1979-4BA3-852C-839FBC95D847}"/>
    <hyperlink ref="A14807" r:id="rId706" display="https://www.nhl.com/player/David-Warsofsky-8474660" xr:uid="{2BA0498A-303E-4576-8056-09BC7BE4813D}"/>
    <hyperlink ref="A14828" r:id="rId707" display="https://www.nhl.com/player/Tucker-Poolman-8477359" xr:uid="{9249F187-2DA8-4F1E-9FAE-DEB882584CBD}"/>
    <hyperlink ref="A14849" r:id="rId708" display="https://www.nhl.com/player/Dylan-Sikura-8478106" xr:uid="{7E519C98-15EB-45FB-8727-955C92186D5A}"/>
    <hyperlink ref="A14870" r:id="rId709" display="https://www.nhl.com/player/Gustav-Olofsson-8477467" xr:uid="{B8E09139-5301-4D16-94A0-84077F4C9A18}"/>
    <hyperlink ref="A14891" r:id="rId710" display="https://www.nhl.com/player/Max-McCormick-8476323" xr:uid="{A9C7F1DC-EA95-494B-B6AD-22F720F46B59}"/>
    <hyperlink ref="A14912" r:id="rId711" display="https://www.nhl.com/player/Dominik-Kubalik-8477330" xr:uid="{492860AC-478F-49D0-87A2-80C27E3E040E}"/>
    <hyperlink ref="A14933" r:id="rId712" display="https://www.nhl.com/player/Max-Jones-8479368" xr:uid="{DE0F5649-8050-4D5E-A542-9126C3FFDF1B}"/>
    <hyperlink ref="A14954" r:id="rId713" display="https://www.nhl.com/player/Kirby-Dach-8481523" xr:uid="{9B5863EA-83FD-4D79-AFA9-640F0C667DF3}"/>
    <hyperlink ref="A14975" r:id="rId714" display="https://www.nhl.com/player/Carl-Grundstrom-8479336" xr:uid="{4B6FB6CC-4814-4095-A3DF-98D9A1BB1653}"/>
    <hyperlink ref="A14996" r:id="rId715" display="https://www.nhl.com/player/Filip-Chlapik-8478488" xr:uid="{5F1438A6-DB09-4DB3-92CF-25D68EFB4FBA}"/>
    <hyperlink ref="A15017" r:id="rId716" display="https://www.nhl.com/player/Cody-Glass-8479996" xr:uid="{FA6C5C27-B823-48D8-B2E6-12BD1D250A88}"/>
    <hyperlink ref="A15038" r:id="rId717" display="https://www.nhl.com/player/Joseph-Cramarossa-8476390" xr:uid="{19B0EEAC-40D1-4DAA-8B6F-1C5664B7DC42}"/>
    <hyperlink ref="A15059" r:id="rId718" display="https://www.nhl.com/player/Sam-Lafferty-8478043" xr:uid="{6A8550CE-E4D7-445E-AFB7-854B5E25AC90}"/>
    <hyperlink ref="A15080" r:id="rId719" display="https://www.nhl.com/player/Michael-Dal Colle-8477936" xr:uid="{3DED7107-D16C-485A-A9C4-2363FEC8758E}"/>
    <hyperlink ref="A15101" r:id="rId720" display="https://www.nhl.com/player/Joel-Farabee-8480797" xr:uid="{0BD7A11C-0F33-4DA0-A106-B869BE069666}"/>
    <hyperlink ref="A15122" r:id="rId721" display="https://www.nhl.com/player/Chris-Mueller-8474535" xr:uid="{316250F2-59D6-49F9-930F-CA75AD5491B3}"/>
    <hyperlink ref="A15143" r:id="rId722" display="https://www.nhl.com/player/Mason-Appleton-8478891" xr:uid="{B5AE0117-FE72-4120-92E6-DD9E719CA56B}"/>
    <hyperlink ref="A15164" r:id="rId723" display="https://www.nhl.com/player/Blake-Lizotte-8481481" xr:uid="{440D7122-128F-4897-9073-56BCB868FDEC}"/>
    <hyperlink ref="A15185" r:id="rId724" display="https://www.nhl.com/player/Oliver-Kylington-8478430" xr:uid="{22DA7CFE-0385-4CB4-9A9A-88D165650EB9}"/>
    <hyperlink ref="A15206" r:id="rId725" display="https://www.nhl.com/player/Michael-Sgarbossa-8475958" xr:uid="{DA0B8173-527C-4DD9-B2AD-810D0F6B813B}"/>
    <hyperlink ref="A15227" r:id="rId726" display="https://www.nhl.com/player/Christian-Jaros-8478868" xr:uid="{3BF667E5-0EDD-434D-9602-37439AB4F41D}"/>
    <hyperlink ref="A15248" r:id="rId727" display="https://www.nhl.com/player/Brendan-Guhle-8478425" xr:uid="{1C2B640B-DD94-4CFD-AF73-7417DA9ADB3C}"/>
    <hyperlink ref="A15269" r:id="rId728" display="https://www.nhl.com/player/Justin-Bailey-8477473" xr:uid="{7FA3C27E-4788-4E7F-A2E7-0013FC6069DA}"/>
    <hyperlink ref="A15290" r:id="rId729" display="https://www.nhl.com/player/Gabriel-Dumont-8475254" xr:uid="{B275C213-E8BC-4AFD-9C42-4E0839447C90}"/>
    <hyperlink ref="A15311" r:id="rId730" display="https://www.nhl.com/player/Colby-Cave-8477529" xr:uid="{A4F8AE1A-6632-4370-807D-3E60E843B543}"/>
    <hyperlink ref="A15332" r:id="rId731" display="https://www.nhl.com/player/Christoffer-Ehn-8478036" xr:uid="{A36A3D58-F080-40D3-ABF9-6615A02A9C9F}"/>
    <hyperlink ref="A15353" r:id="rId732" display="https://www.nhl.com/player/Vladislav-Kamenev-8477973" xr:uid="{93350740-A13A-4776-8AC3-4F5176F1AF53}"/>
    <hyperlink ref="A15374" r:id="rId733" display="https://www.nhl.com/player/Drake-Batherson-8480208" xr:uid="{91DEBAA0-0578-476B-97D8-D60AEC601576}"/>
    <hyperlink ref="A15395" r:id="rId734" display="https://www.nhl.com/player/Antti-Suomela-8480965" xr:uid="{3F1E24D2-906A-4F3C-AEA7-1A927270CC69}"/>
    <hyperlink ref="A15416" r:id="rId735" display="https://www.nhl.com/player/Emil-Bemstrom-8480205" xr:uid="{42D535BD-7952-4E48-A6CA-A04EE17E74C0}"/>
    <hyperlink ref="A15437" r:id="rId736" display="https://www.nhl.com/player/Lias-Andersson-8480072" xr:uid="{4DDA8BAD-ED11-4B32-9491-83786F60A75F}"/>
    <hyperlink ref="A15458" r:id="rId737" display="https://www.nhl.com/player/Jakob-Forsbacka Karlsson-8478417" xr:uid="{59065706-102B-4F2E-8C12-3DDDBEE8E5FE}"/>
    <hyperlink ref="A15479" r:id="rId738" display="https://www.nhl.com/player/Josh-Mahura-8479372" xr:uid="{E2CDF310-0236-45A9-BD00-E423F1EAB6B2}"/>
    <hyperlink ref="A15500" r:id="rId739" display="https://www.nhl.com/player/Jonas-Siegenthaler-8478399" xr:uid="{46E1626E-0C62-449C-8FE7-85FE2411C77D}"/>
    <hyperlink ref="A15521" r:id="rId740" display="https://www.nhl.com/player/Carl-Dahlstrom-8477472" xr:uid="{34C6FCC4-5170-432E-88D5-11EF055986B4}"/>
    <hyperlink ref="A15542" r:id="rId741" display="https://www.nhl.com/player/Nick-Lappin-8479250" xr:uid="{85776624-D0E0-41D2-8CE5-E2BC8BFFBC38}"/>
    <hyperlink ref="A15563" r:id="rId742" display="https://www.nhl.com/player/Frederick-Gaudreau-8477919" xr:uid="{AFB2735A-5376-4E9C-BD86-057413B410BF}"/>
    <hyperlink ref="A15584" r:id="rId743" display="https://www.nhl.com/player/Kurtis-MacDermid-8477073" xr:uid="{E81CD8C8-B3BC-4CD2-890C-D4E2557546C6}"/>
    <hyperlink ref="A15605" r:id="rId744" display="https://www.nhl.com/player/Ben-Street-8476043" xr:uid="{9989C02B-8B82-4345-8F65-88D7A70AD302}"/>
    <hyperlink ref="A15626" r:id="rId745" display="https://www.nhl.com/player/Tanner-Fritz-8479206" xr:uid="{0F456136-A0CE-457F-BA48-BF94FEB3FDCB}"/>
    <hyperlink ref="A15647" r:id="rId746" display="https://www.nhl.com/player/Michael-McCarron-8477446" xr:uid="{4851A7F5-E315-48C7-9E5D-B7CE6C8A1713}"/>
    <hyperlink ref="A15668" r:id="rId747" display="https://www.nhl.com/player/Garrett-Wilson-8475253" xr:uid="{207E49EB-681C-4A90-9945-C66F539A9509}"/>
    <hyperlink ref="A15689" r:id="rId748" display="https://www.nhl.com/player/Noah-Juulsen-8478454" xr:uid="{FA59B371-4E49-4B27-BF71-B606A986443E}"/>
    <hyperlink ref="A15710" r:id="rId749" display="https://www.nhl.com/player/Vinni-Lettieri-8479968" xr:uid="{CAB87225-6DA2-4FE8-9BA3-84CDA23869D7}"/>
    <hyperlink ref="A15731" r:id="rId750" display="https://www.nhl.com/player/Jacob-Larsson-8478491" xr:uid="{0426C530-AF4F-4A19-80EB-859582B647FF}"/>
    <hyperlink ref="A15752" r:id="rId751" display="https://www.nhl.com/player/Joel-Hanley-8477810" xr:uid="{4DEB832C-691D-40C5-8478-89105FE57A22}"/>
    <hyperlink ref="A15773" r:id="rId752" display="https://www.nhl.com/player/Kevin-Roy-8476971" xr:uid="{C2D506FA-51C5-4C39-8A4B-F064F6EDCF29}"/>
    <hyperlink ref="A15794" r:id="rId753" display="https://www.nhl.com/player/Jean-Sebastien-Dea-8477520" xr:uid="{49206221-2673-4345-B83C-5731B8664968}"/>
    <hyperlink ref="A15815" r:id="rId754" display="https://www.nhl.com/player/Jordan-Szwarz-8475224" xr:uid="{4A6D699F-1321-49CD-ACD8-5336E71D8A91}"/>
    <hyperlink ref="A15836" r:id="rId755" display="https://www.nhl.com/player/Joey-Anderson-8479315" xr:uid="{8AC6075F-0996-4488-8DE0-4730B7DC4A34}"/>
    <hyperlink ref="A15857" r:id="rId756" display="https://www.nhl.com/player/Ian-McCoshen-8477452" xr:uid="{84243CB2-00A7-4EA6-A7D0-F964FDEE491F}"/>
    <hyperlink ref="A15878" r:id="rId757" display="https://www.nhl.com/player/Dillon-Dube-8479346" xr:uid="{30C64427-9872-4C87-9B7E-0A0932F1B965}"/>
    <hyperlink ref="A15899" r:id="rId758" display="https://www.nhl.com/player/Dante-Fabbro-8479371" xr:uid="{A73F50A8-4A63-45C4-8A09-A6BE04A7722B}"/>
    <hyperlink ref="A15920" r:id="rId759" display="https://www.nhl.com/player/Justin-Dowling-8475413" xr:uid="{A82FDBCA-4718-478E-81DB-5F521BE71449}"/>
    <hyperlink ref="A15941" r:id="rId760" display="https://www.nhl.com/player/Aaron-Ness-8474604" xr:uid="{1027BD1F-D809-4487-B757-F83D67E7BA8C}"/>
    <hyperlink ref="A15962" r:id="rId761" display="https://www.nhl.com/player/Ben-Harpur-8477433" xr:uid="{1451B44E-4D2B-4949-9937-C6344832E387}"/>
    <hyperlink ref="A15983" r:id="rId762" display="https://www.nhl.com/player/Logan-Brown-8479366" xr:uid="{70210792-A546-47AE-A303-9B5D252A06C9}"/>
    <hyperlink ref="A16004" r:id="rId763" display="https://www.nhl.com/player/Alexandre-Texier-8480074" xr:uid="{A2EB33E7-8D14-4C38-82A5-D7C333CE7DA3}"/>
    <hyperlink ref="A16025" r:id="rId764" display="https://www.nhl.com/player/Alexandre-Fortin-8479657" xr:uid="{8C3910E3-7738-44F5-BD42-1915A5556548}"/>
    <hyperlink ref="A16046" r:id="rId765" display="https://www.nhl.com/player/Sheldon-Dries-8480326" xr:uid="{5702C42A-DB06-4767-A5CC-EA8C43D5DA3E}"/>
    <hyperlink ref="A16067" r:id="rId766" display="https://www.nhl.com/player/Juuso-Riikola-8480945" xr:uid="{9D929533-9AE4-4494-AE25-7BF7EBDB5C29}"/>
    <hyperlink ref="A16088" r:id="rId767" display="https://www.nhl.com/player/Dmytro-Timashov-8478857" xr:uid="{32F5E528-303E-42FA-80EF-35A27A024795}"/>
    <hyperlink ref="A16109" r:id="rId768" display="https://www.nhl.com/player/Dylan-Gambrell-8479580" xr:uid="{626D7F4D-AA90-42FB-B17D-DD7EDFEA73D3}"/>
    <hyperlink ref="A16130" r:id="rId769" display="https://www.nhl.com/player/Caleb-Jones-8478452" xr:uid="{498E1A94-AC13-4B43-AE7A-FECAFAC2C409}"/>
    <hyperlink ref="A16151" r:id="rId770" display="https://www.nhl.com/player/A.J.-Greer-8478421" xr:uid="{523816B8-B725-467D-AC57-18FDEE42E319}"/>
    <hyperlink ref="A16172" r:id="rId771" display="https://www.nhl.com/player/Andy-Welinski-8476407" xr:uid="{3BDC07AB-E2E4-44CF-ABB5-40BB1A68A186}"/>
    <hyperlink ref="A16193" r:id="rId772" display="https://www.nhl.com/player/Lawrence-Pilut-8480935" xr:uid="{4456D386-C403-43A4-BC2D-BB33FFC43358}"/>
    <hyperlink ref="A16214" r:id="rId773" display="https://www.nhl.com/player/Ryan-Lindgren-8479324" xr:uid="{BFC120AB-DCB2-41D3-9F5A-7897EC3F3013}"/>
    <hyperlink ref="A16235" r:id="rId774" display="https://www.nhl.com/player/Libor-Hajek-8479333" xr:uid="{C0C12DB7-5B82-416B-AF6D-89CB60E706D3}"/>
    <hyperlink ref="A16256" r:id="rId775" display="https://www.nhl.com/player/Jarred-Tinordi-8475797" xr:uid="{8AE1CA21-EA1F-440F-BBB0-96C933606CD8}"/>
    <hyperlink ref="A16277" r:id="rId776" display="https://www.nhl.com/player/Nikolai-Prokhorkin-8476947" xr:uid="{0D2849DC-193F-4792-82E7-B30ACB989E54}"/>
    <hyperlink ref="A16298" r:id="rId777" display="https://www.nhl.com/player/Dylan-McIlrath-8475795" xr:uid="{51B6D356-0057-49AA-BF5D-BCE3A087DCA7}"/>
    <hyperlink ref="A16319" r:id="rId778" display="https://www.nhl.com/player/Dominic-Toninato-8476952" xr:uid="{6ED5EFBC-CDC4-4BED-B09B-B80117C2831C}"/>
    <hyperlink ref="A16340" r:id="rId779" display="https://www.nhl.com/player/Karson-Kuhlman-8480901" xr:uid="{D8052A6B-3385-4237-B1CB-58F9BC970DA2}"/>
    <hyperlink ref="A16361" r:id="rId780" display="https://www.nhl.com/player/Kurtis-Gabriel-8476545" xr:uid="{F37FB1DC-AA08-47DA-9A7B-01CC78958A1F}"/>
    <hyperlink ref="A16382" r:id="rId781" display="https://www.nhl.com/player/Kyle-Rau-8476415" xr:uid="{F1813868-51A9-4A72-B1BF-26D90AE24F68}"/>
    <hyperlink ref="A16403" r:id="rId782" display="https://www.nhl.com/player/Gaetan-Haas-8481813" xr:uid="{08AA1B9D-1FF2-4AB6-8F63-AC7AFD1181D5}"/>
    <hyperlink ref="A16424" r:id="rId783" display="https://www.nhl.com/player/Josh-Currie-8477680" xr:uid="{2247E96B-11BF-4063-9104-39BCB151232C}"/>
    <hyperlink ref="A16445" r:id="rId784" display="https://www.nhl.com/player/Josh-Brown-8477384" xr:uid="{D3C95388-06A1-4613-A1E3-DCDEC6930C85}"/>
    <hyperlink ref="A16466" r:id="rId785" display="https://www.nhl.com/player/John-Gilmour-8477337" xr:uid="{739F410C-CF90-4721-A703-91AF2020F3E0}"/>
    <hyperlink ref="A16487" r:id="rId786" display="https://www.nhl.com/player/Cameron-Gaunce-8474611" xr:uid="{CE0F5952-C1BE-4C2B-900C-826FA629BC22}"/>
    <hyperlink ref="A16508" r:id="rId787" display="https://www.nhl.com/player/John-Quenneville-8477961" xr:uid="{638D6BC1-5DEF-45AF-9646-65654DC07FF5}"/>
    <hyperlink ref="A16529" r:id="rId788" display="https://www.nhl.com/player/Sami-Niku-8478915" xr:uid="{5919291A-3CE0-4DE2-93F5-B18ADCE7771B}"/>
    <hyperlink ref="A16550" r:id="rId789" display="https://www.nhl.com/player/Gavin-Bayreuther-8479945" xr:uid="{9C420302-949E-4D50-8567-9057E98C7B83}"/>
    <hyperlink ref="A16571" r:id="rId790" display="https://www.nhl.com/player/Andrew-Agozzino-8475461" xr:uid="{8338C714-BE73-4F1C-9426-217C05FACD84}"/>
    <hyperlink ref="A16592" r:id="rId791" display="https://www.nhl.com/player/Ville-Heinola-8481572" xr:uid="{4B15B59A-46EE-4FC8-B2D0-1CBC794F5BE8}"/>
    <hyperlink ref="A16613" r:id="rId792" display="https://www.nhl.com/player/Jaycob-Megna-8477034" xr:uid="{58DA6D66-723A-4720-AB6E-1468DC94701F}"/>
    <hyperlink ref="A16634" r:id="rId793" display="https://www.nhl.com/player/Filip-Zadina-8480821" xr:uid="{DDD2B0A3-E61F-4FB2-928A-5DAA53E9B22D}"/>
    <hyperlink ref="A16655" r:id="rId794" display="https://www.nhl.com/player/Danny-O'Regan-8476982" xr:uid="{232CD596-6439-4764-A3C4-F6CEC56EA214}"/>
    <hyperlink ref="A16676" r:id="rId795" display="https://www.nhl.com/player/Kailer-Yamamoto-8479977" xr:uid="{CCB99A7B-E365-4959-8A1F-577EC53E542F}"/>
    <hyperlink ref="A16697" r:id="rId796" display="https://www.nhl.com/player/Jordan-Schmaltz-8476877" xr:uid="{A3024B26-8B56-4F6E-A1CD-3828A703303E}"/>
    <hyperlink ref="A16718" r:id="rId797" display="https://www.nhl.com/player/Joe-Hicketts-8478176" xr:uid="{33B6F753-0D5C-46DB-B835-3A7BFF7B5AEC}"/>
    <hyperlink ref="A16739" r:id="rId798" display="https://www.nhl.com/player/Mario-Ferraro-8479983" xr:uid="{B16E0EB5-2D82-4CA9-B677-F658519E1C3E}"/>
    <hyperlink ref="A16760" r:id="rId799" display="https://www.nhl.com/player/Ilya-Lyubushkin-8480950" xr:uid="{AB432C2E-DC56-442F-9441-4EA426135122}"/>
    <hyperlink ref="A16781" r:id="rId800" display="https://www.nhl.com/player/Tyler-Wotherspoon-8476452" xr:uid="{AD11E798-0E0E-44D5-86FC-7B8D7C36AC38}"/>
    <hyperlink ref="A16802" r:id="rId801" display="https://www.nhl.com/player/Joel-Hanley-8477810" xr:uid="{0310C4DE-3D1A-4499-9702-DF2574FED98B}"/>
    <hyperlink ref="A16823" r:id="rId802" display="https://www.nhl.com/player/Kevin-Roy-8476971" xr:uid="{9AE0474F-9B9B-4922-8A6A-A8E129CFE1C8}"/>
    <hyperlink ref="A16844" r:id="rId803" display="https://www.nhl.com/player/Jean-Sebastien-Dea-8477520" xr:uid="{7FA95B84-D557-4C1C-8AD3-78AA2902A69E}"/>
    <hyperlink ref="A16865" r:id="rId804" display="https://www.nhl.com/player/Jordan-Szwarz-8475224" xr:uid="{46BB72FE-93E8-4FBC-97F5-7BEDE0850BF5}"/>
    <hyperlink ref="A16886" r:id="rId805" display="https://www.nhl.com/player/Joey-Anderson-8479315" xr:uid="{6B8B4774-D217-4618-8264-48B773589D3D}"/>
    <hyperlink ref="A16907" r:id="rId806" display="https://www.nhl.com/player/Ian-McCoshen-8477452" xr:uid="{38F0A4B9-15DA-43A8-B5C0-02A08E671689}"/>
    <hyperlink ref="A16928" r:id="rId807" display="https://www.nhl.com/player/Dillon-Dube-8479346" xr:uid="{A56DEFC8-D321-43A4-809F-B48D91673EBA}"/>
    <hyperlink ref="A16949" r:id="rId808" display="https://www.nhl.com/player/Dante-Fabbro-8479371" xr:uid="{06FFEAF9-52EC-4D0E-9A8A-CF1CA5EBC1C4}"/>
    <hyperlink ref="A16970" r:id="rId809" display="https://www.nhl.com/player/Justin-Dowling-8475413" xr:uid="{DEADE094-513A-44DB-9B05-9AAA2C9813F1}"/>
    <hyperlink ref="A16991" r:id="rId810" display="https://www.nhl.com/player/Aaron-Ness-8474604" xr:uid="{7B1E52A7-7849-4850-A79A-B0E6E31D71FE}"/>
    <hyperlink ref="A17012" r:id="rId811" display="https://www.nhl.com/player/Ben-Harpur-8477433" xr:uid="{064DB59A-2D29-4306-9B52-F1FA9CA6DE58}"/>
    <hyperlink ref="A17033" r:id="rId812" display="https://www.nhl.com/player/Logan-Brown-8479366" xr:uid="{44CDD9E7-3238-4F56-AF18-3953DE452141}"/>
    <hyperlink ref="A17054" r:id="rId813" display="https://www.nhl.com/player/Alexandre-Texier-8480074" xr:uid="{38F9D27F-07C3-44E8-87E2-4DEE61D2FE82}"/>
    <hyperlink ref="A17075" r:id="rId814" display="https://www.nhl.com/player/Alexandre-Fortin-8479657" xr:uid="{B8A15CD6-0BD5-41D5-B3FF-CE1F463BFA92}"/>
    <hyperlink ref="A17096" r:id="rId815" display="https://www.nhl.com/player/Sheldon-Dries-8480326" xr:uid="{41472781-2021-46F7-9B7A-97B0EC7C6B38}"/>
    <hyperlink ref="A17117" r:id="rId816" display="https://www.nhl.com/player/Juuso-Riikola-8480945" xr:uid="{EBA69F4D-6CF5-4358-9377-78F2D45A276F}"/>
    <hyperlink ref="A17138" r:id="rId817" display="https://www.nhl.com/player/Dmytro-Timashov-8478857" xr:uid="{6D44238A-8C7F-4D87-ACA3-D5CABCF0AAB9}"/>
    <hyperlink ref="A17159" r:id="rId818" display="https://www.nhl.com/player/Dylan-Gambrell-8479580" xr:uid="{BCFAA80D-11FA-4FA9-9B06-50F981B62864}"/>
    <hyperlink ref="A17180" r:id="rId819" display="https://www.nhl.com/player/Caleb-Jones-8478452" xr:uid="{DF15D0B2-F5FE-4B44-B69B-B7C9DEFF18C0}"/>
    <hyperlink ref="A17201" r:id="rId820" display="https://www.nhl.com/player/A.J.-Greer-8478421" xr:uid="{21E3CD58-E773-4F47-AFBC-4FDE50D390DE}"/>
    <hyperlink ref="A17222" r:id="rId821" display="https://www.nhl.com/player/Andy-Welinski-8476407" xr:uid="{D65B1536-5FBF-4ED9-BEEE-E9CC3809935C}"/>
    <hyperlink ref="A17243" r:id="rId822" display="https://www.nhl.com/player/Lawrence-Pilut-8480935" xr:uid="{405FE7EC-24B0-42E7-B97D-5EA9276473F5}"/>
    <hyperlink ref="A17264" r:id="rId823" display="https://www.nhl.com/player/Ryan-Lindgren-8479324" xr:uid="{81D22BCE-A850-44D3-B7F5-FDF608E38692}"/>
    <hyperlink ref="A17285" r:id="rId824" display="https://www.nhl.com/player/Libor-Hajek-8479333" xr:uid="{60286985-5EBB-49DB-A2A9-49C1A72C7C63}"/>
    <hyperlink ref="A17306" r:id="rId825" display="https://www.nhl.com/player/Jarred-Tinordi-8475797" xr:uid="{D173C36C-9C9B-493D-B77C-7C747CC48490}"/>
    <hyperlink ref="A17327" r:id="rId826" display="https://www.nhl.com/player/Nikolai-Prokhorkin-8476947" xr:uid="{D6880DE2-B486-4639-B5A1-A124C371A42C}"/>
    <hyperlink ref="A17348" r:id="rId827" display="https://www.nhl.com/player/Dylan-McIlrath-8475795" xr:uid="{BEA8E45B-C867-46E3-8ACF-4143D84EF917}"/>
    <hyperlink ref="A17369" r:id="rId828" display="https://www.nhl.com/player/Dominic-Toninato-8476952" xr:uid="{704C371E-705F-4499-92EA-0760D9DCAEFB}"/>
    <hyperlink ref="A17390" r:id="rId829" display="https://www.nhl.com/player/Karson-Kuhlman-8480901" xr:uid="{DBCEF421-9842-4E5D-A7EE-1A749BA5E50C}"/>
    <hyperlink ref="A17411" r:id="rId830" display="https://www.nhl.com/player/Kurtis-Gabriel-8476545" xr:uid="{B5E753DF-294B-4FE9-9C5B-19ABF7ED84EC}"/>
    <hyperlink ref="A17432" r:id="rId831" display="https://www.nhl.com/player/Kyle-Rau-8476415" xr:uid="{439E7D12-0C8A-4EFF-83ED-6CC93B7183C1}"/>
    <hyperlink ref="A17453" r:id="rId832" display="https://www.nhl.com/player/Gaetan-Haas-8481813" xr:uid="{ADBCE037-72A5-42FD-9103-6F9F04265509}"/>
    <hyperlink ref="A17474" r:id="rId833" display="https://www.nhl.com/player/Josh-Currie-8477680" xr:uid="{5D734E99-9E80-4AF9-B5F4-8732DBF05341}"/>
    <hyperlink ref="A17495" r:id="rId834" display="https://www.nhl.com/player/Josh-Brown-8477384" xr:uid="{96B87412-5E46-4F8D-9A03-990C365359AB}"/>
    <hyperlink ref="A17516" r:id="rId835" display="https://www.nhl.com/player/John-Gilmour-8477337" xr:uid="{A239BBB2-04C1-4B6D-920C-2C4844A523F4}"/>
    <hyperlink ref="A17537" r:id="rId836" display="https://www.nhl.com/player/Cameron-Gaunce-8474611" xr:uid="{DE230C1F-8773-4AC4-AA01-91F5519BF26F}"/>
    <hyperlink ref="A17558" r:id="rId837" display="https://www.nhl.com/player/John-Quenneville-8477961" xr:uid="{F7C6CB7D-D55E-4A75-BEBF-EDC306C33E8C}"/>
    <hyperlink ref="A17579" r:id="rId838" display="https://www.nhl.com/player/Sami-Niku-8478915" xr:uid="{ED8E3166-E549-469F-9028-46BDF31C087D}"/>
    <hyperlink ref="A17600" r:id="rId839" display="https://www.nhl.com/player/Gavin-Bayreuther-8479945" xr:uid="{0D364B52-AFA0-4A42-BDB8-71D7E1B0C8C2}"/>
    <hyperlink ref="A17621" r:id="rId840" display="https://www.nhl.com/player/Andrew-Agozzino-8475461" xr:uid="{2D271B55-D378-40DD-9E64-83BF30F87D8E}"/>
    <hyperlink ref="A17642" r:id="rId841" display="https://www.nhl.com/player/Ville-Heinola-8481572" xr:uid="{4861CE80-3195-452E-ABDD-FF60AA264A30}"/>
    <hyperlink ref="A17663" r:id="rId842" display="https://www.nhl.com/player/Jaycob-Megna-8477034" xr:uid="{B84DB2D6-EA35-4AEA-8B8A-E802D231723E}"/>
    <hyperlink ref="A17684" r:id="rId843" display="https://www.nhl.com/player/Filip-Zadina-8480821" xr:uid="{36ADBA7B-7385-44B6-A0AE-21F20D7B250B}"/>
    <hyperlink ref="A17705" r:id="rId844" display="https://www.nhl.com/player/Danny-O'Regan-8476982" xr:uid="{D50BA07F-B5EC-4C51-8A10-C2FA982D47B8}"/>
    <hyperlink ref="A17726" r:id="rId845" display="https://www.nhl.com/player/Kailer-Yamamoto-8479977" xr:uid="{E56837EF-8A80-4A3F-AC4C-D38E281C6375}"/>
    <hyperlink ref="A17747" r:id="rId846" display="https://www.nhl.com/player/Jordan-Schmaltz-8476877" xr:uid="{881E110F-909C-4BD2-AB26-D0795C797AA8}"/>
    <hyperlink ref="A17768" r:id="rId847" display="https://www.nhl.com/player/Joe-Hicketts-8478176" xr:uid="{2782B97C-53EB-46A5-B450-BC332993FCF3}"/>
    <hyperlink ref="A17789" r:id="rId848" display="https://www.nhl.com/player/Mario-Ferraro-8479983" xr:uid="{1FD8CE7D-2FE0-4D7E-938F-557F38D0E5C6}"/>
    <hyperlink ref="A17810" r:id="rId849" display="https://www.nhl.com/player/Ilya-Lyubushkin-8480950" xr:uid="{A9E71123-7944-4C00-85FB-2B4714B36BB5}"/>
    <hyperlink ref="A17831" r:id="rId850" display="https://www.nhl.com/player/Tyler-Wotherspoon-8476452" xr:uid="{02AB84AB-0A37-46DC-90D9-FB457898D5FC}"/>
    <hyperlink ref="A17852" r:id="rId851" display="https://www.nhl.com/player/Laurent-Dauphin-8477460" xr:uid="{89D6975F-3740-4D70-ADFA-079CB76A3232}"/>
    <hyperlink ref="A17873" r:id="rId852" display="https://www.nhl.com/player/Nathan-Walker-8477573" xr:uid="{F98FAA7E-111F-4315-B32C-F638C90205FF}"/>
    <hyperlink ref="A17894" r:id="rId853" display="https://www.nhl.com/player/Evgeny-Svechnikov-8478431" xr:uid="{7D240D28-D05D-45BF-A245-F8B5C70BF9A9}"/>
    <hyperlink ref="A17915" r:id="rId854" display="https://www.nhl.com/player/Max-Veronneau-8480314" xr:uid="{D4E9E134-6477-4C55-9E67-0CED09F54322}"/>
    <hyperlink ref="A17936" r:id="rId855" display="https://www.nhl.com/player/Clark-Bishop-8478056" xr:uid="{3273E168-DB9B-414C-B1DE-12496DE4E6D1}"/>
    <hyperlink ref="A17957" r:id="rId856" display="https://www.nhl.com/player/Barrett-Hayton-8480849" xr:uid="{42121560-A169-474B-9401-7C8D60361D0C}"/>
    <hyperlink ref="A17978" r:id="rId857" display="https://www.nhl.com/player/Adam-Johnson-8480341" xr:uid="{5C819D87-5EB4-4B52-9F0C-23CC32B9303C}"/>
    <hyperlink ref="A17999" r:id="rId858" display="https://www.nhl.com/player/Seth-Helgeson-8475274" xr:uid="{7B9509B9-A5C3-4385-B747-EDCB8F97E0C4}"/>
    <hyperlink ref="A18020" r:id="rId859" display="https://www.nhl.com/player/Tyler-Gaudet-8477715" xr:uid="{28E0A02B-2B9E-40FD-84B3-325E7381FC8C}"/>
    <hyperlink ref="A18041" r:id="rId860" display="https://www.nhl.com/player/Sebastian-Aho-8480222" xr:uid="{98BCF7BC-DA17-4955-829F-A71F5EF3A813}"/>
    <hyperlink ref="A18062" r:id="rId861" display="https://www.nhl.com/player/Blake-Pietila-8476370" xr:uid="{F45AA902-BDE3-46EA-B2B9-4FAF97BD9D71}"/>
    <hyperlink ref="A18083" r:id="rId862" display="https://www.nhl.com/player/Chris-Bigras-8477453" xr:uid="{6FCCCBF1-5EC3-4446-AAA5-8E049A29B9E5}"/>
    <hyperlink ref="A18104" r:id="rId863" display="https://www.nhl.com/player/Nicolas-Hague-8479980" xr:uid="{5A844224-6125-48B4-B589-0797B64C9A91}"/>
    <hyperlink ref="A18125" r:id="rId864" display="https://www.nhl.com/player/Patrick-Russell-8479466" xr:uid="{9F17C9CC-91C5-4ADF-977D-4E8E9626791D}"/>
    <hyperlink ref="A18146" r:id="rId865" display="https://www.nhl.com/player/Anton-Lindholm-8478073" xr:uid="{B7C376F9-148E-455E-BD9E-7D548C40F07E}"/>
    <hyperlink ref="A18167" r:id="rId866" display="https://www.nhl.com/player/Joel-L'Esperance-8480769" xr:uid="{4C75D0ED-4F69-4C59-AB17-957239D892A2}"/>
    <hyperlink ref="A18188" r:id="rId867" display="https://www.nhl.com/player/Nathan-Bastian-8479414" xr:uid="{670EC367-9E46-44B5-BF68-3600B8B85FC5}"/>
    <hyperlink ref="A18209" r:id="rId868" display="https://www.nhl.com/player/Ryan-Poehling-8480068" xr:uid="{6B7CBC4D-4D3F-4472-91D6-185C145F3B89}"/>
    <hyperlink ref="A18230" r:id="rId869" display="https://www.nhl.com/player/Eric-Robinson-8480762" xr:uid="{EF3965AC-2B30-4667-91DF-04689B68BEE9}"/>
    <hyperlink ref="A18251" r:id="rId870" display="https://www.nhl.com/player/Carson-Soucy-8477369" xr:uid="{028B7BF4-B6BB-4B08-AE6F-075F10CDD061}"/>
    <hyperlink ref="A18272" r:id="rId871" display="https://www.nhl.com/player/C.J.-Smith-8480083" xr:uid="{30FA5016-1FBD-4C5C-BF89-A6E14D72FEE6}"/>
    <hyperlink ref="A18293" r:id="rId872" display="https://www.nhl.com/player/Morgan-Frost-8480028" xr:uid="{AFD48149-EA44-4C47-8F7B-1CAF35CEF08E}"/>
    <hyperlink ref="A18314" r:id="rId873" display="https://www.nhl.com/player/Connor-Clifton-8477365" xr:uid="{810BA4AC-11C2-4272-B7B4-240178F90D0A}"/>
    <hyperlink ref="A18335" r:id="rId874" display="https://www.nhl.com/player/Kalle-Kossila-8479290" xr:uid="{90B9B17C-66B0-4694-B8D4-1740995950A5}"/>
    <hyperlink ref="A18356" r:id="rId875" display="https://www.nhl.com/player/Calle-Rosen-8480157" xr:uid="{61B6E480-182E-40BD-98A3-8FEC077596D4}"/>
    <hyperlink ref="A18377" r:id="rId876" display="https://www.nhl.com/player/Juuso-Valimaki-8479976" xr:uid="{CB5E9F92-5062-4A77-B19C-D64E106034A9}"/>
    <hyperlink ref="A18398" r:id="rId877" display="https://www.nhl.com/player/Zack-MacEwen-8479772" xr:uid="{8401E033-2F37-4571-8940-20C7F23D3686}"/>
    <hyperlink ref="A18419" r:id="rId878" display="https://www.nhl.com/player/Hudson-Fasching-8477392" xr:uid="{C89D06B5-6D81-4398-AF29-4F65177F7577}"/>
    <hyperlink ref="A18440" r:id="rId879" display="https://www.nhl.com/player/Sam-Carrick-8475842" xr:uid="{E9E1F6B2-2ABC-4238-96D3-918274DAA102}"/>
    <hyperlink ref="A18461" r:id="rId880" display="https://www.nhl.com/player/Nicolas-Roy-8478462" xr:uid="{A2489B2F-04E8-4B44-BB38-2F910DC877AE}"/>
    <hyperlink ref="A18482" r:id="rId881" display="https://www.nhl.com/player/Vladislav-Gavrikov-8478882" xr:uid="{B6611E95-A7A2-4B05-8491-20ECA2E74C9B}"/>
    <hyperlink ref="A18503" r:id="rId882" display="https://www.nhl.com/player/Mikhail-Vorobyev-8478844" xr:uid="{D43A1B50-99BF-4995-A95C-D7148DAEA6D7}"/>
    <hyperlink ref="A18524" r:id="rId883" display="https://www.nhl.com/player/Michael-Mersch-8476352" xr:uid="{3488C38C-5CFC-4FDC-B8DE-BA8BC4C75634}"/>
    <hyperlink ref="A18545" r:id="rId884" display="https://www.nhl.com/player/Jordan-Kyrou-8479385" xr:uid="{F3873C47-C8A6-411A-A707-55A79BF4ECC8}"/>
    <hyperlink ref="A18566" r:id="rId885" display="https://www.nhl.com/player/Zach-Senyshyn-8478485" xr:uid="{B4DE5C76-3FF2-44FA-AEF0-AE8A2B829B2F}"/>
    <hyperlink ref="A18587" r:id="rId886" display="https://www.nhl.com/player/Paul-Thompson-8476200" xr:uid="{38D98C00-6534-4BC7-9302-1013E6035668}"/>
    <hyperlink ref="A18608" r:id="rId887" display="https://www.nhl.com/player/Joseph-Gambardella-8479970" xr:uid="{2BEAD74E-9DA1-43B5-92B3-96E68B80EDF4}"/>
    <hyperlink ref="A18629" r:id="rId888" display="https://www.nhl.com/player/Gabriel-Carlsson-8478506" xr:uid="{E5FB7C9B-F4F2-4B3F-8281-B7CAFC1C382E}"/>
    <hyperlink ref="A18650" r:id="rId889" display="https://www.nhl.com/player/Roland-McKeown-8477981" xr:uid="{554B6F7B-1219-4F22-BF41-62D8AB12FC95}"/>
    <hyperlink ref="A18671" r:id="rId890" display="https://www.nhl.com/player/Ashton-Sautner-8477085" xr:uid="{80466231-9EEF-4F6E-85FE-DC4305033CAC}"/>
    <hyperlink ref="A18692" r:id="rId891" display="https://www.nhl.com/player/Michael-McLeod-8479415" xr:uid="{D01560C3-3633-43EE-B4EB-E2D4ECED5E5F}"/>
    <hyperlink ref="A18713" r:id="rId892" display="https://www.nhl.com/player/Matthew-Highmore-8478146" xr:uid="{C3555742-A30E-411F-8182-22BE0B4EFDF8}"/>
    <hyperlink ref="A18734" r:id="rId893" display="https://www.nhl.com/player/Gerald-Mayhew-8479933" xr:uid="{01C5C6F9-9139-4BDA-9081-6DC29D51508D}"/>
    <hyperlink ref="A18755" r:id="rId894" display="https://www.nhl.com/player/Patrick-Sieloff-8476890" xr:uid="{04DC074A-6D94-49FC-BE54-416479323E21}"/>
    <hyperlink ref="A18776" r:id="rId895" display="https://www.nhl.com/player/Jesper-Boqvist-8480003" xr:uid="{A299008B-BBB5-4BB0-AA1F-C20CAD612416}"/>
    <hyperlink ref="A18797" r:id="rId896" display="https://www.nhl.com/player/Tyler-Lewington-8477343" xr:uid="{6C475FDA-B2A4-4F1B-B967-04C65706216A}"/>
    <hyperlink ref="A18818" r:id="rId897" display="https://www.nhl.com/player/Pierre-Engvall-8478115" xr:uid="{6F282BC7-82A4-4AAE-8C79-1BC78F1E8FE7}"/>
    <hyperlink ref="A18839" r:id="rId898" display="https://www.nhl.com/player/Patrick-Brown-8477887" xr:uid="{B11AD1A5-5E5C-4053-AD2A-D1D0FF1B5F14}"/>
    <hyperlink ref="A18860" r:id="rId899" display="https://www.nhl.com/player/Buddy-Robinson-8477210" xr:uid="{2884E3AA-BC7E-40BA-9469-FCED6A203C40}"/>
    <hyperlink ref="A18881" r:id="rId900" display="https://www.nhl.com/player/Liam-O'Brien-8477070" xr:uid="{DF8E58CB-5FB9-4A5A-BD6F-B0AB0C196477}"/>
    <hyperlink ref="A18902" r:id="rId901" display="https://www.nhl.com/player/Cole-Bardreau-8478367" xr:uid="{76CA8550-15A0-4625-B7B4-FFDB128FD1EA}"/>
    <hyperlink ref="A18923" r:id="rId902" display="https://www.nhl.com/player/Joakim-Nygard-8481638" xr:uid="{BE3B7A77-95A8-4871-B43A-FD7568E1E098}"/>
    <hyperlink ref="A18944" r:id="rId903" display="https://www.nhl.com/player/Scott-Sabourin-8477149" xr:uid="{4D8D8637-E533-4344-8920-EA59B6ED6127}"/>
    <hyperlink ref="A18965" r:id="rId904" display="https://www.nhl.com/player/Anton-Blidh-8477320" xr:uid="{B8EBA690-18F9-4858-8B27-80781A8F6E2E}"/>
    <hyperlink ref="A18986" r:id="rId905" display="https://www.nhl.com/player/Eeli-Tolvanen-8480009" xr:uid="{1F94C7CF-0573-40EC-83FC-0846A7A2B248}"/>
    <hyperlink ref="A19007" r:id="rId906" display="https://www.nhl.com/player/Rasmus-Asplund-8479335" xr:uid="{5292CB20-97D5-4C0D-8372-E680053E55C4}"/>
    <hyperlink ref="A19028" r:id="rId907" display="https://www.nhl.com/player/Nick-Caamano-8479381" xr:uid="{5E74BBB5-5223-48AC-89A9-D38C786C8401}"/>
    <hyperlink ref="A19049" r:id="rId908" display="https://www.nhl.com/player/Jakob-Lilja-8481650" xr:uid="{56B479B4-C8FD-4B96-88C5-BA04EDB48C6A}"/>
    <hyperlink ref="A19070" r:id="rId909" display="https://www.nhl.com/player/Dillon-Heatherington-8477471" xr:uid="{1F3B85D7-90BD-4902-B879-EF39EF33DD88}"/>
    <hyperlink ref="A19091" r:id="rId910" display="https://www.nhl.com/player/Isac-Lundestrom-8480806" xr:uid="{4B36513A-3901-4521-B882-071BFE98687A}"/>
    <hyperlink ref="A19112" r:id="rId911" display="https://www.nhl.com/player/Joel-Persson-8480940" xr:uid="{D1127293-3B40-4CEB-BC20-E0F53DA80D41}"/>
    <hyperlink ref="A19133" r:id="rId912" display="https://www.nhl.com/player/Kevin-Czuczman-8477814" xr:uid="{42E4E4DA-8BCB-4529-AC0F-2E91F0DC7CE9}"/>
    <hyperlink ref="A19154" r:id="rId913" display="https://www.nhl.com/player/Erik-Brannstrom-8480073" xr:uid="{3E553B19-29B8-44F1-AC60-E1676773B809}"/>
    <hyperlink ref="A19175" r:id="rId914" display="https://www.nhl.com/player/Andy-Miele-8476206" xr:uid="{00C568A7-B001-411A-94EE-835E7DE33CE2}"/>
    <hyperlink ref="A19196" r:id="rId915" display="https://www.nhl.com/player/Danick-Martel-8478365" xr:uid="{3A5E7AD8-862D-44BA-AAB7-F715485756D9}"/>
    <hyperlink ref="A19217" r:id="rId916" display="https://www.nhl.com/player/Daniel-Brickley-8480771" xr:uid="{CA192358-95C7-4159-AF21-8EF2E2856D2C}"/>
    <hyperlink ref="A19238" r:id="rId917" display="https://www.nhl.com/player/Rasmus-Sandin-8480873" xr:uid="{2838FAE0-E6CC-4F14-BD46-78387D0DFB9C}"/>
    <hyperlink ref="A19259" r:id="rId918" display="https://www.nhl.com/player/Noah-Dobson-8480865" xr:uid="{00275A9D-9D8D-4CCF-A4AF-3984DBD1CDEC}"/>
    <hyperlink ref="A19280" r:id="rId919" display="https://www.nhl.com/player/Louie-Belpedio-8478011" xr:uid="{E369CDF3-30D9-4DA0-A0F1-6E697315B068}"/>
    <hyperlink ref="A19301" r:id="rId920" display="https://www.nhl.com/player/Evan-Bouchard-8480803" xr:uid="{E0D42B6D-2A38-44BF-99C6-7E12AFFF427E}"/>
    <hyperlink ref="A19322" r:id="rId921" display="https://www.nhl.com/player/Jeremy-Lauzon-8478468" xr:uid="{32CCE3BB-F321-4128-97C5-9E9074C65C7C}"/>
    <hyperlink ref="A19343" r:id="rId922" display="https://www.nhl.com/player/Alex-Formenton-8480029" xr:uid="{35BA9D15-1E53-4F62-B5DD-5733DBD5FA67}"/>
    <hyperlink ref="A19364" r:id="rId923" display="https://www.nhl.com/player/Carsen-Twarynski-8479358" xr:uid="{303AD78F-3B5A-4533-A198-8D61F4658263}"/>
    <hyperlink ref="A19385" r:id="rId924" display="https://www.nhl.com/player/Klim-Kostin-8480011" xr:uid="{91373B45-8440-4FBB-A63E-E70855EAF09E}"/>
    <hyperlink ref="A19406" r:id="rId925" display="https://www.nhl.com/player/Vitaly-Abramov-8479411" xr:uid="{446C1045-AE59-42E6-81C8-1B1B2BCCBAC7}"/>
    <hyperlink ref="A19427" r:id="rId926" display="https://www.nhl.com/player/Logan-O'Connor-8481186" xr:uid="{7B98F03E-B74A-458F-8F6F-5FE5F970CC11}"/>
    <hyperlink ref="A19448" r:id="rId927" display="https://www.nhl.com/player/Cale-Fleury-8479985" xr:uid="{39B686CE-869A-454C-9723-F15F3BD69C9A}"/>
    <hyperlink ref="A19469" r:id="rId928" display="https://www.nhl.com/player/Jacob-MacDonald-8479439" xr:uid="{E821C397-A5AE-4763-ADA9-E34A3E228989}"/>
    <hyperlink ref="A19490" r:id="rId929" display="https://www.nhl.com/player/Michael-Bunting-8478047" xr:uid="{8A506B8B-0B08-4A3B-9CED-C4D6B7DE0A78}"/>
    <hyperlink ref="A19511" r:id="rId930" display="https://www.nhl.com/player/Noah-Gregor-8479393" xr:uid="{674A72D0-E716-4D45-B468-829C93F33060}"/>
    <hyperlink ref="A19532" r:id="rId931" display="https://www.nhl.com/player/Owen-Tippett-8480015" xr:uid="{00DA87C7-2BBE-48BB-9F4B-924515143C9B}"/>
    <hyperlink ref="A19553" r:id="rId932" display="https://www.nhl.com/player/Kyle-Capobianco-8478476" xr:uid="{4FF3595A-C978-4967-9A5B-9C22E342D8B4}"/>
    <hyperlink ref="A19574" r:id="rId933" display="https://www.nhl.com/player/David-Gustafsson-8481019" xr:uid="{82161A81-1CD4-4735-BE8D-514E443165A6}"/>
    <hyperlink ref="A19595" r:id="rId934" display="https://www.nhl.com/player/Adam-Boqvist-8480871" xr:uid="{AB8151B7-5EB2-4D5E-8BBA-31075831553D}"/>
    <hyperlink ref="A19616" r:id="rId935" display="https://www.nhl.com/player/Lean-Bergmann-8481640" xr:uid="{A6840620-46A0-41FF-AAB9-DA630EF438A5}"/>
    <hyperlink ref="A19637" r:id="rId936" display="https://www.nhl.com/player/Jack-Studnicka-8480021" xr:uid="{5B5DEB9B-987D-487D-8964-282F785E3D75}"/>
    <hyperlink ref="A19658" r:id="rId937" display="https://www.nhl.com/player/Jonathan-Davidsson-8480247" xr:uid="{3FC558EE-B2D0-44C7-966F-FFAF5BC4039F}"/>
    <hyperlink ref="A19679" r:id="rId938" display="https://www.nhl.com/player/Kristian-Vesalainen-8480005" xr:uid="{E410E47D-7218-455D-A6A9-F3936C5195F6}"/>
    <hyperlink ref="A19700" r:id="rId939" display="https://www.nhl.com/player/Luke-Johnson-8477366" xr:uid="{F832284A-34B6-46D2-8D8C-E5AC4D8C87D3}"/>
    <hyperlink ref="A19721" r:id="rId940" display="https://www.nhl.com/player/Brett-Lernout-8478004" xr:uid="{5186ECBF-003C-43EE-BE1C-858E08928098}"/>
    <hyperlink ref="A19742" r:id="rId941" display="https://www.nhl.com/player/Cameron-Schilling-8476799" xr:uid="{571B63C9-92FE-4EA8-8301-735C6DFA27C4}"/>
    <hyperlink ref="A19763" r:id="rId942" display="https://www.nhl.com/player/T.J.-Tynan-8476391" xr:uid="{ECA59390-5C8A-4565-AA1D-D376C7B4A007}"/>
    <hyperlink ref="A19784" r:id="rId943" display="https://www.nhl.com/player/Ryan-Lomberg-8479066" xr:uid="{394D0599-EED3-439A-9E76-6126AD9377FC}"/>
    <hyperlink ref="A19805" r:id="rId944" display="https://www.nhl.com/player/Carter-Verhaeghe-8477409" xr:uid="{73C51AAF-8343-4AB1-AD4F-E699A8A874B0}"/>
    <hyperlink ref="A19826" r:id="rId945" display="https://www.nhl.com/player/Jacob-Middleton-8478136" xr:uid="{D33B5A37-4639-4F3C-82D8-A718BA2DE630}"/>
    <hyperlink ref="A19847" r:id="rId946" display="https://www.nhl.com/player/Jimmy-Schuldt-8481486" xr:uid="{2F69D8BB-FFF0-4BE4-A589-EB31B8238492}"/>
    <hyperlink ref="A19868" r:id="rId947" display="https://www.nhl.com/player/Tim-Gettinger-8479364" xr:uid="{9679B05C-FCE6-4237-8727-3F07973F41F1}"/>
    <hyperlink ref="A19889" r:id="rId948" display="https://www.nhl.com/player/Mike-Liambas-8475436" xr:uid="{607E2AA9-0D20-447E-96E1-7F773511555A}"/>
    <hyperlink ref="A19910" r:id="rId949" display="https://www.nhl.com/player/Turner-Elson-8476505" xr:uid="{A03127D9-3507-47F2-8374-9FB96518664C}"/>
    <hyperlink ref="A19931" r:id="rId950" display="https://www.nhl.com/player/Matt-Lorito-8478371" xr:uid="{5E4809CD-F7F1-4CC8-B0BA-DBC2AF26E29C}"/>
    <hyperlink ref="A19952" r:id="rId951" display="https://www.nhl.com/player/Tommy-Cross-8474019" xr:uid="{8AAEBB4A-0E04-4C45-99CD-AC5170AC99EA}"/>
    <hyperlink ref="A19973" r:id="rId952" display="https://www.nhl.com/player/Eetu-Luostarinen-8480185" xr:uid="{B0ABBFAF-6CE6-4E26-961C-2B5478E4EA8A}"/>
    <hyperlink ref="A19994" r:id="rId953" display="https://www.nhl.com/player/J.C.-Beaudin-8478833" xr:uid="{453E6168-9972-4626-8E5E-C81DB93A9C3A}"/>
    <hyperlink ref="A20015" r:id="rId954" display="https://www.nhl.com/player/Jaret-Anderson-Dolan-8479994" xr:uid="{90BEE43A-8C7F-4527-97C2-BEC35086A169}"/>
    <hyperlink ref="A20036" r:id="rId955" display="https://www.nhl.com/player/Shane-Gersich-8478063" xr:uid="{24701703-934F-4E46-96AC-17FE2CC65918}"/>
    <hyperlink ref="A20057" r:id="rId956" display="https://www.nhl.com/player/JC-Lipon-8477076" xr:uid="{283C56A7-CF32-4655-87C3-76FE6DC16D0D}"/>
    <hyperlink ref="A20078" r:id="rId957" display="https://www.nhl.com/player/Mathieu-Olivier-8479671" xr:uid="{95D6B69E-673C-4C75-8C2C-E4F8C140C2F1}"/>
    <hyperlink ref="A20099" r:id="rId958" display="https://www.nhl.com/player/Ben-Gleason-8479416" xr:uid="{4CE74A78-A40F-4F39-AB51-D8E4F0CF5D48}"/>
    <hyperlink ref="A20120" r:id="rId959" display="https://www.nhl.com/player/Rinat-Valiev-8477642" xr:uid="{83C14CBC-42EF-46F4-AED8-22CC976600B3}"/>
    <hyperlink ref="A20141" r:id="rId960" display="https://www.nhl.com/player/Brogan-Rafferty-8481479" xr:uid="{357B07C0-3C14-4DFF-BEFA-6F45C5AC37E7}"/>
    <hyperlink ref="A20162" r:id="rId961" display="https://www.nhl.com/player/Nicholas-Merkley-8478447" xr:uid="{DC7A3D91-F66F-4805-B839-19E685987968}"/>
    <hyperlink ref="A20183" r:id="rId962" display="https://www.nhl.com/player/Andreas-Englund-8477971" xr:uid="{F9F32524-7B1D-4A99-BB5D-655602AED26B}"/>
    <hyperlink ref="A20204" r:id="rId963" display="https://www.nhl.com/player/Mitch-Reinke-8480761" xr:uid="{9C7BC875-C70D-43E4-9660-A507B54C9D65}"/>
    <hyperlink ref="A20225" r:id="rId964" display="https://www.nhl.com/player/Colton-White-8478841" xr:uid="{594F2A5E-2A89-4B9D-ACD9-A1FDA0FEAF11}"/>
    <hyperlink ref="A20246" r:id="rId965" display="https://www.nhl.com/player/Zach-Whitecloud-8480727" xr:uid="{2B4BFB3C-D455-457C-A43D-7F56B6C5C498}"/>
    <hyperlink ref="A20267" r:id="rId966" display="https://www.nhl.com/player/William-Borgen-8478840" xr:uid="{28378804-3531-4D44-AC65-4FCFE23A1BB8}"/>
    <hyperlink ref="A20288" r:id="rId967" display="https://www.nhl.com/player/Connor-Bunnaman-8479382" xr:uid="{7F5CADCB-67C5-405C-9DC1-2790D18139A8}"/>
    <hyperlink ref="A20309" r:id="rId968" display="https://www.nhl.com/player/Mike-Vecchione-8480087" xr:uid="{CA2A88A7-66F3-4ACF-A303-9D58D1088A0F}"/>
    <hyperlink ref="A20330" r:id="rId969" display="https://www.nhl.com/player/Tyrell-Goulbourne-8477399" xr:uid="{E59FDDEF-B843-4CC3-B743-058D82DD40B2}"/>
    <hyperlink ref="A20351" r:id="rId970" display="https://www.nhl.com/player/Justin-Kloos-8480082" xr:uid="{AD2785C1-262F-4A89-95E2-7BC7DD82051F}"/>
    <hyperlink ref="A20372" r:id="rId971" display="https://www.nhl.com/player/Oliver-Wahlstrom-8480789" xr:uid="{18F2454B-D289-4F36-9520-55B598BD1572}"/>
    <hyperlink ref="A20393" r:id="rId972" display="https://www.nhl.com/player/Cameron-Hughes-8478888" xr:uid="{7F7FFC72-ACEB-45E5-A4D0-88AF79EFFCB7}"/>
    <hyperlink ref="A20414" r:id="rId973" display="https://www.nhl.com/player/Yakov-Trenin-8478508" xr:uid="{983D5541-535C-4B22-91C8-0EDD58D9A56C}"/>
    <hyperlink ref="A20435" r:id="rId974" display="https://www.nhl.com/player/Tobias-Bjornfot-8481600" xr:uid="{C7BF5B03-FAB9-4E31-8FBB-D2D12271A001}"/>
    <hyperlink ref="A20456" r:id="rId975" display="https://www.nhl.com/player/Jake-Bean-8479402" xr:uid="{793353A0-E86C-4DA4-BA88-97DE296A5C01}"/>
    <hyperlink ref="A20477" r:id="rId976" display="https://www.nhl.com/player/Guillaume-Brisebois-8478465" xr:uid="{4A493B85-2F25-488C-8C81-524623E0B1E0}"/>
    <hyperlink ref="A20498" r:id="rId977" display="https://www.nhl.com/player/Anthony-Richard-8478409" xr:uid="{A0CE8A58-8CB3-465A-A187-343A2FC85999}"/>
    <hyperlink ref="A20519" r:id="rId978" display="https://www.nhl.com/player/Dominic-Turgeon-8477994" xr:uid="{4A74613D-BC72-4226-8419-7E2A5765CA36}"/>
    <hyperlink ref="A20540" r:id="rId979" display="https://www.nhl.com/player/Julien-Gauthier-8479328" xr:uid="{7C6C355F-EE91-4F2E-8D2D-3F7A8D78A08D}"/>
    <hyperlink ref="A20561" r:id="rId980" display="https://www.nhl.com/player/Anton-Wedin-8481637" xr:uid="{FB743E8B-79FE-40DD-A862-67137D577D2D}"/>
    <hyperlink ref="A20582" r:id="rId981" display="https://www.nhl.com/player/Dillon-Simpson-8476416" xr:uid="{F9131583-7B80-4C63-9E96-76674DC984C4}"/>
    <hyperlink ref="A20603" r:id="rId982" display="https://www.nhl.com/player/Mark-Alt-8475729" xr:uid="{F409297D-F725-413A-A9A1-A1BAEB1C29E0}"/>
    <hyperlink ref="A20624" r:id="rId983" display="https://www.nhl.com/player/Joona-Luoto-8481649" xr:uid="{40C47F54-54AC-4E4C-A85A-5D30E19BCA8D}"/>
    <hyperlink ref="A20645" r:id="rId984" display="https://www.nhl.com/player/Colin-Blackwell-8476278" xr:uid="{2ED60111-B098-4818-A530-E4C0D44313D8}"/>
    <hyperlink ref="A20666" r:id="rId985" display="https://www.nhl.com/player/Trent-Frederic-8479365" xr:uid="{1F80B766-580C-4034-9C82-DEF6A92B7F91}"/>
    <hyperlink ref="A20687" r:id="rId986" display="https://www.nhl.com/player/Giovanni-Fiore-8479613" xr:uid="{4DB4FD62-C221-4203-A44F-C98D4149FD6C}"/>
    <hyperlink ref="A20708" r:id="rId987" display="https://www.nhl.com/player/Trevor-Carrick-8476953" xr:uid="{33FA69DA-BFD4-47D7-BB13-9008790DC7B0}"/>
    <hyperlink ref="A20729" r:id="rId988" display="https://www.nhl.com/player/CJ-Suess-8478058" xr:uid="{8BDEFD0E-DB65-47D1-AD98-90E79898BFB3}"/>
    <hyperlink ref="A20750" r:id="rId989" display="https://www.nhl.com/player/Otto-Koivula-8479526" xr:uid="{A496752F-C5D9-4DDE-B71F-9CDE82580B58}"/>
    <hyperlink ref="A20771" r:id="rId990" display="https://www.nhl.com/player/Danil-Yurtaykin-8481515" xr:uid="{E9C2A4E7-3EFA-49D8-B11D-654A56358371}"/>
    <hyperlink ref="A20792" r:id="rId991" display="https://www.nhl.com/player/Philip-Holm-8480163" xr:uid="{29B0BE66-6762-4C9F-A6B5-371EA64DA259}"/>
    <hyperlink ref="A20813" r:id="rId992" display="https://www.nhl.com/player/Josh-Teves-8481425" xr:uid="{B0942CB1-867F-423E-82C5-B3CBAC6884CF}"/>
    <hyperlink ref="A20834" r:id="rId993" display="https://www.nhl.com/player/Keegan-Lowe-8476397" xr:uid="{DAB677AC-F612-4081-BFDC-28E3ABC5FF8F}"/>
    <hyperlink ref="A20855" r:id="rId994" display="https://www.nhl.com/player/Riley-Stillman-8479388" xr:uid="{2380AA23-4CE5-4EE8-A57E-B4B176C8D9BB}"/>
    <hyperlink ref="A20876" r:id="rId995" display="https://www.nhl.com/player/Nelson-Nogier-8478031" xr:uid="{973D2961-2CB6-4B6A-AE48-D64EC24BF4AF}"/>
    <hyperlink ref="A20897" r:id="rId996" display="https://www.nhl.com/player/Janne-Kuokkanen-8479511" xr:uid="{0AD1FBE1-EE51-4D2B-8D83-6D638C7B6453}"/>
    <hyperlink ref="A20918" r:id="rId997" display="https://www.nhl.com/player/Chase-De Leo-8478029" xr:uid="{842FC5D6-2909-4547-A1EF-A02791B90EFA}"/>
    <hyperlink ref="A20939" r:id="rId998" display="https://www.nhl.com/player/Ryan-Kuffner-8481426" xr:uid="{E79BE7E7-FFE4-416B-BDF7-E0259FDEEC84}"/>
    <hyperlink ref="A20960" r:id="rId999" display="https://www.nhl.com/player/Cooper-Marody-8478442" xr:uid="{3AA58D2D-90F7-4A38-80BC-59B941E6B405}"/>
    <hyperlink ref="A20981" r:id="rId1000" display="https://www.nhl.com/player/Brandon-Gignac-8479330" xr:uid="{A0B67922-F7D2-452D-AB4C-6FA7622947E8}"/>
    <hyperlink ref="A21002" r:id="rId1001" display="https://www.nhl.com/player/Mark-Friedman-8478017" xr:uid="{BD98773E-4C2C-45AE-93D0-825583899354}"/>
    <hyperlink ref="A21023" r:id="rId1002" display="https://www.nhl.com/player/Beck-Malenstyn-8479359" xr:uid="{D86DFE3E-55F0-46D7-AC5C-E8894A21C305}"/>
    <hyperlink ref="A21044" r:id="rId1003" display="https://www.nhl.com/player/Kyle-Criscuolo-8479304" xr:uid="{8C7501F0-14AF-4CF1-8A6B-151D469C9D65}"/>
    <hyperlink ref="A21065" r:id="rId1004" display="https://www.nhl.com/player/Dan-Renouf-8479252" xr:uid="{58E86609-2C1B-4359-926F-63892577B6AF}"/>
    <hyperlink ref="A21086" r:id="rId1005" display="https://www.nhl.com/player/Nico-Sturm-8481477" xr:uid="{6F41E3BE-E499-43E2-9D64-AD3DD3532693}"/>
    <hyperlink ref="A21107" r:id="rId1006" display="https://www.nhl.com/player/Josh-Jacobs-8477972" xr:uid="{C647AC51-3150-40F9-BF5F-A27C16359656}"/>
    <hyperlink ref="A21128" r:id="rId1007" display="https://www.nhl.com/player/Rem-Pitlick-8479514" xr:uid="{B806C7C1-49CE-4728-B67F-EFB33CF31503}"/>
    <hyperlink ref="A21149" r:id="rId1008" display="https://www.nhl.com/player/Jakub-Zboril-8478415" xr:uid="{CD1A0E15-1B35-4C57-A490-4E8CAEC9CBB1}"/>
    <hyperlink ref="A21170" r:id="rId1009" display="https://www.nhl.com/player/Brady-Keeper-8481442" xr:uid="{D7C7C1A7-11CB-4FA6-9E79-33901013C314}"/>
    <hyperlink ref="A21191" r:id="rId1010" display="https://www.nhl.com/player/Anthony-Greco-8479447" xr:uid="{5DEEA596-CD7B-48EA-9ABC-CE73B05D6DF6}"/>
    <hyperlink ref="A21212" r:id="rId1011" display="https://www.nhl.com/player/Jacob-Nilsson-8480954" xr:uid="{E4F66479-8ACE-4C74-BA7A-C09BB2FB553A}"/>
    <hyperlink ref="A21233" r:id="rId1012" display="https://www.nhl.com/player/Martin-Fehervary-8480796" xr:uid="{80523294-6960-4FBF-BFEC-DC584DA81C4E}"/>
    <hyperlink ref="A21254" r:id="rId1013" display="https://www.nhl.com/player/Dennis-Gilbert-8478502" xr:uid="{93CF42D8-5ECD-4E27-97D8-C537A46C5697}"/>
    <hyperlink ref="A21275" r:id="rId1014" display="https://www.nhl.com/player/Morgan-Klimchuk-8477449" xr:uid="{B09402DD-125E-43E9-8477-B6373D1B56F0}"/>
    <hyperlink ref="A21296" r:id="rId1015" display="https://www.nhl.com/player/Riley-Barber-8477003" xr:uid="{C7C61925-7499-44CB-8F68-E5990386C811}"/>
    <hyperlink ref="A21317" r:id="rId1016" display="https://www.nhl.com/player/Kole-Sherwood-8478949" xr:uid="{32D2131B-1E9D-419E-9977-83E31C5DB9D9}"/>
    <hyperlink ref="A21338" r:id="rId1017" display="https://www.nhl.com/player/German-Rubtsov-8479424" xr:uid="{3CC4A6DE-A2C0-4957-B2AA-0C5A56C57015}"/>
    <hyperlink ref="A21359" r:id="rId1018" display="https://www.nhl.com/player/Conor-Timmins-8479982" xr:uid="{F6837387-B8AC-48C5-AC1C-CC16A46501A4}"/>
    <hyperlink ref="A21380" r:id="rId1019" display="https://www.nhl.com/player/Andrew-Poturalski-8479249" xr:uid="{E1904191-28E1-43BB-8BED-3D1A2730D996}"/>
    <hyperlink ref="A21401" r:id="rId1020" display="https://www.nhl.com/player/Steven-Fogarty-8476396" xr:uid="{27F03D54-A27B-4C3E-AF11-F6AA790044FA}"/>
    <hyperlink ref="A21422" r:id="rId1021" display="https://www.nhl.com/player/Jack-Rodewald-8478268" xr:uid="{C7000D39-AEA7-4453-8B59-AFBCCB72FE39}"/>
    <hyperlink ref="A21443" r:id="rId1022" display="https://www.nhl.com/player/Urho-Vaakanainen-8480001" xr:uid="{F87C0D05-DD65-4C60-94AF-7D459B80014A}"/>
    <hyperlink ref="A21464" r:id="rId1023" display="https://www.nhl.com/player/Samuel-Morin-8477502" xr:uid="{276E7029-D0A0-4E22-9607-47A3B3A871F4}"/>
    <hyperlink ref="A21485" r:id="rId1024" display="https://www.nhl.com/player/Robbie-Russo-8476418" xr:uid="{F1620B35-63BC-4E78-AE6C-872C06400946}"/>
    <hyperlink ref="A21506" r:id="rId1025" display="https://www.nhl.com/player/Kevin-Stenlund-8478831" xr:uid="{A95823BE-873A-4818-A302-2FD19E51FADC}"/>
    <hyperlink ref="A21527" r:id="rId1026" display="https://www.nhl.com/player/Jake-Bischoff-8476987" xr:uid="{628E18CF-FA77-4B15-89D8-9096F34D706B}"/>
    <hyperlink ref="A21548" r:id="rId1027" display="https://www.nhl.com/player/Rhett-Gardner-8479587" xr:uid="{9141AD27-1ABE-41F4-BEB7-7B363BB03E2E}"/>
    <hyperlink ref="A21569" r:id="rId1028" display="https://www.nhl.com/player/Alexandre-Carrier-8478851" xr:uid="{60B2302A-F239-4B19-8F6E-0A945FCC1E1E}"/>
    <hyperlink ref="A21590" r:id="rId1029" display="https://www.nhl.com/player/Nicolas-Aube-Kubel-8477979" xr:uid="{67BCD71A-0840-4948-839F-FCBEC9714C90}"/>
    <hyperlink ref="A21611" r:id="rId1030" display="https://www.nhl.com/player/Alexander-Volkov-8480186" xr:uid="{5346B237-E712-4B62-8FDA-AD148901D044}"/>
    <hyperlink ref="A21632" r:id="rId1031" display="https://www.nhl.com/player/Blake-Speers-8478480" xr:uid="{FD1BA95C-7B36-4B28-BEE3-74C100ABD61C}"/>
    <hyperlink ref="A21653" r:id="rId1032" display="https://www.nhl.com/player/Dakota-Mermis-8477541" xr:uid="{3A0445AD-6171-498D-BBB9-C662D7C62896}"/>
    <hyperlink ref="A21674" r:id="rId1033" display="https://www.nhl.com/player/Givani-Smith-8479379" xr:uid="{099342BB-091A-4D75-9B09-6E519956EFB7}"/>
    <hyperlink ref="A21695" r:id="rId1034" display="https://www.nhl.com/player/Sheldon-Rempal-8480776" xr:uid="{DC14D1BE-D53B-4575-BEA7-BB425CDB41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0AD1-022C-4E47-A7D0-FF3AE6F7F38F}">
  <dimension ref="A1:AO472"/>
  <sheetViews>
    <sheetView topLeftCell="C1" workbookViewId="0">
      <selection activeCell="P20" sqref="P20"/>
    </sheetView>
  </sheetViews>
  <sheetFormatPr defaultColWidth="9.140625" defaultRowHeight="15"/>
  <cols>
    <col min="1" max="1" width="8.140625" bestFit="1" customWidth="1"/>
    <col min="2" max="2" width="21.85546875" bestFit="1" customWidth="1"/>
    <col min="3" max="3" width="9.7109375" bestFit="1" customWidth="1"/>
    <col min="4" max="4" width="15.42578125" bestFit="1" customWidth="1"/>
    <col min="5" max="6" width="11.140625" bestFit="1" customWidth="1"/>
    <col min="7" max="7" width="9.140625" style="1" bestFit="1" customWidth="1"/>
    <col min="8" max="8" width="9.7109375" bestFit="1" customWidth="1"/>
    <col min="9" max="9" width="6.7109375" bestFit="1" customWidth="1"/>
    <col min="10" max="10" width="12" bestFit="1" customWidth="1"/>
    <col min="11" max="11" width="11.140625" style="1" bestFit="1" customWidth="1"/>
    <col min="12" max="12" width="10.5703125" bestFit="1" customWidth="1"/>
    <col min="13" max="13" width="14.140625" bestFit="1" customWidth="1"/>
    <col min="14" max="14" width="7.7109375" style="2" bestFit="1" customWidth="1"/>
    <col min="15" max="16" width="6.5703125" style="3" bestFit="1" customWidth="1"/>
    <col min="17" max="17" width="6.42578125" style="3" bestFit="1" customWidth="1"/>
    <col min="18" max="18" width="8.7109375" style="4" bestFit="1" customWidth="1"/>
    <col min="19" max="19" width="7.7109375" style="2" bestFit="1" customWidth="1"/>
    <col min="20" max="21" width="6.5703125" style="3" bestFit="1" customWidth="1"/>
    <col min="22" max="22" width="6.42578125" style="3" bestFit="1" customWidth="1"/>
    <col min="23" max="23" width="8.7109375" style="4" bestFit="1" customWidth="1"/>
    <col min="24" max="25" width="12" hidden="1" customWidth="1"/>
    <col min="26" max="26" width="15.42578125" hidden="1" customWidth="1"/>
    <col min="27" max="28" width="12" hidden="1" customWidth="1"/>
    <col min="29" max="29" width="15.42578125" hidden="1" customWidth="1"/>
    <col min="30" max="31" width="12" hidden="1" customWidth="1"/>
    <col min="32" max="32" width="15.140625" hidden="1" customWidth="1"/>
    <col min="33" max="33" width="11.42578125" bestFit="1" customWidth="1"/>
    <col min="34" max="35" width="5.28515625" style="14" bestFit="1" customWidth="1"/>
    <col min="36" max="36" width="5.140625" style="14" bestFit="1" customWidth="1"/>
    <col min="37" max="37" width="7.42578125" style="14" bestFit="1" customWidth="1"/>
    <col min="38" max="38" width="11.42578125" style="3" bestFit="1" customWidth="1"/>
    <col min="39" max="39" width="6.140625" bestFit="1" customWidth="1"/>
  </cols>
  <sheetData>
    <row r="1" spans="1:41">
      <c r="A1" t="s">
        <v>1</v>
      </c>
      <c r="B1" t="s">
        <v>0</v>
      </c>
      <c r="C1" t="s">
        <v>47</v>
      </c>
      <c r="D1" t="s">
        <v>48</v>
      </c>
      <c r="E1" t="s">
        <v>39</v>
      </c>
      <c r="F1" t="s">
        <v>40</v>
      </c>
      <c r="G1" s="1" t="s">
        <v>12</v>
      </c>
      <c r="H1" t="s">
        <v>13</v>
      </c>
      <c r="I1" t="s">
        <v>45</v>
      </c>
      <c r="J1" t="s">
        <v>46</v>
      </c>
      <c r="K1" s="1" t="s">
        <v>14</v>
      </c>
      <c r="L1" t="s">
        <v>15</v>
      </c>
      <c r="M1" t="s">
        <v>16</v>
      </c>
      <c r="N1" s="2" t="s">
        <v>5</v>
      </c>
      <c r="O1" s="3" t="s">
        <v>2</v>
      </c>
      <c r="P1" s="3" t="s">
        <v>3</v>
      </c>
      <c r="Q1" s="3" t="s">
        <v>4</v>
      </c>
      <c r="R1" s="4" t="s">
        <v>6</v>
      </c>
      <c r="S1" s="2" t="s">
        <v>7</v>
      </c>
      <c r="T1" s="3" t="s">
        <v>8</v>
      </c>
      <c r="U1" s="3" t="s">
        <v>9</v>
      </c>
      <c r="V1" s="3" t="s">
        <v>10</v>
      </c>
      <c r="W1" s="4" t="s">
        <v>11</v>
      </c>
      <c r="X1" s="5" t="s">
        <v>167</v>
      </c>
      <c r="Y1" s="5" t="s">
        <v>168</v>
      </c>
      <c r="Z1" s="5" t="s">
        <v>301</v>
      </c>
      <c r="AA1" s="5" t="s">
        <v>299</v>
      </c>
      <c r="AB1" s="5" t="s">
        <v>300</v>
      </c>
      <c r="AC1" s="5" t="s">
        <v>302</v>
      </c>
      <c r="AD1" s="5" t="s">
        <v>303</v>
      </c>
      <c r="AE1" s="5" t="s">
        <v>304</v>
      </c>
      <c r="AF1" s="5" t="s">
        <v>305</v>
      </c>
      <c r="AG1" s="5" t="s">
        <v>355</v>
      </c>
      <c r="AH1" t="s">
        <v>356</v>
      </c>
      <c r="AI1" t="s">
        <v>357</v>
      </c>
      <c r="AJ1" t="s">
        <v>358</v>
      </c>
      <c r="AK1" t="s">
        <v>359</v>
      </c>
      <c r="AL1" s="3" t="s">
        <v>598</v>
      </c>
      <c r="AN1" t="s">
        <v>370</v>
      </c>
      <c r="AO1" t="s">
        <v>642</v>
      </c>
    </row>
    <row r="2" spans="1:41">
      <c r="A2" t="s">
        <v>461</v>
      </c>
      <c r="B2" t="s">
        <v>472</v>
      </c>
      <c r="C2">
        <v>1</v>
      </c>
      <c r="D2" t="s">
        <v>35</v>
      </c>
      <c r="E2">
        <v>6</v>
      </c>
      <c r="F2">
        <v>1</v>
      </c>
      <c r="G2" s="1">
        <f t="shared" ref="G2:G65" si="0">E2*12+F2</f>
        <v>73</v>
      </c>
      <c r="H2">
        <v>193</v>
      </c>
      <c r="I2">
        <v>1997</v>
      </c>
      <c r="J2">
        <v>2015</v>
      </c>
      <c r="K2" s="1">
        <f t="shared" ref="K2:K65" si="1">J2-I2</f>
        <v>18</v>
      </c>
      <c r="L2" t="s">
        <v>41</v>
      </c>
      <c r="M2" t="s">
        <v>44</v>
      </c>
      <c r="N2" s="2">
        <v>54</v>
      </c>
      <c r="O2" s="5">
        <v>47</v>
      </c>
      <c r="P2" s="5">
        <v>84</v>
      </c>
      <c r="Q2" s="5">
        <f t="shared" ref="Q2:Q65" si="2">O2+P2</f>
        <v>131</v>
      </c>
      <c r="R2" s="4">
        <v>48</v>
      </c>
      <c r="S2" s="2">
        <v>65</v>
      </c>
      <c r="T2" s="5">
        <v>29</v>
      </c>
      <c r="U2" s="5">
        <v>74</v>
      </c>
      <c r="V2" s="5">
        <f t="shared" ref="V2:V33" si="3">T2+U2</f>
        <v>103</v>
      </c>
      <c r="W2" s="4">
        <v>24</v>
      </c>
      <c r="AG2">
        <v>1</v>
      </c>
      <c r="AH2" s="14">
        <v>37.967845659163984</v>
      </c>
      <c r="AI2" s="14">
        <v>71.717041800643074</v>
      </c>
      <c r="AJ2" s="14">
        <v>109.68488745980706</v>
      </c>
      <c r="AK2" s="14">
        <v>27.421221864951765</v>
      </c>
      <c r="AL2" s="3" t="s">
        <v>600</v>
      </c>
    </row>
    <row r="3" spans="1:41">
      <c r="A3" t="s">
        <v>204</v>
      </c>
      <c r="B3" t="s">
        <v>207</v>
      </c>
      <c r="C3">
        <v>1</v>
      </c>
      <c r="D3" t="s">
        <v>35</v>
      </c>
      <c r="E3">
        <v>5</v>
      </c>
      <c r="F3">
        <v>11</v>
      </c>
      <c r="G3" s="1">
        <f t="shared" si="0"/>
        <v>71</v>
      </c>
      <c r="H3">
        <v>200</v>
      </c>
      <c r="I3">
        <v>1987</v>
      </c>
      <c r="J3">
        <v>2005</v>
      </c>
      <c r="K3" s="1">
        <f t="shared" si="1"/>
        <v>18</v>
      </c>
      <c r="L3" t="s">
        <v>41</v>
      </c>
      <c r="M3" t="s">
        <v>44</v>
      </c>
      <c r="N3" s="2">
        <v>68</v>
      </c>
      <c r="O3" s="5">
        <v>72</v>
      </c>
      <c r="P3" s="5">
        <v>105</v>
      </c>
      <c r="Q3" s="5">
        <f t="shared" si="2"/>
        <v>177</v>
      </c>
      <c r="R3" s="4">
        <v>88</v>
      </c>
      <c r="S3" s="2">
        <v>65</v>
      </c>
      <c r="T3" s="5">
        <v>56</v>
      </c>
      <c r="U3" s="5">
        <v>84</v>
      </c>
      <c r="V3" s="5">
        <f t="shared" si="3"/>
        <v>140</v>
      </c>
      <c r="W3" s="4">
        <v>78</v>
      </c>
      <c r="X3">
        <f>O3/N3</f>
        <v>1.0588235294117647</v>
      </c>
      <c r="Y3">
        <f>T3/S3</f>
        <v>0.86153846153846159</v>
      </c>
      <c r="Z3">
        <f>X3-Y3</f>
        <v>0.19728506787330313</v>
      </c>
      <c r="AA3">
        <f>P3/N3</f>
        <v>1.5441176470588236</v>
      </c>
      <c r="AB3">
        <f>U3/S3</f>
        <v>1.2923076923076924</v>
      </c>
      <c r="AC3">
        <f>AA3-AB3</f>
        <v>0.25180995475113122</v>
      </c>
      <c r="AD3">
        <f>Q3/N3</f>
        <v>2.6029411764705883</v>
      </c>
      <c r="AE3">
        <f>V3/S3</f>
        <v>2.1538461538461537</v>
      </c>
      <c r="AF3">
        <f>AD3-AE3</f>
        <v>0.44909502262443457</v>
      </c>
      <c r="AG3">
        <v>1</v>
      </c>
      <c r="AH3" s="14">
        <v>38.522916666666667</v>
      </c>
      <c r="AI3" s="14">
        <v>66.795833333333334</v>
      </c>
      <c r="AJ3" s="14">
        <v>105.31875000000001</v>
      </c>
      <c r="AK3" s="14">
        <v>56.802083333333336</v>
      </c>
      <c r="AL3" s="3" t="s">
        <v>614</v>
      </c>
    </row>
    <row r="4" spans="1:41">
      <c r="A4" t="s">
        <v>204</v>
      </c>
      <c r="B4" t="s">
        <v>213</v>
      </c>
      <c r="C4">
        <v>2</v>
      </c>
      <c r="D4" t="s">
        <v>66</v>
      </c>
      <c r="E4">
        <v>6</v>
      </c>
      <c r="F4">
        <v>3</v>
      </c>
      <c r="G4" s="1">
        <f t="shared" si="0"/>
        <v>75</v>
      </c>
      <c r="H4">
        <v>195</v>
      </c>
      <c r="I4">
        <v>1986</v>
      </c>
      <c r="J4">
        <v>2004</v>
      </c>
      <c r="K4" s="1">
        <f t="shared" si="1"/>
        <v>18</v>
      </c>
      <c r="L4" t="s">
        <v>41</v>
      </c>
      <c r="M4" t="s">
        <v>44</v>
      </c>
      <c r="N4" s="2">
        <v>48</v>
      </c>
      <c r="O4" s="5">
        <v>9</v>
      </c>
      <c r="P4" s="5">
        <v>17</v>
      </c>
      <c r="Q4" s="5">
        <f t="shared" si="2"/>
        <v>26</v>
      </c>
      <c r="R4" s="4">
        <v>51</v>
      </c>
      <c r="S4" s="2">
        <v>6</v>
      </c>
      <c r="T4" s="5">
        <v>5</v>
      </c>
      <c r="U4" s="5">
        <v>4</v>
      </c>
      <c r="V4" s="5">
        <f t="shared" si="3"/>
        <v>9</v>
      </c>
      <c r="W4" s="4">
        <v>2</v>
      </c>
      <c r="X4">
        <f>O4/N4</f>
        <v>0.1875</v>
      </c>
      <c r="Y4">
        <f>T4/S4</f>
        <v>0.83333333333333337</v>
      </c>
      <c r="Z4">
        <f>X4-Y4</f>
        <v>-0.64583333333333337</v>
      </c>
      <c r="AA4">
        <f>P4/N4</f>
        <v>0.35416666666666669</v>
      </c>
      <c r="AB4">
        <f>U4/S4</f>
        <v>0.66666666666666663</v>
      </c>
      <c r="AC4">
        <f>AA4-AB4</f>
        <v>-0.31249999999999994</v>
      </c>
      <c r="AD4">
        <f>Q4/N4</f>
        <v>0.54166666666666663</v>
      </c>
      <c r="AE4">
        <f>V4/S4</f>
        <v>1.5</v>
      </c>
      <c r="AF4">
        <f>AD4-AE4</f>
        <v>-0.95833333333333337</v>
      </c>
      <c r="AG4">
        <v>1</v>
      </c>
      <c r="AH4" s="14">
        <v>37.480278422273777</v>
      </c>
      <c r="AI4" s="14">
        <v>58.88399071925754</v>
      </c>
      <c r="AJ4" s="14">
        <v>96.364269141531324</v>
      </c>
      <c r="AK4" s="14">
        <v>85.995359628770302</v>
      </c>
      <c r="AL4" s="5" t="s">
        <v>66</v>
      </c>
    </row>
    <row r="5" spans="1:41">
      <c r="A5" t="s">
        <v>539</v>
      </c>
      <c r="B5" t="s">
        <v>548</v>
      </c>
      <c r="C5">
        <v>15</v>
      </c>
      <c r="D5" t="s">
        <v>65</v>
      </c>
      <c r="E5">
        <v>6</v>
      </c>
      <c r="F5">
        <v>0</v>
      </c>
      <c r="G5" s="1">
        <f t="shared" si="0"/>
        <v>72</v>
      </c>
      <c r="H5">
        <v>190</v>
      </c>
      <c r="I5">
        <v>1990</v>
      </c>
      <c r="J5">
        <v>2008</v>
      </c>
      <c r="K5" s="1">
        <f t="shared" si="1"/>
        <v>18</v>
      </c>
      <c r="L5" t="s">
        <v>42</v>
      </c>
      <c r="M5" t="s">
        <v>43</v>
      </c>
      <c r="N5" s="2">
        <f>7+3+7+38</f>
        <v>55</v>
      </c>
      <c r="O5" s="3">
        <f>1+1+1+13</f>
        <v>16</v>
      </c>
      <c r="P5" s="3">
        <f>26</f>
        <v>26</v>
      </c>
      <c r="Q5" s="5">
        <f t="shared" si="2"/>
        <v>42</v>
      </c>
      <c r="R5" s="4">
        <v>70</v>
      </c>
      <c r="S5" s="2">
        <v>12</v>
      </c>
      <c r="T5" s="5">
        <v>2</v>
      </c>
      <c r="U5" s="5">
        <v>9</v>
      </c>
      <c r="V5" s="5">
        <f t="shared" si="3"/>
        <v>11</v>
      </c>
      <c r="W5" s="4">
        <v>41</v>
      </c>
      <c r="AG5">
        <v>1</v>
      </c>
      <c r="AH5" s="14">
        <v>15.28022759601707</v>
      </c>
      <c r="AI5" s="14">
        <v>52.256045519203411</v>
      </c>
      <c r="AJ5" s="14">
        <v>67.536273115220482</v>
      </c>
      <c r="AK5" s="14">
        <v>39.658605974395449</v>
      </c>
      <c r="AL5" s="3" t="s">
        <v>65</v>
      </c>
      <c r="AM5" s="22">
        <v>278</v>
      </c>
      <c r="AN5" s="22">
        <v>1054</v>
      </c>
      <c r="AO5">
        <f>AM5/AN5</f>
        <v>0.26375711574952559</v>
      </c>
    </row>
    <row r="6" spans="1:41">
      <c r="A6" t="s">
        <v>169</v>
      </c>
      <c r="B6" t="s">
        <v>182</v>
      </c>
      <c r="C6">
        <v>1</v>
      </c>
      <c r="D6" t="s">
        <v>66</v>
      </c>
      <c r="E6">
        <v>6</v>
      </c>
      <c r="F6">
        <v>3</v>
      </c>
      <c r="G6" s="1">
        <f t="shared" si="0"/>
        <v>75</v>
      </c>
      <c r="H6">
        <v>235</v>
      </c>
      <c r="I6">
        <v>1985</v>
      </c>
      <c r="J6">
        <v>2004</v>
      </c>
      <c r="K6" s="1">
        <f t="shared" si="1"/>
        <v>19</v>
      </c>
      <c r="L6" t="s">
        <v>41</v>
      </c>
      <c r="M6" t="s">
        <v>43</v>
      </c>
      <c r="N6" s="2">
        <v>65</v>
      </c>
      <c r="O6" s="5">
        <v>19</v>
      </c>
      <c r="P6" s="5">
        <v>14</v>
      </c>
      <c r="Q6" s="5">
        <f t="shared" si="2"/>
        <v>33</v>
      </c>
      <c r="R6" s="4">
        <v>40</v>
      </c>
      <c r="S6" s="2">
        <v>52</v>
      </c>
      <c r="T6" s="5">
        <v>23</v>
      </c>
      <c r="U6" s="5">
        <v>12</v>
      </c>
      <c r="V6" s="5">
        <f t="shared" si="3"/>
        <v>35</v>
      </c>
      <c r="W6" s="4">
        <v>40</v>
      </c>
      <c r="X6">
        <f>O6/N6</f>
        <v>0.29230769230769232</v>
      </c>
      <c r="Y6">
        <f>T6/S6</f>
        <v>0.44230769230769229</v>
      </c>
      <c r="Z6">
        <f>X6-Y6</f>
        <v>-0.14999999999999997</v>
      </c>
      <c r="AA6">
        <f>P6/N6</f>
        <v>0.2153846153846154</v>
      </c>
      <c r="AB6">
        <f>U6/S6</f>
        <v>0.23076923076923078</v>
      </c>
      <c r="AC6">
        <f>AA6-AB6</f>
        <v>-1.5384615384615385E-2</v>
      </c>
      <c r="AD6">
        <f>Q6/N6</f>
        <v>0.50769230769230766</v>
      </c>
      <c r="AE6">
        <f>V6/S6</f>
        <v>0.67307692307692313</v>
      </c>
      <c r="AF6">
        <f>AD6-AE6</f>
        <v>-0.16538461538461546</v>
      </c>
      <c r="AG6">
        <v>1</v>
      </c>
      <c r="AH6" s="14">
        <v>49.806859205776171</v>
      </c>
      <c r="AI6" s="14">
        <v>41.666064981949454</v>
      </c>
      <c r="AJ6" s="14">
        <v>91.472924187725624</v>
      </c>
      <c r="AK6" s="14">
        <v>51.879061371841154</v>
      </c>
      <c r="AL6" s="5" t="s">
        <v>66</v>
      </c>
    </row>
    <row r="7" spans="1:41">
      <c r="A7" t="s">
        <v>430</v>
      </c>
      <c r="B7" t="s">
        <v>435</v>
      </c>
      <c r="C7">
        <v>1</v>
      </c>
      <c r="D7" t="s">
        <v>34</v>
      </c>
      <c r="E7">
        <v>5</v>
      </c>
      <c r="F7">
        <v>10</v>
      </c>
      <c r="G7" s="1">
        <f t="shared" si="0"/>
        <v>70</v>
      </c>
      <c r="H7">
        <v>177</v>
      </c>
      <c r="I7">
        <v>1988</v>
      </c>
      <c r="J7">
        <v>2007</v>
      </c>
      <c r="K7" s="1">
        <f t="shared" si="1"/>
        <v>19</v>
      </c>
      <c r="L7" t="s">
        <v>41</v>
      </c>
      <c r="M7" t="s">
        <v>44</v>
      </c>
      <c r="N7" s="2">
        <v>65</v>
      </c>
      <c r="O7" s="5">
        <v>67</v>
      </c>
      <c r="P7" s="5">
        <v>87</v>
      </c>
      <c r="Q7" s="5">
        <f t="shared" si="2"/>
        <v>154</v>
      </c>
      <c r="R7" s="4">
        <v>94</v>
      </c>
      <c r="S7" s="2">
        <f>43+15+6</f>
        <v>64</v>
      </c>
      <c r="T7" s="3">
        <f>35+17+7</f>
        <v>59</v>
      </c>
      <c r="U7" s="5">
        <f>33+17+5</f>
        <v>55</v>
      </c>
      <c r="V7" s="5">
        <f t="shared" si="3"/>
        <v>114</v>
      </c>
      <c r="W7" s="4">
        <f>10+12+2</f>
        <v>24</v>
      </c>
      <c r="AG7">
        <v>1</v>
      </c>
      <c r="AH7" s="14">
        <v>32.534054054054053</v>
      </c>
      <c r="AI7" s="14">
        <v>53.189189189189186</v>
      </c>
      <c r="AJ7" s="14">
        <v>85.723243243243246</v>
      </c>
      <c r="AK7" s="14">
        <v>31.913513513513511</v>
      </c>
      <c r="AL7" s="3" t="s">
        <v>600</v>
      </c>
    </row>
    <row r="8" spans="1:41">
      <c r="A8" s="6" t="s">
        <v>121</v>
      </c>
      <c r="B8" t="s">
        <v>133</v>
      </c>
      <c r="C8">
        <v>1</v>
      </c>
      <c r="D8" t="s">
        <v>35</v>
      </c>
      <c r="E8">
        <v>6</v>
      </c>
      <c r="F8">
        <v>1</v>
      </c>
      <c r="G8" s="1">
        <f t="shared" si="0"/>
        <v>73</v>
      </c>
      <c r="H8">
        <v>194</v>
      </c>
      <c r="I8">
        <v>1990</v>
      </c>
      <c r="J8">
        <v>2008</v>
      </c>
      <c r="K8" s="1">
        <f t="shared" si="1"/>
        <v>18</v>
      </c>
      <c r="L8" t="s">
        <v>41</v>
      </c>
      <c r="M8" t="s">
        <v>43</v>
      </c>
      <c r="N8" s="2">
        <v>68</v>
      </c>
      <c r="O8" s="5">
        <v>59</v>
      </c>
      <c r="P8" s="5">
        <v>52</v>
      </c>
      <c r="Q8" s="5">
        <f t="shared" si="2"/>
        <v>111</v>
      </c>
      <c r="R8" s="4">
        <v>92</v>
      </c>
      <c r="S8" s="2">
        <v>69</v>
      </c>
      <c r="T8" s="5">
        <v>44</v>
      </c>
      <c r="U8" s="5">
        <v>58</v>
      </c>
      <c r="V8" s="5">
        <f t="shared" si="3"/>
        <v>102</v>
      </c>
      <c r="W8" s="4">
        <v>64</v>
      </c>
      <c r="X8">
        <f>O8/N8</f>
        <v>0.86764705882352944</v>
      </c>
      <c r="Y8">
        <f>T8/S8</f>
        <v>0.6376811594202898</v>
      </c>
      <c r="Z8">
        <f>X8-Y8</f>
        <v>0.22996589940323964</v>
      </c>
      <c r="AA8">
        <f>P8/N8</f>
        <v>0.76470588235294112</v>
      </c>
      <c r="AB8">
        <f>U8/S8</f>
        <v>0.84057971014492749</v>
      </c>
      <c r="AC8">
        <f>AA8-AB8</f>
        <v>-7.587382779198637E-2</v>
      </c>
      <c r="AD8">
        <f>Q8/N8</f>
        <v>1.6323529411764706</v>
      </c>
      <c r="AE8">
        <f>V8/S8</f>
        <v>1.4782608695652173</v>
      </c>
      <c r="AF8">
        <f>AD8-AE8</f>
        <v>0.15409207161125327</v>
      </c>
      <c r="AG8">
        <v>1</v>
      </c>
      <c r="AH8" s="14">
        <v>42.931937172774873</v>
      </c>
      <c r="AI8" s="14">
        <v>41.42931937172775</v>
      </c>
      <c r="AJ8" s="14">
        <v>84.361256544502623</v>
      </c>
      <c r="AK8" s="14">
        <v>51.410994764397905</v>
      </c>
      <c r="AL8" s="5" t="s">
        <v>600</v>
      </c>
    </row>
    <row r="9" spans="1:41">
      <c r="A9" s="6" t="s">
        <v>49</v>
      </c>
      <c r="B9" t="s">
        <v>58</v>
      </c>
      <c r="C9">
        <v>1</v>
      </c>
      <c r="D9" t="s">
        <v>34</v>
      </c>
      <c r="E9">
        <v>6</v>
      </c>
      <c r="F9">
        <v>3</v>
      </c>
      <c r="G9" s="1">
        <f t="shared" si="0"/>
        <v>75</v>
      </c>
      <c r="H9">
        <v>223</v>
      </c>
      <c r="I9">
        <v>1997</v>
      </c>
      <c r="J9">
        <v>2016</v>
      </c>
      <c r="K9" s="1">
        <f t="shared" si="1"/>
        <v>19</v>
      </c>
      <c r="L9" t="s">
        <v>41</v>
      </c>
      <c r="M9" t="s">
        <v>44</v>
      </c>
      <c r="N9" s="2">
        <f>10+7+2+36+4</f>
        <v>59</v>
      </c>
      <c r="O9" s="3">
        <f>6+7+0+24+4</f>
        <v>41</v>
      </c>
      <c r="P9" s="3">
        <f>3+4+1+22</f>
        <v>30</v>
      </c>
      <c r="Q9" s="3">
        <f t="shared" si="2"/>
        <v>71</v>
      </c>
      <c r="R9" s="4">
        <f>2+2+0+6</f>
        <v>10</v>
      </c>
      <c r="S9" s="2">
        <f>24+60+7+5</f>
        <v>96</v>
      </c>
      <c r="T9" s="3">
        <f>20+55+8+1</f>
        <v>84</v>
      </c>
      <c r="U9" s="3">
        <f>28+61+7+2</f>
        <v>98</v>
      </c>
      <c r="V9" s="3">
        <f t="shared" si="3"/>
        <v>182</v>
      </c>
      <c r="W9" s="4">
        <f>10+30+0+4</f>
        <v>44</v>
      </c>
      <c r="X9">
        <f>O9/N9</f>
        <v>0.69491525423728817</v>
      </c>
      <c r="Y9">
        <f>T9/S9</f>
        <v>0.875</v>
      </c>
      <c r="Z9">
        <f>X9-Y9</f>
        <v>-0.18008474576271183</v>
      </c>
      <c r="AA9">
        <f>P9/N9</f>
        <v>0.50847457627118642</v>
      </c>
      <c r="AB9">
        <f>U9/S9</f>
        <v>1.0208333333333333</v>
      </c>
      <c r="AC9">
        <f>AA9-AB9</f>
        <v>-0.51235875706214684</v>
      </c>
      <c r="AD9">
        <f>Q9/N9</f>
        <v>1.2033898305084745</v>
      </c>
      <c r="AE9">
        <f>V9/S9</f>
        <v>1.8958333333333333</v>
      </c>
      <c r="AF9">
        <f>AD9-AE9</f>
        <v>-0.69244350282485878</v>
      </c>
      <c r="AG9">
        <v>1</v>
      </c>
      <c r="AH9" s="14">
        <v>43.617021276595743</v>
      </c>
      <c r="AI9" s="14">
        <v>37.336170212765957</v>
      </c>
      <c r="AJ9" s="14">
        <v>80.9531914893617</v>
      </c>
      <c r="AK9" s="14">
        <v>14.65531914893617</v>
      </c>
      <c r="AL9" s="5" t="s">
        <v>628</v>
      </c>
    </row>
    <row r="10" spans="1:41">
      <c r="A10" t="s">
        <v>169</v>
      </c>
      <c r="B10" t="s">
        <v>170</v>
      </c>
      <c r="C10">
        <v>4</v>
      </c>
      <c r="D10" t="s">
        <v>65</v>
      </c>
      <c r="E10">
        <v>6</v>
      </c>
      <c r="F10">
        <v>1</v>
      </c>
      <c r="G10" s="1">
        <f t="shared" si="0"/>
        <v>73</v>
      </c>
      <c r="H10">
        <v>210</v>
      </c>
      <c r="I10">
        <v>1987</v>
      </c>
      <c r="J10">
        <v>2006</v>
      </c>
      <c r="K10" s="1">
        <f t="shared" si="1"/>
        <v>19</v>
      </c>
      <c r="L10" t="s">
        <v>41</v>
      </c>
      <c r="M10" t="s">
        <v>44</v>
      </c>
      <c r="N10" s="2">
        <f>46+46+4</f>
        <v>96</v>
      </c>
      <c r="O10" s="5">
        <v>20</v>
      </c>
      <c r="P10" s="5">
        <v>32</v>
      </c>
      <c r="Q10" s="5">
        <f t="shared" si="2"/>
        <v>52</v>
      </c>
      <c r="R10" s="4">
        <v>60</v>
      </c>
      <c r="S10" s="2">
        <f>19+29+19</f>
        <v>67</v>
      </c>
      <c r="T10" s="5">
        <v>17</v>
      </c>
      <c r="U10" s="5">
        <v>17</v>
      </c>
      <c r="V10" s="5">
        <f t="shared" si="3"/>
        <v>34</v>
      </c>
      <c r="W10" s="4">
        <v>28</v>
      </c>
      <c r="X10">
        <f>O10/N10</f>
        <v>0.20833333333333334</v>
      </c>
      <c r="Y10">
        <f>T10/S10</f>
        <v>0.2537313432835821</v>
      </c>
      <c r="Z10">
        <f>X10-Y10</f>
        <v>-4.5398009950248758E-2</v>
      </c>
      <c r="AA10">
        <f>P10/N10</f>
        <v>0.33333333333333331</v>
      </c>
      <c r="AB10">
        <f>U10/S10</f>
        <v>0.2537313432835821</v>
      </c>
      <c r="AC10">
        <f>AA10-AB10</f>
        <v>7.9601990049751215E-2</v>
      </c>
      <c r="AD10">
        <f>Q10/N10</f>
        <v>0.54166666666666663</v>
      </c>
      <c r="AE10">
        <f>V10/S10</f>
        <v>0.5074626865671642</v>
      </c>
      <c r="AF10">
        <f>AD10-AE10</f>
        <v>3.4203980099502429E-2</v>
      </c>
      <c r="AG10">
        <v>1</v>
      </c>
      <c r="AH10" s="14">
        <v>20.99128540305011</v>
      </c>
      <c r="AI10" s="14">
        <v>58.596949891067545</v>
      </c>
      <c r="AJ10" s="14">
        <v>79.588235294117652</v>
      </c>
      <c r="AK10" s="14">
        <v>40.196078431372555</v>
      </c>
      <c r="AL10" s="5" t="s">
        <v>605</v>
      </c>
    </row>
    <row r="11" spans="1:41">
      <c r="A11" t="s">
        <v>461</v>
      </c>
      <c r="B11" t="s">
        <v>465</v>
      </c>
      <c r="C11">
        <v>3</v>
      </c>
      <c r="D11" t="s">
        <v>477</v>
      </c>
      <c r="E11">
        <v>6</v>
      </c>
      <c r="F11">
        <v>2</v>
      </c>
      <c r="G11" s="1">
        <f t="shared" si="0"/>
        <v>74</v>
      </c>
      <c r="H11">
        <v>208</v>
      </c>
      <c r="I11">
        <v>1995</v>
      </c>
      <c r="J11">
        <v>2014</v>
      </c>
      <c r="K11" s="1">
        <f t="shared" si="1"/>
        <v>19</v>
      </c>
      <c r="L11" t="s">
        <v>41</v>
      </c>
      <c r="M11" t="s">
        <v>44</v>
      </c>
      <c r="N11" s="2">
        <f>13+7+64+4</f>
        <v>88</v>
      </c>
      <c r="O11" s="3">
        <f>1+1+2+38</f>
        <v>42</v>
      </c>
      <c r="P11" s="3">
        <f>5+3+67+4</f>
        <v>79</v>
      </c>
      <c r="Q11" s="5">
        <f t="shared" si="2"/>
        <v>121</v>
      </c>
      <c r="R11" s="4">
        <f>24+52</f>
        <v>76</v>
      </c>
      <c r="V11" s="5">
        <f t="shared" si="3"/>
        <v>0</v>
      </c>
      <c r="AG11">
        <v>1</v>
      </c>
      <c r="AH11" s="14">
        <v>30.832000000000001</v>
      </c>
      <c r="AI11" s="14">
        <v>47.013333333333335</v>
      </c>
      <c r="AJ11" s="14">
        <v>77.845333333333343</v>
      </c>
      <c r="AK11" s="14">
        <v>28.864000000000001</v>
      </c>
      <c r="AL11" s="3" t="s">
        <v>599</v>
      </c>
    </row>
    <row r="12" spans="1:41">
      <c r="A12" s="6" t="s">
        <v>49</v>
      </c>
      <c r="B12" t="s">
        <v>62</v>
      </c>
      <c r="C12">
        <v>1</v>
      </c>
      <c r="D12" t="s">
        <v>35</v>
      </c>
      <c r="E12">
        <v>6</v>
      </c>
      <c r="F12">
        <v>1</v>
      </c>
      <c r="G12" s="1">
        <f t="shared" si="0"/>
        <v>73</v>
      </c>
      <c r="H12">
        <v>209</v>
      </c>
      <c r="I12">
        <v>1990</v>
      </c>
      <c r="J12">
        <v>2009</v>
      </c>
      <c r="K12" s="1">
        <f t="shared" si="1"/>
        <v>19</v>
      </c>
      <c r="L12" t="s">
        <v>41</v>
      </c>
      <c r="M12" t="s">
        <v>44</v>
      </c>
      <c r="N12" s="2">
        <f>6+56+24+32</f>
        <v>118</v>
      </c>
      <c r="O12" s="3">
        <f>8+58+32+26</f>
        <v>124</v>
      </c>
      <c r="P12" s="3">
        <f>7+46+18+28</f>
        <v>99</v>
      </c>
      <c r="Q12" s="3">
        <f t="shared" si="2"/>
        <v>223</v>
      </c>
      <c r="R12" s="4">
        <f>54+22+32</f>
        <v>108</v>
      </c>
      <c r="S12" s="2">
        <f>66</f>
        <v>66</v>
      </c>
      <c r="T12" s="3">
        <v>44</v>
      </c>
      <c r="U12" s="3">
        <v>79</v>
      </c>
      <c r="V12" s="3">
        <f t="shared" si="3"/>
        <v>123</v>
      </c>
      <c r="W12" s="4">
        <v>71</v>
      </c>
      <c r="X12">
        <f t="shared" ref="X12:X17" si="4">O12/N12</f>
        <v>1.0508474576271187</v>
      </c>
      <c r="Y12">
        <f t="shared" ref="Y12:Y17" si="5">T12/S12</f>
        <v>0.66666666666666663</v>
      </c>
      <c r="Z12">
        <f t="shared" ref="Z12:Z17" si="6">X12-Y12</f>
        <v>0.3841807909604521</v>
      </c>
      <c r="AA12">
        <f t="shared" ref="AA12:AA17" si="7">P12/N12</f>
        <v>0.83898305084745761</v>
      </c>
      <c r="AB12">
        <f t="shared" ref="AB12:AB17" si="8">U12/S12</f>
        <v>1.196969696969697</v>
      </c>
      <c r="AC12">
        <f t="shared" ref="AC12:AC17" si="9">AA12-AB12</f>
        <v>-0.3579866461222394</v>
      </c>
      <c r="AD12">
        <f t="shared" ref="AD12:AD17" si="10">Q12/N12</f>
        <v>1.8898305084745763</v>
      </c>
      <c r="AE12">
        <f t="shared" ref="AE12:AE17" si="11">V12/S12</f>
        <v>1.8636363636363635</v>
      </c>
      <c r="AF12">
        <f t="shared" ref="AF12:AF17" si="12">AD12-AE12</f>
        <v>2.6194144838212807E-2</v>
      </c>
      <c r="AG12">
        <v>1</v>
      </c>
      <c r="AH12" s="14">
        <v>34.745762711864408</v>
      </c>
      <c r="AI12" s="14">
        <v>42.550195567144719</v>
      </c>
      <c r="AJ12" s="14">
        <v>77.295958279009128</v>
      </c>
      <c r="AK12" s="14">
        <v>36.883963494132985</v>
      </c>
      <c r="AL12" s="3" t="s">
        <v>600</v>
      </c>
    </row>
    <row r="13" spans="1:41">
      <c r="A13" s="6" t="s">
        <v>49</v>
      </c>
      <c r="B13" t="s">
        <v>57</v>
      </c>
      <c r="C13">
        <v>4</v>
      </c>
      <c r="D13" t="s">
        <v>35</v>
      </c>
      <c r="E13">
        <v>6</v>
      </c>
      <c r="F13">
        <v>0</v>
      </c>
      <c r="G13" s="1">
        <f t="shared" si="0"/>
        <v>72</v>
      </c>
      <c r="H13">
        <v>175</v>
      </c>
      <c r="I13">
        <v>1997</v>
      </c>
      <c r="J13">
        <v>2015</v>
      </c>
      <c r="K13" s="1">
        <f t="shared" si="1"/>
        <v>18</v>
      </c>
      <c r="L13" t="s">
        <v>41</v>
      </c>
      <c r="M13" t="s">
        <v>43</v>
      </c>
      <c r="N13" s="2">
        <f>1+3+5+63</f>
        <v>72</v>
      </c>
      <c r="O13" s="3">
        <f>0+1+2+44</f>
        <v>47</v>
      </c>
      <c r="P13" s="3">
        <f>0+4+5+82</f>
        <v>91</v>
      </c>
      <c r="Q13" s="3">
        <f t="shared" si="2"/>
        <v>138</v>
      </c>
      <c r="R13" s="4">
        <f>0+0+6+53</f>
        <v>59</v>
      </c>
      <c r="S13" s="2">
        <f>5+3+64</f>
        <v>72</v>
      </c>
      <c r="T13" s="3">
        <f>13+6</f>
        <v>19</v>
      </c>
      <c r="U13" s="3">
        <f>46+1+3</f>
        <v>50</v>
      </c>
      <c r="V13" s="3">
        <f t="shared" si="3"/>
        <v>69</v>
      </c>
      <c r="W13" s="4">
        <f>24+2+2</f>
        <v>28</v>
      </c>
      <c r="X13">
        <f t="shared" si="4"/>
        <v>0.65277777777777779</v>
      </c>
      <c r="Y13">
        <f t="shared" si="5"/>
        <v>0.2638888888888889</v>
      </c>
      <c r="Z13">
        <f t="shared" si="6"/>
        <v>0.3888888888888889</v>
      </c>
      <c r="AA13">
        <f t="shared" si="7"/>
        <v>1.2638888888888888</v>
      </c>
      <c r="AB13">
        <f t="shared" si="8"/>
        <v>0.69444444444444442</v>
      </c>
      <c r="AC13">
        <f t="shared" si="9"/>
        <v>0.56944444444444442</v>
      </c>
      <c r="AD13">
        <f t="shared" si="10"/>
        <v>1.9166666666666667</v>
      </c>
      <c r="AE13">
        <f t="shared" si="11"/>
        <v>0.95833333333333337</v>
      </c>
      <c r="AF13">
        <f t="shared" si="12"/>
        <v>0.95833333333333337</v>
      </c>
      <c r="AG13">
        <v>1</v>
      </c>
      <c r="AH13" s="14">
        <v>22.478764478764479</v>
      </c>
      <c r="AI13" s="14">
        <v>54.138996138996134</v>
      </c>
      <c r="AJ13" s="14">
        <v>76.617760617760609</v>
      </c>
      <c r="AK13" s="14">
        <v>28.494208494208493</v>
      </c>
      <c r="AL13" s="5" t="s">
        <v>600</v>
      </c>
    </row>
    <row r="14" spans="1:41">
      <c r="A14" s="6" t="s">
        <v>17</v>
      </c>
      <c r="B14" t="s">
        <v>33</v>
      </c>
      <c r="C14">
        <v>25</v>
      </c>
      <c r="D14" t="s">
        <v>37</v>
      </c>
      <c r="E14">
        <v>6</v>
      </c>
      <c r="F14">
        <v>0</v>
      </c>
      <c r="G14" s="1">
        <f t="shared" si="0"/>
        <v>72</v>
      </c>
      <c r="H14">
        <v>194</v>
      </c>
      <c r="I14">
        <v>1996</v>
      </c>
      <c r="J14">
        <v>2014</v>
      </c>
      <c r="K14" s="1">
        <f t="shared" si="1"/>
        <v>18</v>
      </c>
      <c r="L14" t="s">
        <v>41</v>
      </c>
      <c r="M14" t="s">
        <v>43</v>
      </c>
      <c r="N14" s="2">
        <f>23+36+1+36+5+7+4</f>
        <v>112</v>
      </c>
      <c r="O14" s="3">
        <f>6+8+1+8+1+2</f>
        <v>26</v>
      </c>
      <c r="P14" s="3">
        <f>9+16+1+16+2+5+2</f>
        <v>51</v>
      </c>
      <c r="Q14" s="3">
        <f t="shared" si="2"/>
        <v>77</v>
      </c>
      <c r="R14" s="4">
        <f>33+24+24+2+2</f>
        <v>85</v>
      </c>
      <c r="S14" s="2">
        <v>11</v>
      </c>
      <c r="T14" s="5">
        <v>2</v>
      </c>
      <c r="U14" s="5">
        <v>1</v>
      </c>
      <c r="V14" s="3">
        <f t="shared" si="3"/>
        <v>3</v>
      </c>
      <c r="W14" s="4">
        <v>0</v>
      </c>
      <c r="X14">
        <f t="shared" si="4"/>
        <v>0.23214285714285715</v>
      </c>
      <c r="Y14">
        <f t="shared" si="5"/>
        <v>0.18181818181818182</v>
      </c>
      <c r="Z14">
        <f t="shared" si="6"/>
        <v>5.0324675324675328E-2</v>
      </c>
      <c r="AA14">
        <f t="shared" si="7"/>
        <v>0.45535714285714285</v>
      </c>
      <c r="AB14">
        <f t="shared" si="8"/>
        <v>9.0909090909090912E-2</v>
      </c>
      <c r="AC14">
        <f t="shared" si="9"/>
        <v>0.36444805194805197</v>
      </c>
      <c r="AD14">
        <f t="shared" si="10"/>
        <v>0.6875</v>
      </c>
      <c r="AE14">
        <f t="shared" si="11"/>
        <v>0.27272727272727271</v>
      </c>
      <c r="AF14">
        <f t="shared" si="12"/>
        <v>0.41477272727272729</v>
      </c>
      <c r="AG14">
        <v>1</v>
      </c>
      <c r="AH14" s="14">
        <v>36.310850439882699</v>
      </c>
      <c r="AI14" s="14">
        <v>40.158357771260995</v>
      </c>
      <c r="AJ14" s="14">
        <v>76.469208211143695</v>
      </c>
      <c r="AK14" s="14">
        <v>35.829912023460409</v>
      </c>
      <c r="AL14" s="3" t="s">
        <v>606</v>
      </c>
    </row>
    <row r="15" spans="1:41">
      <c r="A15" s="6" t="s">
        <v>69</v>
      </c>
      <c r="B15" t="s">
        <v>71</v>
      </c>
      <c r="C15">
        <v>2</v>
      </c>
      <c r="D15" t="s">
        <v>34</v>
      </c>
      <c r="E15">
        <v>6</v>
      </c>
      <c r="F15">
        <v>2</v>
      </c>
      <c r="G15" s="1">
        <f t="shared" si="0"/>
        <v>74</v>
      </c>
      <c r="H15">
        <v>206</v>
      </c>
      <c r="I15">
        <v>1996</v>
      </c>
      <c r="J15">
        <v>2015</v>
      </c>
      <c r="K15" s="1">
        <f t="shared" si="1"/>
        <v>19</v>
      </c>
      <c r="L15" t="s">
        <v>41</v>
      </c>
      <c r="M15" t="s">
        <v>43</v>
      </c>
      <c r="N15" s="2">
        <f>40+10+5</f>
        <v>55</v>
      </c>
      <c r="O15" s="3">
        <v>29</v>
      </c>
      <c r="P15" s="3">
        <v>53</v>
      </c>
      <c r="Q15" s="3">
        <f t="shared" si="2"/>
        <v>82</v>
      </c>
      <c r="R15" s="4">
        <v>42</v>
      </c>
      <c r="S15" s="2">
        <f>24+5+7+53</f>
        <v>89</v>
      </c>
      <c r="T15" s="5">
        <v>64</v>
      </c>
      <c r="U15" s="5">
        <v>83</v>
      </c>
      <c r="V15" s="3">
        <f t="shared" si="3"/>
        <v>147</v>
      </c>
      <c r="W15" s="4">
        <v>50</v>
      </c>
      <c r="X15">
        <f t="shared" si="4"/>
        <v>0.52727272727272723</v>
      </c>
      <c r="Y15">
        <f t="shared" si="5"/>
        <v>0.7191011235955056</v>
      </c>
      <c r="Z15">
        <f t="shared" si="6"/>
        <v>-0.19182839632277837</v>
      </c>
      <c r="AA15">
        <f t="shared" si="7"/>
        <v>0.96363636363636362</v>
      </c>
      <c r="AB15">
        <f t="shared" si="8"/>
        <v>0.93258426966292129</v>
      </c>
      <c r="AC15">
        <f t="shared" si="9"/>
        <v>3.105209397344233E-2</v>
      </c>
      <c r="AD15">
        <f t="shared" si="10"/>
        <v>1.490909090909091</v>
      </c>
      <c r="AE15">
        <f t="shared" si="11"/>
        <v>1.651685393258427</v>
      </c>
      <c r="AF15">
        <f t="shared" si="12"/>
        <v>-0.16077630234933604</v>
      </c>
      <c r="AG15">
        <v>1</v>
      </c>
      <c r="AH15" s="14">
        <v>30.449511400651467</v>
      </c>
      <c r="AI15" s="14">
        <v>45.407166123778502</v>
      </c>
      <c r="AJ15" s="14">
        <v>75.856677524429969</v>
      </c>
      <c r="AK15" s="14">
        <v>29.381107491856678</v>
      </c>
      <c r="AL15" s="3" t="s">
        <v>611</v>
      </c>
    </row>
    <row r="16" spans="1:41">
      <c r="A16" t="s">
        <v>220</v>
      </c>
      <c r="B16" t="s">
        <v>223</v>
      </c>
      <c r="C16">
        <v>22</v>
      </c>
      <c r="D16" t="s">
        <v>35</v>
      </c>
      <c r="E16">
        <v>5</v>
      </c>
      <c r="F16">
        <v>11</v>
      </c>
      <c r="G16" s="1">
        <f t="shared" si="0"/>
        <v>71</v>
      </c>
      <c r="H16">
        <v>185</v>
      </c>
      <c r="I16">
        <v>1988</v>
      </c>
      <c r="J16">
        <v>2006</v>
      </c>
      <c r="K16" s="1">
        <f t="shared" si="1"/>
        <v>18</v>
      </c>
      <c r="L16" t="s">
        <v>41</v>
      </c>
      <c r="M16" t="s">
        <v>43</v>
      </c>
      <c r="N16" s="2">
        <v>69</v>
      </c>
      <c r="O16" s="5">
        <v>39</v>
      </c>
      <c r="P16" s="5">
        <v>64</v>
      </c>
      <c r="Q16" s="5">
        <f t="shared" si="2"/>
        <v>103</v>
      </c>
      <c r="R16" s="4">
        <v>64</v>
      </c>
      <c r="S16" s="2">
        <v>48</v>
      </c>
      <c r="T16" s="5">
        <v>13</v>
      </c>
      <c r="U16" s="5">
        <v>27</v>
      </c>
      <c r="V16" s="5">
        <f t="shared" si="3"/>
        <v>40</v>
      </c>
      <c r="W16" s="4">
        <v>30</v>
      </c>
      <c r="X16">
        <f t="shared" si="4"/>
        <v>0.56521739130434778</v>
      </c>
      <c r="Y16">
        <f t="shared" si="5"/>
        <v>0.27083333333333331</v>
      </c>
      <c r="Z16">
        <f t="shared" si="6"/>
        <v>0.29438405797101447</v>
      </c>
      <c r="AA16">
        <f t="shared" si="7"/>
        <v>0.92753623188405798</v>
      </c>
      <c r="AB16">
        <f t="shared" si="8"/>
        <v>0.5625</v>
      </c>
      <c r="AC16">
        <f t="shared" si="9"/>
        <v>0.36503623188405798</v>
      </c>
      <c r="AD16">
        <f t="shared" si="10"/>
        <v>1.4927536231884058</v>
      </c>
      <c r="AE16">
        <f t="shared" si="11"/>
        <v>0.83333333333333337</v>
      </c>
      <c r="AF16">
        <f t="shared" si="12"/>
        <v>0.65942028985507239</v>
      </c>
      <c r="AG16">
        <v>1</v>
      </c>
      <c r="AH16" s="14">
        <v>23.498216409036861</v>
      </c>
      <c r="AI16" s="14">
        <v>52.066587395957193</v>
      </c>
      <c r="AJ16" s="14">
        <v>75.564803804994057</v>
      </c>
      <c r="AK16" s="14">
        <v>35.296076099881098</v>
      </c>
      <c r="AL16" s="5" t="s">
        <v>614</v>
      </c>
    </row>
    <row r="17" spans="1:38">
      <c r="A17" t="s">
        <v>188</v>
      </c>
      <c r="B17" t="s">
        <v>190</v>
      </c>
      <c r="C17">
        <v>16</v>
      </c>
      <c r="D17" t="s">
        <v>35</v>
      </c>
      <c r="E17">
        <v>6</v>
      </c>
      <c r="F17">
        <v>0</v>
      </c>
      <c r="G17" s="1">
        <f t="shared" si="0"/>
        <v>72</v>
      </c>
      <c r="H17">
        <v>187</v>
      </c>
      <c r="I17">
        <v>1997</v>
      </c>
      <c r="J17">
        <v>2015</v>
      </c>
      <c r="K17" s="1">
        <f t="shared" si="1"/>
        <v>18</v>
      </c>
      <c r="L17" t="s">
        <v>41</v>
      </c>
      <c r="M17" t="s">
        <v>43</v>
      </c>
      <c r="N17" s="2">
        <f>5+3+44+7</f>
        <v>59</v>
      </c>
      <c r="O17" s="3">
        <f>17</f>
        <v>17</v>
      </c>
      <c r="P17" s="5">
        <v>60</v>
      </c>
      <c r="Q17" s="5">
        <f t="shared" si="2"/>
        <v>77</v>
      </c>
      <c r="R17" s="4">
        <v>22</v>
      </c>
      <c r="S17" s="2">
        <v>66</v>
      </c>
      <c r="T17" s="5">
        <v>17</v>
      </c>
      <c r="U17" s="5">
        <v>41</v>
      </c>
      <c r="V17" s="5">
        <f t="shared" si="3"/>
        <v>58</v>
      </c>
      <c r="W17" s="4">
        <v>26</v>
      </c>
      <c r="X17">
        <f t="shared" si="4"/>
        <v>0.28813559322033899</v>
      </c>
      <c r="Y17">
        <f t="shared" si="5"/>
        <v>0.25757575757575757</v>
      </c>
      <c r="Z17">
        <f t="shared" si="6"/>
        <v>3.0559835644581423E-2</v>
      </c>
      <c r="AA17">
        <f t="shared" si="7"/>
        <v>1.0169491525423728</v>
      </c>
      <c r="AB17">
        <f t="shared" si="8"/>
        <v>0.62121212121212122</v>
      </c>
      <c r="AC17">
        <f t="shared" si="9"/>
        <v>0.39573703133025162</v>
      </c>
      <c r="AD17">
        <f t="shared" si="10"/>
        <v>1.3050847457627119</v>
      </c>
      <c r="AE17">
        <f t="shared" si="11"/>
        <v>0.87878787878787878</v>
      </c>
      <c r="AF17">
        <f t="shared" si="12"/>
        <v>0.42629686697483316</v>
      </c>
      <c r="AG17">
        <v>1</v>
      </c>
      <c r="AH17" s="14">
        <v>21.71891891891892</v>
      </c>
      <c r="AI17" s="14">
        <v>50.972972972972975</v>
      </c>
      <c r="AJ17" s="14">
        <v>72.691891891891899</v>
      </c>
      <c r="AK17" s="14">
        <v>39.005405405405405</v>
      </c>
      <c r="AL17" s="3" t="s">
        <v>599</v>
      </c>
    </row>
    <row r="18" spans="1:38">
      <c r="A18" t="s">
        <v>397</v>
      </c>
      <c r="B18" t="s">
        <v>410</v>
      </c>
      <c r="C18">
        <v>2</v>
      </c>
      <c r="D18" t="s">
        <v>35</v>
      </c>
      <c r="E18">
        <v>6</v>
      </c>
      <c r="F18">
        <v>1</v>
      </c>
      <c r="G18" s="1">
        <f t="shared" si="0"/>
        <v>73</v>
      </c>
      <c r="H18">
        <v>200</v>
      </c>
      <c r="I18">
        <v>1992</v>
      </c>
      <c r="J18">
        <v>2010</v>
      </c>
      <c r="K18" s="1">
        <f t="shared" si="1"/>
        <v>18</v>
      </c>
      <c r="L18" t="s">
        <v>41</v>
      </c>
      <c r="M18" t="s">
        <v>43</v>
      </c>
      <c r="N18" s="2">
        <v>63</v>
      </c>
      <c r="O18" s="5">
        <v>48</v>
      </c>
      <c r="P18" s="5">
        <v>58</v>
      </c>
      <c r="Q18" s="5">
        <f t="shared" si="2"/>
        <v>106</v>
      </c>
      <c r="R18" s="4">
        <v>54</v>
      </c>
      <c r="S18" s="2">
        <v>61</v>
      </c>
      <c r="T18" s="5">
        <v>21</v>
      </c>
      <c r="U18" s="5">
        <v>46</v>
      </c>
      <c r="V18" s="5">
        <f t="shared" si="3"/>
        <v>67</v>
      </c>
      <c r="W18" s="4">
        <v>28</v>
      </c>
      <c r="AG18">
        <v>1</v>
      </c>
      <c r="AH18" s="14">
        <v>31.620143884892087</v>
      </c>
      <c r="AI18" s="14">
        <v>39.643165467625899</v>
      </c>
      <c r="AJ18" s="14">
        <v>71.263309352517993</v>
      </c>
      <c r="AK18" s="14">
        <v>24.658992805755396</v>
      </c>
      <c r="AL18" s="3" t="s">
        <v>600</v>
      </c>
    </row>
    <row r="19" spans="1:38">
      <c r="A19" t="s">
        <v>413</v>
      </c>
      <c r="B19" t="s">
        <v>425</v>
      </c>
      <c r="C19">
        <v>7</v>
      </c>
      <c r="D19" t="s">
        <v>35</v>
      </c>
      <c r="E19">
        <v>6</v>
      </c>
      <c r="F19">
        <v>3</v>
      </c>
      <c r="G19" s="1">
        <f t="shared" si="0"/>
        <v>75</v>
      </c>
      <c r="H19">
        <v>207</v>
      </c>
      <c r="I19">
        <v>1993</v>
      </c>
      <c r="J19">
        <v>2011</v>
      </c>
      <c r="K19" s="1">
        <f t="shared" si="1"/>
        <v>18</v>
      </c>
      <c r="L19" t="s">
        <v>41</v>
      </c>
      <c r="M19" t="s">
        <v>43</v>
      </c>
      <c r="N19" s="2">
        <v>73</v>
      </c>
      <c r="O19" s="5">
        <v>28</v>
      </c>
      <c r="P19" s="5">
        <v>55</v>
      </c>
      <c r="Q19" s="5">
        <f t="shared" si="2"/>
        <v>83</v>
      </c>
      <c r="R19" s="4">
        <v>37</v>
      </c>
      <c r="S19" s="2">
        <v>51</v>
      </c>
      <c r="T19" s="5">
        <v>18</v>
      </c>
      <c r="U19" s="5">
        <v>37</v>
      </c>
      <c r="V19" s="5">
        <f t="shared" si="3"/>
        <v>55</v>
      </c>
      <c r="W19" s="4">
        <v>20</v>
      </c>
      <c r="AG19">
        <v>1</v>
      </c>
      <c r="AH19" s="14">
        <v>27.68152866242038</v>
      </c>
      <c r="AI19" s="14">
        <v>40.738853503184714</v>
      </c>
      <c r="AJ19" s="14">
        <v>68.420382165605091</v>
      </c>
      <c r="AK19" s="14">
        <v>32.382165605095537</v>
      </c>
      <c r="AL19" s="5" t="s">
        <v>600</v>
      </c>
    </row>
    <row r="20" spans="1:38">
      <c r="A20" t="s">
        <v>169</v>
      </c>
      <c r="B20" t="s">
        <v>178</v>
      </c>
      <c r="C20">
        <v>26</v>
      </c>
      <c r="D20" t="s">
        <v>66</v>
      </c>
      <c r="E20">
        <v>6</v>
      </c>
      <c r="F20">
        <v>2</v>
      </c>
      <c r="G20" s="1">
        <f t="shared" si="0"/>
        <v>74</v>
      </c>
      <c r="H20">
        <v>204</v>
      </c>
      <c r="I20">
        <v>1992</v>
      </c>
      <c r="J20">
        <v>2010</v>
      </c>
      <c r="K20" s="1">
        <f t="shared" si="1"/>
        <v>18</v>
      </c>
      <c r="L20" t="s">
        <v>41</v>
      </c>
      <c r="M20" t="s">
        <v>44</v>
      </c>
      <c r="N20" s="2">
        <v>35</v>
      </c>
      <c r="O20" s="5">
        <v>2</v>
      </c>
      <c r="P20" s="5">
        <v>7</v>
      </c>
      <c r="Q20" s="5">
        <f t="shared" si="2"/>
        <v>9</v>
      </c>
      <c r="R20" s="4">
        <v>10</v>
      </c>
      <c r="V20" s="5">
        <f t="shared" si="3"/>
        <v>0</v>
      </c>
      <c r="X20">
        <f>O20/N20</f>
        <v>5.7142857142857141E-2</v>
      </c>
      <c r="Y20" t="e">
        <f>T20/S20</f>
        <v>#DIV/0!</v>
      </c>
      <c r="Z20" t="e">
        <f>X20-Y20</f>
        <v>#DIV/0!</v>
      </c>
      <c r="AA20">
        <f>P20/N20</f>
        <v>0.2</v>
      </c>
      <c r="AB20" t="e">
        <f>U20/S20</f>
        <v>#DIV/0!</v>
      </c>
      <c r="AC20" t="e">
        <f>AA20-AB20</f>
        <v>#DIV/0!</v>
      </c>
      <c r="AD20">
        <f>Q20/N20</f>
        <v>0.25714285714285712</v>
      </c>
      <c r="AE20" t="e">
        <f>V20/S20</f>
        <v>#DIV/0!</v>
      </c>
      <c r="AF20" t="e">
        <f>AD20-AE20</f>
        <v>#DIV/0!</v>
      </c>
      <c r="AG20">
        <v>1</v>
      </c>
      <c r="AH20" s="14">
        <v>20.82837528604119</v>
      </c>
      <c r="AI20" s="14">
        <v>46.535469107551492</v>
      </c>
      <c r="AJ20" s="14">
        <v>67.363844393592686</v>
      </c>
      <c r="AK20" s="14">
        <v>40.906178489702519</v>
      </c>
      <c r="AL20" s="5" t="s">
        <v>624</v>
      </c>
    </row>
    <row r="21" spans="1:38">
      <c r="A21" t="s">
        <v>478</v>
      </c>
      <c r="B21" t="s">
        <v>491</v>
      </c>
      <c r="C21">
        <v>5</v>
      </c>
      <c r="D21" t="s">
        <v>34</v>
      </c>
      <c r="E21">
        <v>6</v>
      </c>
      <c r="F21">
        <v>0</v>
      </c>
      <c r="G21" s="1">
        <f t="shared" si="0"/>
        <v>72</v>
      </c>
      <c r="H21">
        <v>202</v>
      </c>
      <c r="I21">
        <v>1987</v>
      </c>
      <c r="J21">
        <v>2006</v>
      </c>
      <c r="K21" s="1">
        <f t="shared" si="1"/>
        <v>19</v>
      </c>
      <c r="L21" t="s">
        <v>41</v>
      </c>
      <c r="M21" t="s">
        <v>43</v>
      </c>
      <c r="N21" s="2">
        <f>39+7+7</f>
        <v>53</v>
      </c>
      <c r="O21" s="3">
        <f>18+1+1</f>
        <v>20</v>
      </c>
      <c r="P21" s="3">
        <f>33+11</f>
        <v>44</v>
      </c>
      <c r="Q21" s="5">
        <f t="shared" si="2"/>
        <v>64</v>
      </c>
      <c r="R21" s="4">
        <v>32</v>
      </c>
      <c r="S21" s="2">
        <f>31+7+6+14</f>
        <v>58</v>
      </c>
      <c r="T21" s="3">
        <f>41+4+9+11</f>
        <v>65</v>
      </c>
      <c r="U21" s="3">
        <f>32+2+7+14</f>
        <v>55</v>
      </c>
      <c r="V21" s="5">
        <f t="shared" si="3"/>
        <v>120</v>
      </c>
      <c r="W21" s="4">
        <f>16+4+21</f>
        <v>41</v>
      </c>
      <c r="AG21">
        <v>1</v>
      </c>
      <c r="AH21" s="14">
        <v>28.969578017664375</v>
      </c>
      <c r="AI21" s="14">
        <v>38.304219823356227</v>
      </c>
      <c r="AJ21" s="14">
        <v>67.27379784102061</v>
      </c>
      <c r="AK21" s="14">
        <v>24.624141315014718</v>
      </c>
      <c r="AL21" s="3" t="s">
        <v>613</v>
      </c>
    </row>
    <row r="22" spans="1:38">
      <c r="A22" t="s">
        <v>234</v>
      </c>
      <c r="B22" t="s">
        <v>235</v>
      </c>
      <c r="C22">
        <v>35</v>
      </c>
      <c r="D22" t="s">
        <v>38</v>
      </c>
      <c r="E22">
        <v>6</v>
      </c>
      <c r="F22">
        <v>0</v>
      </c>
      <c r="G22" s="1">
        <f t="shared" si="0"/>
        <v>72</v>
      </c>
      <c r="H22">
        <v>176</v>
      </c>
      <c r="I22">
        <v>1997</v>
      </c>
      <c r="J22">
        <v>2015</v>
      </c>
      <c r="K22" s="1">
        <f t="shared" si="1"/>
        <v>18</v>
      </c>
      <c r="L22" t="s">
        <v>41</v>
      </c>
      <c r="M22" t="s">
        <v>44</v>
      </c>
      <c r="N22" s="2">
        <f>30+22+10+7+5+1+4</f>
        <v>79</v>
      </c>
      <c r="O22" s="3">
        <f>4+9+1+5</f>
        <v>19</v>
      </c>
      <c r="P22" s="3">
        <f>9+7+9+1+1+2</f>
        <v>29</v>
      </c>
      <c r="Q22" s="5">
        <f t="shared" si="2"/>
        <v>48</v>
      </c>
      <c r="R22" s="4">
        <f>10+8+4+2+2</f>
        <v>26</v>
      </c>
      <c r="S22" s="2">
        <f>23+4+44+2+3+5</f>
        <v>81</v>
      </c>
      <c r="T22" s="3">
        <f>5+25+3+2</f>
        <v>35</v>
      </c>
      <c r="U22" s="3">
        <f>5+34+3+1+1</f>
        <v>44</v>
      </c>
      <c r="V22" s="5">
        <f t="shared" si="3"/>
        <v>79</v>
      </c>
      <c r="W22" s="4">
        <f>8+2+18+4</f>
        <v>32</v>
      </c>
      <c r="X22">
        <f>O22/N22</f>
        <v>0.24050632911392406</v>
      </c>
      <c r="Y22">
        <f>T22/S22</f>
        <v>0.43209876543209874</v>
      </c>
      <c r="Z22">
        <f>X22-Y22</f>
        <v>-0.19159243631817469</v>
      </c>
      <c r="AA22">
        <f>P22/N22</f>
        <v>0.36708860759493672</v>
      </c>
      <c r="AB22">
        <f>U22/S22</f>
        <v>0.54320987654320985</v>
      </c>
      <c r="AC22">
        <f>AA22-AB22</f>
        <v>-0.17612126894827312</v>
      </c>
      <c r="AD22">
        <f>Q22/N22</f>
        <v>0.60759493670886078</v>
      </c>
      <c r="AE22">
        <f>V22/S22</f>
        <v>0.97530864197530864</v>
      </c>
      <c r="AF22">
        <f>AD22-AE22</f>
        <v>-0.36771370526644787</v>
      </c>
      <c r="AG22">
        <v>1</v>
      </c>
      <c r="AH22" s="14">
        <v>28.99619771863118</v>
      </c>
      <c r="AI22" s="14">
        <v>37.414448669201519</v>
      </c>
      <c r="AJ22" s="14">
        <v>66.410646387832699</v>
      </c>
      <c r="AK22" s="14">
        <v>25.566539923954373</v>
      </c>
      <c r="AL22" s="3" t="s">
        <v>615</v>
      </c>
    </row>
    <row r="23" spans="1:38">
      <c r="A23" t="s">
        <v>413</v>
      </c>
      <c r="B23" t="s">
        <v>427</v>
      </c>
      <c r="C23">
        <v>5</v>
      </c>
      <c r="D23" t="s">
        <v>34</v>
      </c>
      <c r="E23">
        <v>6</v>
      </c>
      <c r="F23">
        <v>5</v>
      </c>
      <c r="G23" s="1">
        <f t="shared" si="0"/>
        <v>77</v>
      </c>
      <c r="H23">
        <v>225</v>
      </c>
      <c r="I23">
        <v>1986</v>
      </c>
      <c r="J23">
        <v>2004</v>
      </c>
      <c r="K23" s="1">
        <f t="shared" si="1"/>
        <v>18</v>
      </c>
      <c r="L23" t="s">
        <v>41</v>
      </c>
      <c r="M23" t="s">
        <v>43</v>
      </c>
      <c r="N23" s="2">
        <v>51</v>
      </c>
      <c r="O23" s="5">
        <v>44</v>
      </c>
      <c r="P23" s="5">
        <v>56</v>
      </c>
      <c r="Q23" s="5">
        <f t="shared" si="2"/>
        <v>100</v>
      </c>
      <c r="R23" s="4">
        <v>34</v>
      </c>
      <c r="S23" s="2">
        <v>26</v>
      </c>
      <c r="T23" s="5">
        <v>15</v>
      </c>
      <c r="U23" s="5">
        <v>27</v>
      </c>
      <c r="V23" s="5">
        <f t="shared" si="3"/>
        <v>42</v>
      </c>
      <c r="W23" s="4">
        <v>0</v>
      </c>
      <c r="AG23">
        <v>1</v>
      </c>
      <c r="AH23" s="14">
        <v>22.937712344280861</v>
      </c>
      <c r="AI23" s="14">
        <v>42.810872027180068</v>
      </c>
      <c r="AJ23" s="14">
        <v>65.748584371460922</v>
      </c>
      <c r="AK23" s="14">
        <v>54.047565118912793</v>
      </c>
      <c r="AL23" s="5" t="s">
        <v>603</v>
      </c>
    </row>
    <row r="24" spans="1:38">
      <c r="A24" s="6" t="s">
        <v>17</v>
      </c>
      <c r="B24" t="s">
        <v>19</v>
      </c>
      <c r="C24">
        <v>45</v>
      </c>
      <c r="D24" t="s">
        <v>35</v>
      </c>
      <c r="E24">
        <v>6</v>
      </c>
      <c r="F24">
        <v>1</v>
      </c>
      <c r="G24" s="1">
        <f t="shared" si="0"/>
        <v>73</v>
      </c>
      <c r="H24">
        <v>195</v>
      </c>
      <c r="I24">
        <v>1985</v>
      </c>
      <c r="J24">
        <v>2003</v>
      </c>
      <c r="K24" s="1">
        <f t="shared" si="1"/>
        <v>18</v>
      </c>
      <c r="L24" t="s">
        <v>41</v>
      </c>
      <c r="M24" t="s">
        <v>43</v>
      </c>
      <c r="N24" s="2">
        <v>70</v>
      </c>
      <c r="O24" s="3">
        <v>23</v>
      </c>
      <c r="P24" s="3">
        <v>50</v>
      </c>
      <c r="Q24" s="3">
        <f t="shared" si="2"/>
        <v>73</v>
      </c>
      <c r="R24" s="4">
        <v>62</v>
      </c>
      <c r="S24" s="2">
        <v>42</v>
      </c>
      <c r="T24" s="3">
        <v>25</v>
      </c>
      <c r="U24" s="3">
        <v>38</v>
      </c>
      <c r="V24" s="3">
        <f t="shared" si="3"/>
        <v>63</v>
      </c>
      <c r="W24" s="4">
        <v>18</v>
      </c>
      <c r="X24">
        <f>O24/N24</f>
        <v>0.32857142857142857</v>
      </c>
      <c r="Y24">
        <f>T24/S24</f>
        <v>0.59523809523809523</v>
      </c>
      <c r="Z24">
        <f>X24-Y24</f>
        <v>-0.26666666666666666</v>
      </c>
      <c r="AA24">
        <f>P24/N24</f>
        <v>0.7142857142857143</v>
      </c>
      <c r="AB24">
        <f>U24/S24</f>
        <v>0.90476190476190477</v>
      </c>
      <c r="AC24">
        <f>AA24-AB24</f>
        <v>-0.19047619047619047</v>
      </c>
      <c r="AD24">
        <f>Q24/N24</f>
        <v>1.0428571428571429</v>
      </c>
      <c r="AE24">
        <f>V24/S24</f>
        <v>1.5</v>
      </c>
      <c r="AF24">
        <f>AD24-AE24</f>
        <v>-0.45714285714285707</v>
      </c>
      <c r="AG24">
        <v>1</v>
      </c>
      <c r="AH24" s="14">
        <v>25.766953199617959</v>
      </c>
      <c r="AI24" s="14">
        <v>39.394460362941743</v>
      </c>
      <c r="AJ24" s="14">
        <v>65.161413562559702</v>
      </c>
      <c r="AK24" s="14">
        <v>31.797516714422162</v>
      </c>
      <c r="AL24" s="3" t="s">
        <v>614</v>
      </c>
    </row>
    <row r="25" spans="1:38">
      <c r="A25" t="s">
        <v>306</v>
      </c>
      <c r="B25" t="s">
        <v>314</v>
      </c>
      <c r="C25">
        <v>33</v>
      </c>
      <c r="D25" t="s">
        <v>35</v>
      </c>
      <c r="E25">
        <v>6</v>
      </c>
      <c r="F25">
        <v>1</v>
      </c>
      <c r="G25" s="1">
        <f t="shared" si="0"/>
        <v>73</v>
      </c>
      <c r="H25">
        <v>216</v>
      </c>
      <c r="I25">
        <v>1991</v>
      </c>
      <c r="J25">
        <v>2009</v>
      </c>
      <c r="K25" s="1">
        <f t="shared" si="1"/>
        <v>18</v>
      </c>
      <c r="L25" t="s">
        <v>41</v>
      </c>
      <c r="M25" t="s">
        <v>44</v>
      </c>
      <c r="N25" s="2">
        <v>74</v>
      </c>
      <c r="O25" s="5">
        <v>18</v>
      </c>
      <c r="P25" s="5">
        <v>53</v>
      </c>
      <c r="Q25" s="5">
        <f t="shared" si="2"/>
        <v>71</v>
      </c>
      <c r="R25" s="4">
        <v>26</v>
      </c>
      <c r="S25" s="2">
        <v>61</v>
      </c>
      <c r="T25" s="5">
        <v>19</v>
      </c>
      <c r="U25" s="5">
        <v>33</v>
      </c>
      <c r="V25" s="5">
        <f t="shared" si="3"/>
        <v>52</v>
      </c>
      <c r="W25" s="4">
        <v>14</v>
      </c>
      <c r="X25">
        <f>O25/N25</f>
        <v>0.24324324324324326</v>
      </c>
      <c r="Y25">
        <f>T25/S25</f>
        <v>0.31147540983606559</v>
      </c>
      <c r="Z25">
        <f>X25-Y25</f>
        <v>-6.823216659282233E-2</v>
      </c>
      <c r="AA25">
        <f>P25/N25</f>
        <v>0.71621621621621623</v>
      </c>
      <c r="AB25">
        <f>U25/S25</f>
        <v>0.54098360655737709</v>
      </c>
      <c r="AC25">
        <f>AA25-AB25</f>
        <v>0.17523260965883913</v>
      </c>
      <c r="AD25">
        <f>Q25/N25</f>
        <v>0.95945945945945943</v>
      </c>
      <c r="AE25">
        <f>V25/S25</f>
        <v>0.85245901639344257</v>
      </c>
      <c r="AF25">
        <f>AD25-AE25</f>
        <v>0.10700044306601686</v>
      </c>
      <c r="AG25">
        <v>1</v>
      </c>
      <c r="AH25" s="14">
        <v>20.391534391534389</v>
      </c>
      <c r="AI25" s="14">
        <v>35.902116402116398</v>
      </c>
      <c r="AJ25" s="14">
        <v>56.293650793650791</v>
      </c>
      <c r="AK25" s="14">
        <v>10.846560846560847</v>
      </c>
      <c r="AL25" s="5" t="s">
        <v>600</v>
      </c>
    </row>
    <row r="26" spans="1:38">
      <c r="A26" s="6" t="s">
        <v>148</v>
      </c>
      <c r="B26" t="s">
        <v>160</v>
      </c>
      <c r="C26">
        <v>15</v>
      </c>
      <c r="D26" t="s">
        <v>34</v>
      </c>
      <c r="E26">
        <v>6</v>
      </c>
      <c r="F26">
        <v>1</v>
      </c>
      <c r="G26" s="1">
        <f t="shared" si="0"/>
        <v>73</v>
      </c>
      <c r="H26">
        <v>198</v>
      </c>
      <c r="I26">
        <v>1996</v>
      </c>
      <c r="J26">
        <v>2014</v>
      </c>
      <c r="K26" s="1">
        <f t="shared" si="1"/>
        <v>18</v>
      </c>
      <c r="L26" t="s">
        <v>41</v>
      </c>
      <c r="M26" t="s">
        <v>44</v>
      </c>
      <c r="N26" s="2">
        <v>26</v>
      </c>
      <c r="O26" s="5">
        <v>17</v>
      </c>
      <c r="P26" s="5">
        <v>9</v>
      </c>
      <c r="Q26" s="5">
        <f t="shared" si="2"/>
        <v>26</v>
      </c>
      <c r="R26" s="4">
        <v>24</v>
      </c>
      <c r="S26" s="2">
        <v>37</v>
      </c>
      <c r="T26" s="5">
        <v>7</v>
      </c>
      <c r="U26" s="5">
        <v>7</v>
      </c>
      <c r="V26" s="5">
        <f t="shared" si="3"/>
        <v>14</v>
      </c>
      <c r="W26" s="4">
        <v>40</v>
      </c>
      <c r="X26">
        <f>O26/N26</f>
        <v>0.65384615384615385</v>
      </c>
      <c r="Y26">
        <f>T26/S26</f>
        <v>0.1891891891891892</v>
      </c>
      <c r="Z26">
        <f>X26-Y26</f>
        <v>0.46465696465696466</v>
      </c>
      <c r="AA26">
        <f>P26/N26</f>
        <v>0.34615384615384615</v>
      </c>
      <c r="AB26">
        <f>U26/S26</f>
        <v>0.1891891891891892</v>
      </c>
      <c r="AC26">
        <f>AA26-AB26</f>
        <v>0.15696465696465695</v>
      </c>
      <c r="AD26">
        <f>Q26/N26</f>
        <v>1</v>
      </c>
      <c r="AE26">
        <f>V26/S26</f>
        <v>0.3783783783783784</v>
      </c>
      <c r="AF26">
        <f>AD26-AE26</f>
        <v>0.6216216216216216</v>
      </c>
      <c r="AG26">
        <v>1</v>
      </c>
      <c r="AH26" s="14">
        <v>22.604105571847509</v>
      </c>
      <c r="AI26" s="14">
        <v>32.463343108504397</v>
      </c>
      <c r="AJ26" s="14">
        <v>55.067448680351909</v>
      </c>
      <c r="AK26" s="14">
        <v>53.384164222873899</v>
      </c>
      <c r="AL26" s="5" t="s">
        <v>608</v>
      </c>
    </row>
    <row r="27" spans="1:38">
      <c r="A27" t="s">
        <v>498</v>
      </c>
      <c r="B27" t="s">
        <v>507</v>
      </c>
      <c r="C27">
        <v>5</v>
      </c>
      <c r="D27" t="s">
        <v>65</v>
      </c>
      <c r="E27">
        <v>6</v>
      </c>
      <c r="F27">
        <v>2</v>
      </c>
      <c r="G27" s="1">
        <f t="shared" si="0"/>
        <v>74</v>
      </c>
      <c r="H27">
        <v>176</v>
      </c>
      <c r="I27">
        <v>1998</v>
      </c>
      <c r="J27">
        <v>2017</v>
      </c>
      <c r="K27" s="1">
        <f t="shared" si="1"/>
        <v>19</v>
      </c>
      <c r="L27" t="s">
        <v>41</v>
      </c>
      <c r="M27" t="s">
        <v>44</v>
      </c>
      <c r="N27" s="2">
        <v>49</v>
      </c>
      <c r="O27" s="5">
        <v>19</v>
      </c>
      <c r="P27" s="5">
        <v>23</v>
      </c>
      <c r="Q27" s="5">
        <f t="shared" si="2"/>
        <v>42</v>
      </c>
      <c r="R27" s="4">
        <v>14</v>
      </c>
      <c r="S27" s="2">
        <v>22</v>
      </c>
      <c r="T27" s="5">
        <v>6</v>
      </c>
      <c r="U27" s="5">
        <v>8</v>
      </c>
      <c r="V27" s="5">
        <f t="shared" si="3"/>
        <v>14</v>
      </c>
      <c r="W27" s="4">
        <v>20</v>
      </c>
      <c r="AG27">
        <v>0</v>
      </c>
      <c r="AH27" s="14">
        <v>32.276595744680854</v>
      </c>
      <c r="AI27" s="14">
        <v>49.723404255319153</v>
      </c>
      <c r="AJ27" s="14">
        <v>82</v>
      </c>
      <c r="AK27" s="14">
        <v>13.957446808510639</v>
      </c>
      <c r="AL27" s="5" t="s">
        <v>606</v>
      </c>
    </row>
    <row r="28" spans="1:38">
      <c r="A28" t="s">
        <v>576</v>
      </c>
      <c r="B28" t="s">
        <v>585</v>
      </c>
      <c r="C28">
        <v>1</v>
      </c>
      <c r="D28" t="s">
        <v>66</v>
      </c>
      <c r="E28">
        <v>6</v>
      </c>
      <c r="F28">
        <v>3</v>
      </c>
      <c r="G28" s="1">
        <f t="shared" si="0"/>
        <v>75</v>
      </c>
      <c r="H28">
        <v>222</v>
      </c>
      <c r="I28">
        <v>1983</v>
      </c>
      <c r="J28">
        <v>2001</v>
      </c>
      <c r="K28" s="1">
        <f t="shared" si="1"/>
        <v>18</v>
      </c>
      <c r="L28" t="s">
        <v>41</v>
      </c>
      <c r="M28" t="s">
        <v>43</v>
      </c>
      <c r="N28" s="2">
        <v>53</v>
      </c>
      <c r="O28" s="5">
        <v>43</v>
      </c>
      <c r="P28" s="5">
        <v>24</v>
      </c>
      <c r="Q28" s="5">
        <f t="shared" si="2"/>
        <v>67</v>
      </c>
      <c r="R28" s="4">
        <f>78+37+26</f>
        <v>141</v>
      </c>
      <c r="S28" s="2">
        <f>49+2+6</f>
        <v>57</v>
      </c>
      <c r="T28" s="5">
        <v>16</v>
      </c>
      <c r="U28" s="5">
        <v>9</v>
      </c>
      <c r="V28" s="5">
        <f t="shared" si="3"/>
        <v>25</v>
      </c>
      <c r="W28" s="4">
        <f>75+14+6</f>
        <v>95</v>
      </c>
      <c r="AG28">
        <v>0</v>
      </c>
      <c r="AH28" s="14">
        <v>39.857302118171681</v>
      </c>
      <c r="AI28" s="14">
        <v>38.668896321070235</v>
      </c>
      <c r="AJ28" s="14">
        <v>78.526198439241924</v>
      </c>
      <c r="AK28" s="14">
        <v>49.181716833890746</v>
      </c>
      <c r="AL28" s="5" t="s">
        <v>66</v>
      </c>
    </row>
    <row r="29" spans="1:38">
      <c r="A29" t="s">
        <v>539</v>
      </c>
      <c r="B29" t="s">
        <v>554</v>
      </c>
      <c r="C29">
        <v>1</v>
      </c>
      <c r="D29" t="s">
        <v>35</v>
      </c>
      <c r="E29">
        <v>6</v>
      </c>
      <c r="F29">
        <v>4</v>
      </c>
      <c r="G29" s="1">
        <f t="shared" si="0"/>
        <v>76</v>
      </c>
      <c r="H29">
        <v>220</v>
      </c>
      <c r="I29">
        <v>1979</v>
      </c>
      <c r="J29">
        <v>1997</v>
      </c>
      <c r="K29" s="1">
        <f t="shared" si="1"/>
        <v>18</v>
      </c>
      <c r="L29" t="s">
        <v>41</v>
      </c>
      <c r="M29" t="s">
        <v>44</v>
      </c>
      <c r="N29" s="2">
        <f>59+7</f>
        <v>66</v>
      </c>
      <c r="O29" s="5">
        <v>43</v>
      </c>
      <c r="P29" s="5">
        <v>83</v>
      </c>
      <c r="Q29" s="5">
        <f t="shared" si="2"/>
        <v>126</v>
      </c>
      <c r="R29" s="4">
        <v>123</v>
      </c>
      <c r="S29" s="2">
        <v>71</v>
      </c>
      <c r="T29" s="5">
        <v>35</v>
      </c>
      <c r="U29" s="5">
        <v>52</v>
      </c>
      <c r="V29" s="5">
        <f t="shared" si="3"/>
        <v>87</v>
      </c>
      <c r="W29" s="4">
        <v>69</v>
      </c>
      <c r="AG29">
        <v>0</v>
      </c>
      <c r="AH29" s="14">
        <v>21.299371069182392</v>
      </c>
      <c r="AI29" s="14">
        <v>55.285534591194974</v>
      </c>
      <c r="AJ29" s="14">
        <v>76.584905660377359</v>
      </c>
      <c r="AK29" s="14">
        <v>63.537106918238997</v>
      </c>
      <c r="AL29" s="3" t="s">
        <v>600</v>
      </c>
    </row>
    <row r="30" spans="1:38">
      <c r="A30" t="s">
        <v>556</v>
      </c>
      <c r="B30" t="s">
        <v>559</v>
      </c>
      <c r="C30">
        <v>19</v>
      </c>
      <c r="D30" t="s">
        <v>35</v>
      </c>
      <c r="E30">
        <v>6</v>
      </c>
      <c r="F30">
        <v>4</v>
      </c>
      <c r="G30" s="1">
        <f t="shared" si="0"/>
        <v>76</v>
      </c>
      <c r="H30">
        <v>225</v>
      </c>
      <c r="I30">
        <v>1985</v>
      </c>
      <c r="J30">
        <v>2003</v>
      </c>
      <c r="K30" s="1">
        <f t="shared" si="1"/>
        <v>18</v>
      </c>
      <c r="L30" t="s">
        <v>41</v>
      </c>
      <c r="M30" t="s">
        <v>43</v>
      </c>
      <c r="N30" s="2">
        <v>77</v>
      </c>
      <c r="O30" s="5">
        <v>31</v>
      </c>
      <c r="P30" s="5">
        <v>41</v>
      </c>
      <c r="Q30" s="5">
        <f t="shared" si="2"/>
        <v>72</v>
      </c>
      <c r="R30" s="4">
        <v>131</v>
      </c>
      <c r="S30" s="2">
        <v>69</v>
      </c>
      <c r="T30" s="5">
        <v>12</v>
      </c>
      <c r="U30" s="5">
        <v>15</v>
      </c>
      <c r="V30" s="5">
        <f t="shared" si="3"/>
        <v>27</v>
      </c>
      <c r="W30" s="4">
        <v>48</v>
      </c>
      <c r="AG30">
        <v>0</v>
      </c>
      <c r="AH30" s="14">
        <v>21.88293650793651</v>
      </c>
      <c r="AI30" s="14">
        <v>54.585317460317462</v>
      </c>
      <c r="AJ30" s="14">
        <v>76.468253968253975</v>
      </c>
      <c r="AK30" s="14">
        <v>69.146825396825392</v>
      </c>
      <c r="AL30" s="3" t="s">
        <v>599</v>
      </c>
    </row>
    <row r="31" spans="1:38">
      <c r="A31" t="s">
        <v>283</v>
      </c>
      <c r="B31" t="s">
        <v>289</v>
      </c>
      <c r="C31">
        <v>1</v>
      </c>
      <c r="D31" t="s">
        <v>35</v>
      </c>
      <c r="E31">
        <v>6</v>
      </c>
      <c r="F31">
        <v>1</v>
      </c>
      <c r="G31" s="1">
        <f t="shared" si="0"/>
        <v>73</v>
      </c>
      <c r="H31">
        <v>205</v>
      </c>
      <c r="I31">
        <v>1991</v>
      </c>
      <c r="J31">
        <v>2010</v>
      </c>
      <c r="K31" s="1">
        <f t="shared" si="1"/>
        <v>19</v>
      </c>
      <c r="L31" t="s">
        <v>41</v>
      </c>
      <c r="M31" t="s">
        <v>44</v>
      </c>
      <c r="N31" s="2">
        <v>63</v>
      </c>
      <c r="O31" s="5">
        <v>46</v>
      </c>
      <c r="P31" s="5">
        <v>72</v>
      </c>
      <c r="Q31" s="5">
        <f t="shared" si="2"/>
        <v>118</v>
      </c>
      <c r="R31" s="4">
        <v>56</v>
      </c>
      <c r="S31" s="2">
        <v>63</v>
      </c>
      <c r="T31" s="5">
        <v>38</v>
      </c>
      <c r="U31" s="5">
        <v>52</v>
      </c>
      <c r="V31" s="5">
        <f t="shared" si="3"/>
        <v>90</v>
      </c>
      <c r="W31" s="4">
        <v>60</v>
      </c>
      <c r="X31">
        <f>O31/N31</f>
        <v>0.73015873015873012</v>
      </c>
      <c r="Y31">
        <f>T31/S31</f>
        <v>0.60317460317460314</v>
      </c>
      <c r="Z31">
        <f>X31-Y31</f>
        <v>0.12698412698412698</v>
      </c>
      <c r="AA31">
        <f>P31/N31</f>
        <v>1.1428571428571428</v>
      </c>
      <c r="AB31">
        <f>U31/S31</f>
        <v>0.82539682539682535</v>
      </c>
      <c r="AC31">
        <f>AA31-AB31</f>
        <v>0.31746031746031744</v>
      </c>
      <c r="AD31">
        <f>Q31/N31</f>
        <v>1.873015873015873</v>
      </c>
      <c r="AE31">
        <f>V31/S31</f>
        <v>1.4285714285714286</v>
      </c>
      <c r="AF31">
        <f>AD31-AE31</f>
        <v>0.44444444444444442</v>
      </c>
      <c r="AG31">
        <v>0</v>
      </c>
      <c r="AH31" s="14">
        <v>28.742268041237114</v>
      </c>
      <c r="AI31" s="14">
        <v>45.649484536082475</v>
      </c>
      <c r="AJ31" s="14">
        <v>74.391752577319593</v>
      </c>
      <c r="AK31" s="14">
        <v>46.776632302405496</v>
      </c>
      <c r="AL31" s="5" t="s">
        <v>600</v>
      </c>
    </row>
    <row r="32" spans="1:38">
      <c r="A32" t="s">
        <v>576</v>
      </c>
      <c r="B32" t="s">
        <v>584</v>
      </c>
      <c r="C32">
        <v>11</v>
      </c>
      <c r="D32" t="s">
        <v>592</v>
      </c>
      <c r="E32">
        <v>6</v>
      </c>
      <c r="F32">
        <v>3</v>
      </c>
      <c r="G32" s="1">
        <f t="shared" si="0"/>
        <v>75</v>
      </c>
      <c r="H32">
        <v>225</v>
      </c>
      <c r="I32">
        <v>1987</v>
      </c>
      <c r="J32">
        <v>2005</v>
      </c>
      <c r="K32" s="1">
        <f t="shared" si="1"/>
        <v>18</v>
      </c>
      <c r="L32" t="s">
        <v>41</v>
      </c>
      <c r="M32" t="s">
        <v>44</v>
      </c>
      <c r="N32" s="2">
        <f>5+1+30+5+5+3+5+6</f>
        <v>60</v>
      </c>
      <c r="O32" s="3">
        <f>1+28+10+1+6+1</f>
        <v>47</v>
      </c>
      <c r="P32" s="3">
        <f>2+21+3+1+5</f>
        <v>32</v>
      </c>
      <c r="Q32" s="5">
        <f t="shared" si="2"/>
        <v>79</v>
      </c>
      <c r="R32" s="4">
        <f>26+6+2+14+2</f>
        <v>50</v>
      </c>
      <c r="S32" s="2">
        <f>25+21+5+5</f>
        <v>56</v>
      </c>
      <c r="T32" s="3">
        <f>32+14+1+6</f>
        <v>53</v>
      </c>
      <c r="U32" s="3">
        <f>28+11+1+2</f>
        <v>42</v>
      </c>
      <c r="V32" s="5">
        <f t="shared" si="3"/>
        <v>95</v>
      </c>
      <c r="W32" s="4">
        <f>16+10</f>
        <v>26</v>
      </c>
      <c r="AG32">
        <v>0</v>
      </c>
      <c r="AH32" s="14">
        <v>25.654970760233915</v>
      </c>
      <c r="AI32" s="14">
        <v>47.23391812865497</v>
      </c>
      <c r="AJ32" s="14">
        <v>72.888888888888886</v>
      </c>
      <c r="AK32" s="14">
        <v>22.697855750487328</v>
      </c>
      <c r="AL32" s="5" t="s">
        <v>65</v>
      </c>
    </row>
    <row r="33" spans="1:41">
      <c r="A33" t="s">
        <v>397</v>
      </c>
      <c r="B33" t="s">
        <v>593</v>
      </c>
      <c r="C33">
        <v>128</v>
      </c>
      <c r="D33" t="s">
        <v>35</v>
      </c>
      <c r="E33">
        <v>6</v>
      </c>
      <c r="F33">
        <v>2</v>
      </c>
      <c r="G33" s="1">
        <f t="shared" si="0"/>
        <v>74</v>
      </c>
      <c r="H33">
        <v>205</v>
      </c>
      <c r="I33">
        <v>1989</v>
      </c>
      <c r="J33">
        <v>2007</v>
      </c>
      <c r="K33" s="1">
        <f t="shared" si="1"/>
        <v>18</v>
      </c>
      <c r="L33" t="s">
        <v>41</v>
      </c>
      <c r="M33" t="s">
        <v>44</v>
      </c>
      <c r="N33" s="2">
        <v>53</v>
      </c>
      <c r="O33" s="5">
        <v>42</v>
      </c>
      <c r="P33" s="5">
        <v>23</v>
      </c>
      <c r="Q33" s="5">
        <f t="shared" si="2"/>
        <v>65</v>
      </c>
      <c r="R33" s="4">
        <v>78</v>
      </c>
      <c r="S33" s="2">
        <v>44</v>
      </c>
      <c r="T33" s="5">
        <v>31</v>
      </c>
      <c r="U33" s="5">
        <v>24</v>
      </c>
      <c r="V33" s="5">
        <f t="shared" si="3"/>
        <v>55</v>
      </c>
      <c r="W33" s="4">
        <v>92</v>
      </c>
      <c r="X33">
        <f>O33/N33</f>
        <v>0.79245283018867929</v>
      </c>
      <c r="AA33">
        <f>P33/N33</f>
        <v>0.43396226415094341</v>
      </c>
      <c r="AD33">
        <f>Q33/N33</f>
        <v>1.2264150943396226</v>
      </c>
      <c r="AG33">
        <v>0</v>
      </c>
      <c r="AH33" s="14">
        <v>30.536458333333332</v>
      </c>
      <c r="AI33" s="14">
        <v>40.145833333333329</v>
      </c>
      <c r="AJ33" s="14">
        <v>70.682291666666657</v>
      </c>
      <c r="AK33" s="14">
        <v>60.645833333333329</v>
      </c>
      <c r="AL33" s="3" t="s">
        <v>602</v>
      </c>
    </row>
    <row r="34" spans="1:41">
      <c r="A34" s="6" t="s">
        <v>121</v>
      </c>
      <c r="B34" t="s">
        <v>130</v>
      </c>
      <c r="C34">
        <v>79</v>
      </c>
      <c r="D34" t="s">
        <v>35</v>
      </c>
      <c r="E34">
        <v>5</v>
      </c>
      <c r="F34">
        <v>10</v>
      </c>
      <c r="G34" s="1">
        <f t="shared" si="0"/>
        <v>70</v>
      </c>
      <c r="H34">
        <v>166</v>
      </c>
      <c r="I34">
        <v>1996</v>
      </c>
      <c r="J34">
        <v>2014</v>
      </c>
      <c r="K34" s="1">
        <f t="shared" si="1"/>
        <v>18</v>
      </c>
      <c r="L34" t="s">
        <v>41</v>
      </c>
      <c r="M34" t="s">
        <v>43</v>
      </c>
      <c r="N34" s="2">
        <v>81</v>
      </c>
      <c r="O34" s="5">
        <v>37</v>
      </c>
      <c r="P34" s="5">
        <v>60</v>
      </c>
      <c r="Q34" s="5">
        <f t="shared" si="2"/>
        <v>97</v>
      </c>
      <c r="R34" s="4">
        <v>57</v>
      </c>
      <c r="S34" s="2">
        <v>72</v>
      </c>
      <c r="T34" s="5">
        <v>26</v>
      </c>
      <c r="U34" s="5">
        <v>36</v>
      </c>
      <c r="V34" s="5">
        <f t="shared" ref="V34:V65" si="13">T34+U34</f>
        <v>62</v>
      </c>
      <c r="W34" s="4">
        <v>30</v>
      </c>
      <c r="X34">
        <f>O34/N34</f>
        <v>0.4567901234567901</v>
      </c>
      <c r="Y34">
        <f>T34/S34</f>
        <v>0.3611111111111111</v>
      </c>
      <c r="Z34">
        <f>X34-Y34</f>
        <v>9.5679012345678993E-2</v>
      </c>
      <c r="AA34">
        <f>P34/N34</f>
        <v>0.7407407407407407</v>
      </c>
      <c r="AB34">
        <f>U34/S34</f>
        <v>0.5</v>
      </c>
      <c r="AC34">
        <f>AA34-AB34</f>
        <v>0.2407407407407407</v>
      </c>
      <c r="AD34">
        <f>Q34/N34</f>
        <v>1.1975308641975309</v>
      </c>
      <c r="AE34">
        <f>V34/S34</f>
        <v>0.86111111111111116</v>
      </c>
      <c r="AF34">
        <f>AD34-AE34</f>
        <v>0.33641975308641969</v>
      </c>
      <c r="AG34">
        <v>0</v>
      </c>
      <c r="AH34" s="14">
        <v>31.92622950819672</v>
      </c>
      <c r="AI34" s="14">
        <v>38.647540983606554</v>
      </c>
      <c r="AJ34" s="14">
        <v>70.573770491803273</v>
      </c>
      <c r="AK34" s="14">
        <v>23.860655737704917</v>
      </c>
      <c r="AL34" s="5" t="s">
        <v>599</v>
      </c>
    </row>
    <row r="35" spans="1:41">
      <c r="A35" t="s">
        <v>539</v>
      </c>
      <c r="B35" t="s">
        <v>540</v>
      </c>
      <c r="C35">
        <v>20</v>
      </c>
      <c r="D35" t="s">
        <v>35</v>
      </c>
      <c r="E35">
        <v>6</v>
      </c>
      <c r="F35">
        <v>5</v>
      </c>
      <c r="G35" s="1">
        <f t="shared" si="0"/>
        <v>77</v>
      </c>
      <c r="H35">
        <v>230</v>
      </c>
      <c r="I35">
        <v>1985</v>
      </c>
      <c r="J35">
        <v>2003</v>
      </c>
      <c r="K35" s="1">
        <f t="shared" si="1"/>
        <v>18</v>
      </c>
      <c r="L35" t="s">
        <v>42</v>
      </c>
      <c r="M35" t="s">
        <v>43</v>
      </c>
      <c r="N35" s="2">
        <v>68</v>
      </c>
      <c r="O35" s="5">
        <v>15</v>
      </c>
      <c r="P35" s="5">
        <v>25</v>
      </c>
      <c r="Q35" s="5">
        <f t="shared" si="2"/>
        <v>40</v>
      </c>
      <c r="R35" s="4">
        <v>14</v>
      </c>
      <c r="S35" s="2">
        <v>46</v>
      </c>
      <c r="T35" s="5">
        <v>4</v>
      </c>
      <c r="U35" s="5">
        <v>7</v>
      </c>
      <c r="V35" s="5">
        <f t="shared" si="13"/>
        <v>11</v>
      </c>
      <c r="W35" s="4">
        <v>16</v>
      </c>
      <c r="AG35">
        <v>1</v>
      </c>
      <c r="AH35" s="14">
        <v>15.600749765698218</v>
      </c>
      <c r="AI35" s="14">
        <v>35.88940955951265</v>
      </c>
      <c r="AJ35" s="14">
        <v>51.490159325210868</v>
      </c>
      <c r="AK35" s="14">
        <v>51.720712277413305</v>
      </c>
      <c r="AL35" s="5" t="s">
        <v>600</v>
      </c>
      <c r="AM35" s="22">
        <v>180</v>
      </c>
      <c r="AN35" s="22">
        <v>637</v>
      </c>
      <c r="AO35">
        <f>AM35/AN35</f>
        <v>0.28257456828885402</v>
      </c>
    </row>
    <row r="36" spans="1:41">
      <c r="A36" s="6" t="s">
        <v>102</v>
      </c>
      <c r="B36" t="s">
        <v>103</v>
      </c>
      <c r="C36">
        <v>2</v>
      </c>
      <c r="D36" t="s">
        <v>38</v>
      </c>
      <c r="E36">
        <v>6</v>
      </c>
      <c r="F36">
        <v>3</v>
      </c>
      <c r="G36" s="1">
        <f t="shared" si="0"/>
        <v>75</v>
      </c>
      <c r="H36">
        <v>213</v>
      </c>
      <c r="I36">
        <v>1995</v>
      </c>
      <c r="J36">
        <v>2013</v>
      </c>
      <c r="K36" s="1">
        <f t="shared" si="1"/>
        <v>18</v>
      </c>
      <c r="L36" t="s">
        <v>41</v>
      </c>
      <c r="M36" t="s">
        <v>44</v>
      </c>
      <c r="N36" s="2">
        <v>53</v>
      </c>
      <c r="O36" s="5">
        <v>21</v>
      </c>
      <c r="P36" s="5">
        <v>27</v>
      </c>
      <c r="Q36" s="5">
        <f t="shared" si="2"/>
        <v>48</v>
      </c>
      <c r="R36" s="4">
        <v>8</v>
      </c>
      <c r="S36" s="2">
        <v>32</v>
      </c>
      <c r="T36" s="5">
        <v>7</v>
      </c>
      <c r="U36" s="5">
        <v>9</v>
      </c>
      <c r="V36" s="5">
        <f t="shared" si="13"/>
        <v>16</v>
      </c>
      <c r="W36" s="4">
        <v>4</v>
      </c>
      <c r="X36">
        <f>O36/N36</f>
        <v>0.39622641509433965</v>
      </c>
      <c r="Y36">
        <f>T36/S36</f>
        <v>0.21875</v>
      </c>
      <c r="Z36">
        <f>X36-Y36</f>
        <v>0.17747641509433965</v>
      </c>
      <c r="AA36">
        <f>P36/N36</f>
        <v>0.50943396226415094</v>
      </c>
      <c r="AB36">
        <f>U36/S36</f>
        <v>0.28125</v>
      </c>
      <c r="AC36">
        <f>AA36-AB36</f>
        <v>0.22818396226415094</v>
      </c>
      <c r="AD36">
        <f>Q36/N36</f>
        <v>0.90566037735849059</v>
      </c>
      <c r="AE36">
        <f>V36/S36</f>
        <v>0.5</v>
      </c>
      <c r="AF36">
        <f>AD36-AE36</f>
        <v>0.40566037735849059</v>
      </c>
      <c r="AG36">
        <v>0</v>
      </c>
      <c r="AH36" s="14">
        <v>26.829493087557601</v>
      </c>
      <c r="AI36" s="14">
        <v>43.456221198156676</v>
      </c>
      <c r="AJ36" s="14">
        <v>70.285714285714278</v>
      </c>
      <c r="AK36" s="14">
        <v>13.981566820276496</v>
      </c>
      <c r="AL36" s="3" t="s">
        <v>615</v>
      </c>
    </row>
    <row r="37" spans="1:41">
      <c r="A37" t="s">
        <v>430</v>
      </c>
      <c r="B37" t="s">
        <v>444</v>
      </c>
      <c r="C37">
        <v>3</v>
      </c>
      <c r="D37" t="s">
        <v>35</v>
      </c>
      <c r="E37">
        <v>6</v>
      </c>
      <c r="F37">
        <v>2</v>
      </c>
      <c r="G37" s="1">
        <f t="shared" si="0"/>
        <v>74</v>
      </c>
      <c r="H37">
        <v>201</v>
      </c>
      <c r="I37">
        <v>1988</v>
      </c>
      <c r="J37">
        <v>2006</v>
      </c>
      <c r="K37" s="1">
        <f t="shared" si="1"/>
        <v>18</v>
      </c>
      <c r="L37" t="s">
        <v>41</v>
      </c>
      <c r="M37" t="s">
        <v>44</v>
      </c>
      <c r="N37" s="2">
        <v>48</v>
      </c>
      <c r="O37" s="5">
        <v>22</v>
      </c>
      <c r="P37" s="5">
        <v>19</v>
      </c>
      <c r="Q37" s="5">
        <f t="shared" si="2"/>
        <v>41</v>
      </c>
      <c r="R37" s="4">
        <v>24</v>
      </c>
      <c r="S37" s="2">
        <v>64</v>
      </c>
      <c r="T37" s="5">
        <v>48</v>
      </c>
      <c r="U37" s="5">
        <v>62</v>
      </c>
      <c r="V37" s="5">
        <f t="shared" si="13"/>
        <v>110</v>
      </c>
      <c r="W37" s="4">
        <v>38</v>
      </c>
      <c r="AG37">
        <v>0</v>
      </c>
      <c r="AH37" s="14">
        <v>30.326256983240224</v>
      </c>
      <c r="AI37" s="14">
        <v>39.9463687150838</v>
      </c>
      <c r="AJ37" s="14">
        <v>70.272625698324021</v>
      </c>
      <c r="AK37" s="14">
        <v>45.351955307262571</v>
      </c>
      <c r="AL37" s="3" t="s">
        <v>613</v>
      </c>
    </row>
    <row r="38" spans="1:41">
      <c r="A38" s="6" t="s">
        <v>49</v>
      </c>
      <c r="B38" t="s">
        <v>61</v>
      </c>
      <c r="C38">
        <v>2</v>
      </c>
      <c r="D38" t="s">
        <v>35</v>
      </c>
      <c r="E38">
        <v>6</v>
      </c>
      <c r="F38">
        <v>3</v>
      </c>
      <c r="G38" s="1">
        <f t="shared" si="0"/>
        <v>75</v>
      </c>
      <c r="H38">
        <v>215</v>
      </c>
      <c r="I38">
        <v>1983</v>
      </c>
      <c r="J38">
        <v>2001</v>
      </c>
      <c r="K38" s="1">
        <f t="shared" si="1"/>
        <v>18</v>
      </c>
      <c r="L38" t="s">
        <v>41</v>
      </c>
      <c r="M38" t="s">
        <v>43</v>
      </c>
      <c r="N38" s="2">
        <v>63</v>
      </c>
      <c r="O38" s="5">
        <v>46</v>
      </c>
      <c r="P38" s="5">
        <v>76</v>
      </c>
      <c r="Q38" s="3">
        <f t="shared" si="2"/>
        <v>122</v>
      </c>
      <c r="R38" s="4">
        <v>45</v>
      </c>
      <c r="S38" s="2">
        <v>59</v>
      </c>
      <c r="T38" s="5">
        <v>24</v>
      </c>
      <c r="U38" s="5">
        <v>39</v>
      </c>
      <c r="V38" s="3">
        <f t="shared" si="13"/>
        <v>63</v>
      </c>
      <c r="W38" s="4">
        <v>35</v>
      </c>
      <c r="X38">
        <f>O38/N38</f>
        <v>0.73015873015873012</v>
      </c>
      <c r="Y38">
        <f>T38/S38</f>
        <v>0.40677966101694918</v>
      </c>
      <c r="Z38">
        <f>X38-Y38</f>
        <v>0.32337906914178094</v>
      </c>
      <c r="AA38">
        <f>P38/N38</f>
        <v>1.2063492063492063</v>
      </c>
      <c r="AB38">
        <f>U38/S38</f>
        <v>0.66101694915254239</v>
      </c>
      <c r="AC38">
        <f>AA38-AB38</f>
        <v>0.54533225719666389</v>
      </c>
      <c r="AD38">
        <f>Q38/N38</f>
        <v>1.9365079365079365</v>
      </c>
      <c r="AE38">
        <f>V38/S38</f>
        <v>1.0677966101694916</v>
      </c>
      <c r="AF38">
        <f>AD38-AE38</f>
        <v>0.86871132633844494</v>
      </c>
      <c r="AG38">
        <v>0</v>
      </c>
      <c r="AH38" s="14">
        <v>25.482374768089052</v>
      </c>
      <c r="AI38" s="14">
        <v>44.651205936920221</v>
      </c>
      <c r="AJ38" s="14">
        <v>70.133580705009265</v>
      </c>
      <c r="AK38" s="14">
        <v>42.749536178107604</v>
      </c>
      <c r="AL38" s="5" t="s">
        <v>600</v>
      </c>
    </row>
    <row r="39" spans="1:41">
      <c r="A39" t="s">
        <v>498</v>
      </c>
      <c r="B39" t="s">
        <v>509</v>
      </c>
      <c r="C39">
        <v>23</v>
      </c>
      <c r="D39" t="s">
        <v>34</v>
      </c>
      <c r="E39">
        <v>6</v>
      </c>
      <c r="F39">
        <v>1</v>
      </c>
      <c r="G39" s="1">
        <f t="shared" si="0"/>
        <v>73</v>
      </c>
      <c r="H39">
        <v>208</v>
      </c>
      <c r="I39">
        <v>1997</v>
      </c>
      <c r="J39">
        <v>2015</v>
      </c>
      <c r="K39" s="1">
        <f t="shared" si="1"/>
        <v>18</v>
      </c>
      <c r="L39" t="s">
        <v>41</v>
      </c>
      <c r="M39" t="s">
        <v>43</v>
      </c>
      <c r="N39" s="2">
        <f>57+4+5+5</f>
        <v>71</v>
      </c>
      <c r="O39" s="3">
        <f>35+4+6+2</f>
        <v>47</v>
      </c>
      <c r="P39" s="3">
        <f>33+1+2+4</f>
        <v>40</v>
      </c>
      <c r="Q39" s="5">
        <f t="shared" si="2"/>
        <v>87</v>
      </c>
      <c r="R39" s="4">
        <f>30+6+10</f>
        <v>46</v>
      </c>
      <c r="S39" s="2">
        <v>50</v>
      </c>
      <c r="T39" s="5">
        <v>36</v>
      </c>
      <c r="U39" s="5">
        <v>36</v>
      </c>
      <c r="V39" s="5">
        <f t="shared" si="13"/>
        <v>72</v>
      </c>
      <c r="W39" s="4">
        <v>48</v>
      </c>
      <c r="AG39">
        <v>0</v>
      </c>
      <c r="AH39" s="14">
        <v>34.711656441717793</v>
      </c>
      <c r="AI39" s="14">
        <v>35.214723926380366</v>
      </c>
      <c r="AJ39" s="14">
        <v>69.926380368098151</v>
      </c>
      <c r="AK39" s="14">
        <v>24.14723926380368</v>
      </c>
      <c r="AL39" s="5" t="s">
        <v>608</v>
      </c>
    </row>
    <row r="40" spans="1:41">
      <c r="A40" s="6" t="s">
        <v>17</v>
      </c>
      <c r="B40" t="s">
        <v>31</v>
      </c>
      <c r="C40">
        <v>71</v>
      </c>
      <c r="D40" t="s">
        <v>35</v>
      </c>
      <c r="E40">
        <v>5</v>
      </c>
      <c r="F40">
        <v>9</v>
      </c>
      <c r="G40" s="1">
        <f t="shared" si="0"/>
        <v>69</v>
      </c>
      <c r="H40">
        <v>181</v>
      </c>
      <c r="I40">
        <v>1988</v>
      </c>
      <c r="J40">
        <v>2006</v>
      </c>
      <c r="K40" s="1">
        <f t="shared" si="1"/>
        <v>18</v>
      </c>
      <c r="L40" t="s">
        <v>41</v>
      </c>
      <c r="M40" t="s">
        <v>44</v>
      </c>
      <c r="N40" s="2">
        <v>68</v>
      </c>
      <c r="O40" s="5">
        <v>29</v>
      </c>
      <c r="P40" s="5">
        <v>37</v>
      </c>
      <c r="Q40" s="3">
        <f t="shared" si="2"/>
        <v>66</v>
      </c>
      <c r="R40" s="4">
        <v>83</v>
      </c>
      <c r="S40" s="2">
        <v>61</v>
      </c>
      <c r="T40" s="5">
        <v>9</v>
      </c>
      <c r="U40" s="5">
        <v>20</v>
      </c>
      <c r="V40" s="3">
        <f t="shared" si="13"/>
        <v>29</v>
      </c>
      <c r="W40" s="4">
        <v>52</v>
      </c>
      <c r="X40">
        <f>O40/N40</f>
        <v>0.4264705882352941</v>
      </c>
      <c r="Y40">
        <f>T40/S40</f>
        <v>0.14754098360655737</v>
      </c>
      <c r="Z40">
        <f>X40-Y40</f>
        <v>0.27892960462873673</v>
      </c>
      <c r="AA40">
        <f>P40/N40</f>
        <v>0.54411764705882348</v>
      </c>
      <c r="AB40">
        <f>U40/S40</f>
        <v>0.32786885245901637</v>
      </c>
      <c r="AC40">
        <f>AA40-AB40</f>
        <v>0.21624879459980711</v>
      </c>
      <c r="AD40">
        <f>Q40/N40</f>
        <v>0.97058823529411764</v>
      </c>
      <c r="AE40">
        <f>V40/S40</f>
        <v>0.47540983606557374</v>
      </c>
      <c r="AF40">
        <f>AD40-AE40</f>
        <v>0.4951783992285439</v>
      </c>
      <c r="AG40">
        <v>0</v>
      </c>
      <c r="AH40" s="14">
        <v>32.122507122507102</v>
      </c>
      <c r="AI40" s="14">
        <v>37.262108262108264</v>
      </c>
      <c r="AJ40" s="14">
        <v>69.384615384615387</v>
      </c>
      <c r="AK40" s="14">
        <v>83.284900284900289</v>
      </c>
      <c r="AL40" s="3" t="s">
        <v>614</v>
      </c>
    </row>
    <row r="41" spans="1:41">
      <c r="A41" t="s">
        <v>510</v>
      </c>
      <c r="B41" t="s">
        <v>521</v>
      </c>
      <c r="C41">
        <v>178</v>
      </c>
      <c r="D41" t="s">
        <v>35</v>
      </c>
      <c r="E41">
        <v>6</v>
      </c>
      <c r="F41">
        <v>4</v>
      </c>
      <c r="G41" s="1">
        <f t="shared" si="0"/>
        <v>76</v>
      </c>
      <c r="H41">
        <v>219</v>
      </c>
      <c r="I41">
        <v>1992</v>
      </c>
      <c r="J41">
        <v>2010</v>
      </c>
      <c r="K41" s="1">
        <f t="shared" si="1"/>
        <v>18</v>
      </c>
      <c r="L41" t="s">
        <v>41</v>
      </c>
      <c r="M41" t="s">
        <v>43</v>
      </c>
      <c r="N41" s="2">
        <v>39</v>
      </c>
      <c r="O41" s="5">
        <v>11</v>
      </c>
      <c r="P41" s="5">
        <v>17</v>
      </c>
      <c r="Q41" s="5">
        <f t="shared" si="2"/>
        <v>28</v>
      </c>
      <c r="R41" s="4">
        <v>25</v>
      </c>
      <c r="S41" s="2">
        <v>56</v>
      </c>
      <c r="T41" s="5">
        <v>17</v>
      </c>
      <c r="U41" s="5">
        <v>22</v>
      </c>
      <c r="V41" s="5">
        <f t="shared" si="13"/>
        <v>39</v>
      </c>
      <c r="W41" s="4">
        <v>27</v>
      </c>
      <c r="AG41">
        <v>0</v>
      </c>
      <c r="AH41" s="14">
        <v>27.667481662591687</v>
      </c>
      <c r="AI41" s="14">
        <v>40.899755501222494</v>
      </c>
      <c r="AJ41" s="14">
        <v>68.567237163814184</v>
      </c>
      <c r="AK41" s="14">
        <v>26.264058679706604</v>
      </c>
      <c r="AL41" s="5" t="s">
        <v>599</v>
      </c>
    </row>
    <row r="42" spans="1:41">
      <c r="A42" t="s">
        <v>445</v>
      </c>
      <c r="B42" t="s">
        <v>456</v>
      </c>
      <c r="C42">
        <v>2</v>
      </c>
      <c r="D42" t="s">
        <v>35</v>
      </c>
      <c r="E42">
        <v>6</v>
      </c>
      <c r="F42">
        <v>4</v>
      </c>
      <c r="G42" s="1">
        <f t="shared" si="0"/>
        <v>76</v>
      </c>
      <c r="H42">
        <v>207</v>
      </c>
      <c r="I42">
        <v>1984</v>
      </c>
      <c r="J42">
        <v>2003</v>
      </c>
      <c r="K42" s="1">
        <f t="shared" si="1"/>
        <v>19</v>
      </c>
      <c r="L42" t="s">
        <v>41</v>
      </c>
      <c r="M42" t="s">
        <v>44</v>
      </c>
      <c r="N42" s="2">
        <v>66</v>
      </c>
      <c r="O42" s="5">
        <v>39</v>
      </c>
      <c r="P42" s="5">
        <v>59</v>
      </c>
      <c r="Q42" s="5">
        <f t="shared" si="2"/>
        <v>98</v>
      </c>
      <c r="R42" s="4">
        <v>36</v>
      </c>
      <c r="S42" s="2">
        <v>64</v>
      </c>
      <c r="T42" s="5">
        <v>25</v>
      </c>
      <c r="U42" s="5">
        <v>44</v>
      </c>
      <c r="V42" s="5">
        <f t="shared" si="13"/>
        <v>69</v>
      </c>
      <c r="W42" s="4">
        <v>44</v>
      </c>
      <c r="AG42">
        <v>0</v>
      </c>
      <c r="AH42" s="14">
        <v>29.001672240802673</v>
      </c>
      <c r="AI42" s="14">
        <v>38.874581939799327</v>
      </c>
      <c r="AJ42" s="14">
        <v>67.876254180602004</v>
      </c>
      <c r="AK42" s="14">
        <v>55.535117056856187</v>
      </c>
      <c r="AL42" s="3" t="s">
        <v>600</v>
      </c>
    </row>
    <row r="43" spans="1:41">
      <c r="A43" s="6" t="s">
        <v>102</v>
      </c>
      <c r="B43" t="s">
        <v>109</v>
      </c>
      <c r="C43">
        <v>3</v>
      </c>
      <c r="D43" t="s">
        <v>35</v>
      </c>
      <c r="E43">
        <v>6</v>
      </c>
      <c r="F43">
        <v>1</v>
      </c>
      <c r="G43" s="1">
        <f t="shared" si="0"/>
        <v>73</v>
      </c>
      <c r="H43">
        <v>200</v>
      </c>
      <c r="I43">
        <v>1993</v>
      </c>
      <c r="J43">
        <v>2011</v>
      </c>
      <c r="K43" s="1">
        <f t="shared" si="1"/>
        <v>18</v>
      </c>
      <c r="L43" t="s">
        <v>41</v>
      </c>
      <c r="M43" t="s">
        <v>44</v>
      </c>
      <c r="N43" s="2">
        <v>67</v>
      </c>
      <c r="O43" s="5">
        <v>43</v>
      </c>
      <c r="P43" s="5">
        <v>62</v>
      </c>
      <c r="Q43" s="5">
        <f t="shared" si="2"/>
        <v>105</v>
      </c>
      <c r="R43" s="4">
        <v>88</v>
      </c>
      <c r="S43" s="2">
        <v>61</v>
      </c>
      <c r="T43" s="5">
        <v>15</v>
      </c>
      <c r="U43" s="5">
        <v>20</v>
      </c>
      <c r="V43" s="5">
        <f t="shared" si="13"/>
        <v>35</v>
      </c>
      <c r="W43" s="4">
        <v>43</v>
      </c>
      <c r="X43">
        <f>O43/N43</f>
        <v>0.64179104477611937</v>
      </c>
      <c r="Y43">
        <f>T43/S43</f>
        <v>0.24590163934426229</v>
      </c>
      <c r="Z43">
        <f>X43-Y43</f>
        <v>0.39588940543185708</v>
      </c>
      <c r="AA43">
        <f>P43/N43</f>
        <v>0.92537313432835822</v>
      </c>
      <c r="AB43">
        <f>U43/S43</f>
        <v>0.32786885245901637</v>
      </c>
      <c r="AC43">
        <f>AA43-AB43</f>
        <v>0.5975042818693419</v>
      </c>
      <c r="AD43">
        <f>Q43/N43</f>
        <v>1.5671641791044777</v>
      </c>
      <c r="AE43">
        <f>V43/S43</f>
        <v>0.57377049180327866</v>
      </c>
      <c r="AF43">
        <f>AD43-AE43</f>
        <v>0.99339368730119904</v>
      </c>
      <c r="AG43">
        <v>0</v>
      </c>
      <c r="AH43" s="14">
        <v>22.684426229508194</v>
      </c>
      <c r="AI43" s="14">
        <v>42.344262295081968</v>
      </c>
      <c r="AJ43" s="14">
        <v>65.028688524590166</v>
      </c>
      <c r="AK43" s="14">
        <v>38.815573770491802</v>
      </c>
      <c r="AL43" s="3" t="s">
        <v>614</v>
      </c>
    </row>
    <row r="44" spans="1:41">
      <c r="A44" t="s">
        <v>413</v>
      </c>
      <c r="B44" t="s">
        <v>420</v>
      </c>
      <c r="C44">
        <v>2</v>
      </c>
      <c r="D44" t="s">
        <v>38</v>
      </c>
      <c r="E44">
        <v>6</v>
      </c>
      <c r="F44">
        <v>5</v>
      </c>
      <c r="G44" s="1">
        <f t="shared" si="0"/>
        <v>77</v>
      </c>
      <c r="H44">
        <v>206</v>
      </c>
      <c r="I44">
        <v>1998</v>
      </c>
      <c r="J44">
        <v>2016</v>
      </c>
      <c r="K44" s="1">
        <f t="shared" si="1"/>
        <v>18</v>
      </c>
      <c r="L44" t="s">
        <v>41</v>
      </c>
      <c r="M44" t="s">
        <v>43</v>
      </c>
      <c r="N44" s="2">
        <f>27+2+46+8+7+10</f>
        <v>100</v>
      </c>
      <c r="O44" s="3">
        <f>20+17+2+7+7</f>
        <v>53</v>
      </c>
      <c r="P44" s="3">
        <f>13+16+2+6+5</f>
        <v>42</v>
      </c>
      <c r="Q44" s="5">
        <f t="shared" si="2"/>
        <v>95</v>
      </c>
      <c r="R44" s="4">
        <f>16+2+6+4+6+4</f>
        <v>38</v>
      </c>
      <c r="S44" s="2">
        <v>76</v>
      </c>
      <c r="T44" s="5">
        <v>30</v>
      </c>
      <c r="U44" s="5">
        <v>16</v>
      </c>
      <c r="V44" s="5">
        <f t="shared" si="13"/>
        <v>46</v>
      </c>
      <c r="W44" s="4">
        <v>30</v>
      </c>
      <c r="AG44">
        <v>0</v>
      </c>
      <c r="AH44" s="14">
        <v>36.868217054263567</v>
      </c>
      <c r="AI44" s="14">
        <v>27.968992248062015</v>
      </c>
      <c r="AJ44" s="14">
        <v>64.83720930232559</v>
      </c>
      <c r="AK44" s="14">
        <v>29.875968992248062</v>
      </c>
      <c r="AL44" s="5" t="s">
        <v>615</v>
      </c>
    </row>
    <row r="45" spans="1:41">
      <c r="A45" t="s">
        <v>397</v>
      </c>
      <c r="B45" t="s">
        <v>406</v>
      </c>
      <c r="C45">
        <v>205</v>
      </c>
      <c r="D45" t="s">
        <v>34</v>
      </c>
      <c r="E45">
        <v>5</v>
      </c>
      <c r="F45">
        <v>11</v>
      </c>
      <c r="G45" s="1">
        <f t="shared" si="0"/>
        <v>71</v>
      </c>
      <c r="H45">
        <v>190</v>
      </c>
      <c r="I45">
        <v>1942</v>
      </c>
      <c r="J45">
        <v>2003</v>
      </c>
      <c r="K45" s="1">
        <f t="shared" si="1"/>
        <v>61</v>
      </c>
      <c r="L45" t="s">
        <v>41</v>
      </c>
      <c r="M45" t="s">
        <v>43</v>
      </c>
      <c r="N45" s="2">
        <v>60</v>
      </c>
      <c r="O45" s="5">
        <v>36</v>
      </c>
      <c r="P45" s="5">
        <v>33</v>
      </c>
      <c r="Q45" s="5">
        <f t="shared" si="2"/>
        <v>69</v>
      </c>
      <c r="R45" s="4">
        <v>32</v>
      </c>
      <c r="V45" s="5">
        <f t="shared" si="13"/>
        <v>0</v>
      </c>
      <c r="AG45">
        <v>0</v>
      </c>
      <c r="AH45" s="14">
        <v>29.939148073022313</v>
      </c>
      <c r="AI45" s="14">
        <v>34.346855983772819</v>
      </c>
      <c r="AJ45" s="14">
        <v>64.286004056795136</v>
      </c>
      <c r="AK45" s="14">
        <v>31.685598377281949</v>
      </c>
      <c r="AL45" s="5" t="s">
        <v>608</v>
      </c>
    </row>
    <row r="46" spans="1:41">
      <c r="A46" t="s">
        <v>445</v>
      </c>
      <c r="B46" t="s">
        <v>452</v>
      </c>
      <c r="C46">
        <v>17</v>
      </c>
      <c r="D46" t="s">
        <v>34</v>
      </c>
      <c r="E46">
        <v>5</v>
      </c>
      <c r="F46">
        <v>11</v>
      </c>
      <c r="G46" s="1">
        <f t="shared" si="0"/>
        <v>71</v>
      </c>
      <c r="H46">
        <v>193</v>
      </c>
      <c r="I46">
        <v>1984</v>
      </c>
      <c r="J46">
        <v>2003</v>
      </c>
      <c r="K46" s="1">
        <f t="shared" si="1"/>
        <v>19</v>
      </c>
      <c r="L46" t="s">
        <v>41</v>
      </c>
      <c r="M46" t="s">
        <v>44</v>
      </c>
      <c r="N46" s="2">
        <v>46</v>
      </c>
      <c r="O46" s="5">
        <v>30</v>
      </c>
      <c r="P46" s="5">
        <v>39</v>
      </c>
      <c r="Q46" s="5">
        <f t="shared" si="2"/>
        <v>69</v>
      </c>
      <c r="R46" s="4">
        <v>38</v>
      </c>
      <c r="S46" s="2">
        <v>20</v>
      </c>
      <c r="T46" s="5">
        <v>14</v>
      </c>
      <c r="U46" s="5">
        <v>10</v>
      </c>
      <c r="V46" s="5">
        <f t="shared" si="13"/>
        <v>24</v>
      </c>
      <c r="W46" s="4">
        <v>12</v>
      </c>
      <c r="AG46">
        <v>0</v>
      </c>
      <c r="AH46" s="14">
        <v>31.258264462809915</v>
      </c>
      <c r="AI46" s="14">
        <v>32.867768595041319</v>
      </c>
      <c r="AJ46" s="14">
        <v>64.126033057851231</v>
      </c>
      <c r="AK46" s="14">
        <v>31.68181818181818</v>
      </c>
      <c r="AL46" s="3" t="s">
        <v>613</v>
      </c>
    </row>
    <row r="47" spans="1:41">
      <c r="A47" t="s">
        <v>397</v>
      </c>
      <c r="B47" t="s">
        <v>407</v>
      </c>
      <c r="C47">
        <v>28</v>
      </c>
      <c r="D47" t="s">
        <v>35</v>
      </c>
      <c r="E47">
        <v>6</v>
      </c>
      <c r="F47">
        <v>3</v>
      </c>
      <c r="G47" s="1">
        <f t="shared" si="0"/>
        <v>75</v>
      </c>
      <c r="H47">
        <v>206</v>
      </c>
      <c r="I47">
        <v>1985</v>
      </c>
      <c r="J47">
        <v>2003</v>
      </c>
      <c r="K47" s="1">
        <f t="shared" si="1"/>
        <v>18</v>
      </c>
      <c r="L47" t="s">
        <v>41</v>
      </c>
      <c r="M47" t="s">
        <v>43</v>
      </c>
      <c r="N47" s="2">
        <v>67</v>
      </c>
      <c r="O47" s="5">
        <v>25</v>
      </c>
      <c r="P47" s="5">
        <v>53</v>
      </c>
      <c r="Q47" s="5">
        <f t="shared" si="2"/>
        <v>78</v>
      </c>
      <c r="R47" s="4">
        <v>145</v>
      </c>
      <c r="S47" s="2">
        <v>67</v>
      </c>
      <c r="T47" s="5">
        <v>28</v>
      </c>
      <c r="U47" s="5">
        <v>31</v>
      </c>
      <c r="V47" s="5">
        <f t="shared" si="13"/>
        <v>59</v>
      </c>
      <c r="W47" s="4">
        <v>56</v>
      </c>
      <c r="AG47">
        <v>0</v>
      </c>
      <c r="AH47" s="14">
        <v>30.627490039840637</v>
      </c>
      <c r="AI47" s="14">
        <v>33.486055776892428</v>
      </c>
      <c r="AJ47" s="14">
        <v>64.113545816733065</v>
      </c>
      <c r="AK47" s="14">
        <v>91.147410358565736</v>
      </c>
      <c r="AL47" s="3" t="s">
        <v>600</v>
      </c>
    </row>
    <row r="48" spans="1:41">
      <c r="A48" t="s">
        <v>354</v>
      </c>
      <c r="B48" t="s">
        <v>343</v>
      </c>
      <c r="C48">
        <v>11</v>
      </c>
      <c r="D48" t="s">
        <v>65</v>
      </c>
      <c r="E48">
        <v>6</v>
      </c>
      <c r="F48">
        <v>1</v>
      </c>
      <c r="G48" s="1">
        <f t="shared" si="0"/>
        <v>73</v>
      </c>
      <c r="H48">
        <v>205</v>
      </c>
      <c r="I48">
        <v>1994</v>
      </c>
      <c r="J48">
        <v>2012</v>
      </c>
      <c r="K48" s="1">
        <f t="shared" si="1"/>
        <v>18</v>
      </c>
      <c r="L48" t="s">
        <v>41</v>
      </c>
      <c r="M48" t="s">
        <v>43</v>
      </c>
      <c r="N48" s="2">
        <f>43+1+6+53+6+6</f>
        <v>115</v>
      </c>
      <c r="O48" s="3">
        <f>8+10+5</f>
        <v>23</v>
      </c>
      <c r="P48" s="3">
        <f>9+2+1+10+1+2</f>
        <v>25</v>
      </c>
      <c r="Q48" s="5">
        <f t="shared" si="2"/>
        <v>48</v>
      </c>
      <c r="R48" s="4">
        <f>33+2+33+2+6</f>
        <v>76</v>
      </c>
      <c r="S48" s="2">
        <f>10+3+36+16</f>
        <v>65</v>
      </c>
      <c r="T48" s="3">
        <f>24</f>
        <v>24</v>
      </c>
      <c r="U48" s="5">
        <v>25</v>
      </c>
      <c r="V48" s="5">
        <f t="shared" si="13"/>
        <v>49</v>
      </c>
      <c r="W48" s="4">
        <v>26</v>
      </c>
      <c r="X48">
        <f>O48/N48</f>
        <v>0.2</v>
      </c>
      <c r="Y48">
        <f>T48/S48</f>
        <v>0.36923076923076925</v>
      </c>
      <c r="Z48">
        <f>X48-Y48</f>
        <v>-0.16923076923076924</v>
      </c>
      <c r="AA48">
        <f>P48/N48</f>
        <v>0.21739130434782608</v>
      </c>
      <c r="AB48">
        <f>U48/S48</f>
        <v>0.38461538461538464</v>
      </c>
      <c r="AC48">
        <f>AA48-AB48</f>
        <v>-0.16722408026755856</v>
      </c>
      <c r="AD48">
        <f>Q48/N48</f>
        <v>0.41739130434782606</v>
      </c>
      <c r="AE48">
        <f>V48/S48</f>
        <v>0.75384615384615383</v>
      </c>
      <c r="AF48">
        <f>AD48-AE48</f>
        <v>-0.33645484949832777</v>
      </c>
      <c r="AG48">
        <v>0</v>
      </c>
      <c r="AH48" s="14">
        <v>30.8</v>
      </c>
      <c r="AI48" s="14">
        <v>33.200000000000003</v>
      </c>
      <c r="AJ48" s="14">
        <v>64</v>
      </c>
      <c r="AK48" s="14">
        <v>35.4</v>
      </c>
      <c r="AL48" s="5" t="s">
        <v>606</v>
      </c>
    </row>
    <row r="49" spans="1:41">
      <c r="A49" t="s">
        <v>430</v>
      </c>
      <c r="B49" t="s">
        <v>433</v>
      </c>
      <c r="C49">
        <v>39</v>
      </c>
      <c r="D49" t="s">
        <v>34</v>
      </c>
      <c r="E49">
        <v>5</v>
      </c>
      <c r="F49">
        <v>7</v>
      </c>
      <c r="G49" s="1">
        <f t="shared" si="0"/>
        <v>67</v>
      </c>
      <c r="H49">
        <v>165</v>
      </c>
      <c r="I49">
        <v>1997</v>
      </c>
      <c r="J49">
        <v>2016</v>
      </c>
      <c r="K49" s="1">
        <f t="shared" si="1"/>
        <v>19</v>
      </c>
      <c r="L49" t="s">
        <v>41</v>
      </c>
      <c r="M49" t="s">
        <v>43</v>
      </c>
      <c r="N49" s="2">
        <v>65</v>
      </c>
      <c r="O49" s="5">
        <v>52</v>
      </c>
      <c r="P49" s="5">
        <v>50</v>
      </c>
      <c r="Q49" s="5">
        <f t="shared" si="2"/>
        <v>102</v>
      </c>
      <c r="R49" s="4">
        <v>53</v>
      </c>
      <c r="S49" s="2">
        <v>68</v>
      </c>
      <c r="T49" s="5">
        <v>51</v>
      </c>
      <c r="U49" s="5">
        <v>53</v>
      </c>
      <c r="V49" s="5">
        <f t="shared" si="13"/>
        <v>104</v>
      </c>
      <c r="W49" s="4">
        <v>73</v>
      </c>
      <c r="AG49">
        <v>0</v>
      </c>
      <c r="AH49" s="14">
        <v>32.623655913978496</v>
      </c>
      <c r="AI49" s="14">
        <v>31.301075268817204</v>
      </c>
      <c r="AJ49" s="14">
        <v>63.924731182795696</v>
      </c>
      <c r="AK49" s="14">
        <v>11.021505376344086</v>
      </c>
      <c r="AL49" s="3" t="s">
        <v>600</v>
      </c>
    </row>
    <row r="50" spans="1:41">
      <c r="A50" t="s">
        <v>204</v>
      </c>
      <c r="B50" t="s">
        <v>209</v>
      </c>
      <c r="C50">
        <v>77</v>
      </c>
      <c r="D50" t="s">
        <v>34</v>
      </c>
      <c r="E50">
        <v>5</v>
      </c>
      <c r="F50">
        <v>11</v>
      </c>
      <c r="G50" s="1">
        <f t="shared" si="0"/>
        <v>71</v>
      </c>
      <c r="H50">
        <v>180</v>
      </c>
      <c r="I50">
        <v>1994</v>
      </c>
      <c r="J50">
        <v>2013</v>
      </c>
      <c r="K50" s="1">
        <f t="shared" si="1"/>
        <v>19</v>
      </c>
      <c r="L50" t="s">
        <v>41</v>
      </c>
      <c r="M50" t="s">
        <v>44</v>
      </c>
      <c r="N50" s="2">
        <v>60</v>
      </c>
      <c r="O50" s="5">
        <v>29</v>
      </c>
      <c r="P50" s="5">
        <v>44</v>
      </c>
      <c r="Q50" s="5">
        <f t="shared" si="2"/>
        <v>73</v>
      </c>
      <c r="R50" s="4">
        <v>24</v>
      </c>
      <c r="S50" s="2">
        <v>55</v>
      </c>
      <c r="T50" s="5">
        <v>38</v>
      </c>
      <c r="U50" s="5">
        <v>81</v>
      </c>
      <c r="V50" s="5">
        <f t="shared" si="13"/>
        <v>119</v>
      </c>
      <c r="W50" s="4">
        <v>24</v>
      </c>
      <c r="X50">
        <f>O50/N50</f>
        <v>0.48333333333333334</v>
      </c>
      <c r="Y50">
        <f>T50/S50</f>
        <v>0.69090909090909092</v>
      </c>
      <c r="Z50">
        <f>X50-Y50</f>
        <v>-0.20757575757575758</v>
      </c>
      <c r="AA50">
        <f>P50/N50</f>
        <v>0.73333333333333328</v>
      </c>
      <c r="AB50">
        <f>U50/S50</f>
        <v>1.4727272727272727</v>
      </c>
      <c r="AC50">
        <f>AA50-AB50</f>
        <v>-0.73939393939393938</v>
      </c>
      <c r="AD50">
        <f>Q50/N50</f>
        <v>1.2166666666666666</v>
      </c>
      <c r="AE50">
        <f>V50/S50</f>
        <v>2.1636363636363636</v>
      </c>
      <c r="AF50">
        <f>AD50-AE50</f>
        <v>-0.94696969696969702</v>
      </c>
      <c r="AG50">
        <v>0</v>
      </c>
      <c r="AH50" s="14">
        <v>32.071111111111115</v>
      </c>
      <c r="AI50" s="14">
        <v>31.706666666666667</v>
      </c>
      <c r="AJ50" s="14">
        <v>63.777777777777779</v>
      </c>
      <c r="AK50" s="14">
        <v>29.155555555555559</v>
      </c>
      <c r="AL50" s="5" t="s">
        <v>608</v>
      </c>
    </row>
    <row r="51" spans="1:41">
      <c r="A51" t="s">
        <v>510</v>
      </c>
      <c r="B51" t="s">
        <v>520</v>
      </c>
      <c r="C51">
        <v>44</v>
      </c>
      <c r="D51" t="s">
        <v>35</v>
      </c>
      <c r="E51">
        <v>6</v>
      </c>
      <c r="F51">
        <v>0</v>
      </c>
      <c r="G51" s="1">
        <f t="shared" si="0"/>
        <v>72</v>
      </c>
      <c r="H51">
        <v>193</v>
      </c>
      <c r="I51">
        <v>1985</v>
      </c>
      <c r="J51">
        <v>2005</v>
      </c>
      <c r="K51" s="1">
        <f t="shared" si="1"/>
        <v>20</v>
      </c>
      <c r="L51" t="s">
        <v>41</v>
      </c>
      <c r="M51" t="s">
        <v>44</v>
      </c>
      <c r="N51" s="2">
        <v>42</v>
      </c>
      <c r="O51" s="5">
        <v>17</v>
      </c>
      <c r="P51" s="5">
        <v>28</v>
      </c>
      <c r="Q51" s="5">
        <f t="shared" si="2"/>
        <v>45</v>
      </c>
      <c r="R51" s="4">
        <v>30</v>
      </c>
      <c r="S51" s="2">
        <v>56</v>
      </c>
      <c r="T51" s="5">
        <v>30</v>
      </c>
      <c r="U51" s="5">
        <v>47</v>
      </c>
      <c r="V51" s="5">
        <f t="shared" si="13"/>
        <v>77</v>
      </c>
      <c r="W51" s="4">
        <v>46</v>
      </c>
      <c r="AG51">
        <v>0</v>
      </c>
      <c r="AH51" s="14">
        <v>21.799777530589544</v>
      </c>
      <c r="AI51" s="14">
        <v>41.866518353726363</v>
      </c>
      <c r="AJ51" s="14">
        <v>63.666295884315907</v>
      </c>
      <c r="AK51" s="14">
        <v>38.856507230255843</v>
      </c>
      <c r="AL51" s="3" t="s">
        <v>613</v>
      </c>
    </row>
    <row r="52" spans="1:41">
      <c r="A52" t="s">
        <v>525</v>
      </c>
      <c r="B52" t="s">
        <v>538</v>
      </c>
      <c r="C52">
        <v>6</v>
      </c>
      <c r="D52" t="s">
        <v>34</v>
      </c>
      <c r="E52">
        <v>6</v>
      </c>
      <c r="F52">
        <v>2</v>
      </c>
      <c r="G52" s="1">
        <f t="shared" si="0"/>
        <v>74</v>
      </c>
      <c r="H52">
        <v>202</v>
      </c>
      <c r="I52">
        <v>1997</v>
      </c>
      <c r="J52">
        <v>2016</v>
      </c>
      <c r="K52" s="1">
        <f t="shared" si="1"/>
        <v>19</v>
      </c>
      <c r="L52" t="s">
        <v>41</v>
      </c>
      <c r="M52" t="s">
        <v>44</v>
      </c>
      <c r="N52" s="2">
        <v>68</v>
      </c>
      <c r="O52" s="5">
        <v>39</v>
      </c>
      <c r="P52" s="5">
        <v>87</v>
      </c>
      <c r="Q52" s="5">
        <f t="shared" si="2"/>
        <v>126</v>
      </c>
      <c r="R52" s="4">
        <v>90</v>
      </c>
      <c r="S52" s="2">
        <f>24+7+65</f>
        <v>96</v>
      </c>
      <c r="T52" s="3">
        <f>13+2+38</f>
        <v>53</v>
      </c>
      <c r="U52" s="3">
        <f>20+10+58</f>
        <v>88</v>
      </c>
      <c r="V52" s="5">
        <f t="shared" si="13"/>
        <v>141</v>
      </c>
      <c r="W52" s="4">
        <f>75+2+119</f>
        <v>196</v>
      </c>
      <c r="AG52">
        <v>0</v>
      </c>
      <c r="AH52" s="14">
        <v>26.568000000000001</v>
      </c>
      <c r="AI52" s="14">
        <v>37.064</v>
      </c>
      <c r="AJ52" s="14">
        <v>63.632000000000005</v>
      </c>
      <c r="AK52" s="14">
        <v>83.968000000000004</v>
      </c>
      <c r="AL52" s="3" t="s">
        <v>600</v>
      </c>
    </row>
    <row r="53" spans="1:41">
      <c r="A53" t="s">
        <v>539</v>
      </c>
      <c r="B53" t="s">
        <v>541</v>
      </c>
      <c r="C53">
        <v>9</v>
      </c>
      <c r="D53" t="s">
        <v>35</v>
      </c>
      <c r="E53">
        <v>6</v>
      </c>
      <c r="F53">
        <v>1</v>
      </c>
      <c r="G53" s="1">
        <f t="shared" si="0"/>
        <v>73</v>
      </c>
      <c r="H53">
        <v>200</v>
      </c>
      <c r="I53">
        <v>1989</v>
      </c>
      <c r="J53">
        <v>2007</v>
      </c>
      <c r="K53" s="1">
        <f t="shared" si="1"/>
        <v>18</v>
      </c>
      <c r="L53" t="s">
        <v>41</v>
      </c>
      <c r="M53" t="s">
        <v>44</v>
      </c>
      <c r="N53" s="2">
        <v>60</v>
      </c>
      <c r="O53" s="5">
        <v>28</v>
      </c>
      <c r="P53" s="5">
        <v>54</v>
      </c>
      <c r="Q53" s="5">
        <f t="shared" si="2"/>
        <v>82</v>
      </c>
      <c r="R53" s="4">
        <v>26</v>
      </c>
      <c r="S53" s="2">
        <v>65</v>
      </c>
      <c r="T53" s="5">
        <v>25</v>
      </c>
      <c r="U53" s="5">
        <v>39</v>
      </c>
      <c r="V53" s="5">
        <f t="shared" si="13"/>
        <v>64</v>
      </c>
      <c r="W53" s="4">
        <v>52</v>
      </c>
      <c r="AG53">
        <v>0</v>
      </c>
      <c r="AH53" s="14">
        <v>29.243085880640464</v>
      </c>
      <c r="AI53" s="14">
        <v>34.136826783114991</v>
      </c>
      <c r="AJ53" s="14">
        <v>63.379912663755455</v>
      </c>
      <c r="AK53" s="14">
        <v>22.5589519650655</v>
      </c>
      <c r="AL53" s="5" t="s">
        <v>600</v>
      </c>
    </row>
    <row r="54" spans="1:41">
      <c r="A54" t="s">
        <v>397</v>
      </c>
      <c r="B54" t="s">
        <v>409</v>
      </c>
      <c r="C54">
        <v>15</v>
      </c>
      <c r="D54" t="s">
        <v>66</v>
      </c>
      <c r="E54">
        <v>6</v>
      </c>
      <c r="F54">
        <v>1</v>
      </c>
      <c r="G54" s="1">
        <f t="shared" si="0"/>
        <v>73</v>
      </c>
      <c r="H54">
        <v>205</v>
      </c>
      <c r="I54">
        <v>1986</v>
      </c>
      <c r="J54">
        <v>2004</v>
      </c>
      <c r="K54" s="1">
        <f t="shared" si="1"/>
        <v>18</v>
      </c>
      <c r="L54" t="s">
        <v>41</v>
      </c>
      <c r="M54" t="s">
        <v>44</v>
      </c>
      <c r="N54" s="2">
        <v>49</v>
      </c>
      <c r="O54" s="5">
        <v>17</v>
      </c>
      <c r="P54" s="5">
        <v>21</v>
      </c>
      <c r="Q54" s="5">
        <f t="shared" si="2"/>
        <v>38</v>
      </c>
      <c r="R54" s="4">
        <v>106</v>
      </c>
      <c r="S54" s="2">
        <v>5</v>
      </c>
      <c r="T54" s="5">
        <v>4</v>
      </c>
      <c r="U54" s="5">
        <v>5</v>
      </c>
      <c r="V54" s="5">
        <f t="shared" si="13"/>
        <v>9</v>
      </c>
      <c r="W54" s="4">
        <v>2</v>
      </c>
      <c r="AG54">
        <v>0</v>
      </c>
      <c r="AH54" s="14">
        <v>25.71358024691358</v>
      </c>
      <c r="AI54" s="14">
        <v>37.254320987654324</v>
      </c>
      <c r="AJ54" s="14">
        <v>62.967901234567904</v>
      </c>
      <c r="AK54" s="14">
        <v>57.906172839506176</v>
      </c>
      <c r="AL54" s="5" t="s">
        <v>66</v>
      </c>
    </row>
    <row r="55" spans="1:41">
      <c r="A55" s="6" t="s">
        <v>17</v>
      </c>
      <c r="B55" t="s">
        <v>29</v>
      </c>
      <c r="C55">
        <v>63</v>
      </c>
      <c r="D55" t="s">
        <v>37</v>
      </c>
      <c r="E55">
        <v>6</v>
      </c>
      <c r="F55">
        <v>0</v>
      </c>
      <c r="G55" s="1">
        <f t="shared" si="0"/>
        <v>72</v>
      </c>
      <c r="H55">
        <v>188</v>
      </c>
      <c r="I55">
        <v>1986</v>
      </c>
      <c r="J55">
        <v>2004</v>
      </c>
      <c r="K55" s="1">
        <f t="shared" si="1"/>
        <v>18</v>
      </c>
      <c r="L55" t="s">
        <v>41</v>
      </c>
      <c r="M55" t="s">
        <v>43</v>
      </c>
      <c r="N55" s="2">
        <v>57</v>
      </c>
      <c r="O55" s="5">
        <v>26</v>
      </c>
      <c r="P55" s="5">
        <v>41</v>
      </c>
      <c r="Q55" s="3">
        <f t="shared" si="2"/>
        <v>67</v>
      </c>
      <c r="R55" s="4">
        <v>37</v>
      </c>
      <c r="S55" s="2">
        <v>34</v>
      </c>
      <c r="T55" s="5">
        <v>16</v>
      </c>
      <c r="U55" s="5">
        <v>29</v>
      </c>
      <c r="V55" s="3">
        <f t="shared" si="13"/>
        <v>45</v>
      </c>
      <c r="W55" s="4">
        <v>44</v>
      </c>
      <c r="X55">
        <f>O55/N55</f>
        <v>0.45614035087719296</v>
      </c>
      <c r="Y55">
        <f>T55/S55</f>
        <v>0.47058823529411764</v>
      </c>
      <c r="Z55">
        <f>X55-Y55</f>
        <v>-1.4447884416924683E-2</v>
      </c>
      <c r="AA55">
        <f>P55/N55</f>
        <v>0.7192982456140351</v>
      </c>
      <c r="AB55">
        <f>U55/S55</f>
        <v>0.8529411764705882</v>
      </c>
      <c r="AC55">
        <f>AA55-AB55</f>
        <v>-0.1336429308565531</v>
      </c>
      <c r="AD55">
        <f>Q55/N55</f>
        <v>1.1754385964912282</v>
      </c>
      <c r="AE55">
        <f>V55/S55</f>
        <v>1.3235294117647058</v>
      </c>
      <c r="AF55">
        <f>AD55-AE55</f>
        <v>-0.14809081527347767</v>
      </c>
      <c r="AG55">
        <v>0</v>
      </c>
      <c r="AH55" s="14">
        <v>18.580346820809247</v>
      </c>
      <c r="AI55" s="14">
        <v>43.606936416184972</v>
      </c>
      <c r="AJ55" s="14">
        <v>62.187283236994219</v>
      </c>
      <c r="AK55" s="14">
        <v>29.008092485549131</v>
      </c>
      <c r="AL55" s="3" t="s">
        <v>607</v>
      </c>
    </row>
    <row r="56" spans="1:41">
      <c r="A56" t="s">
        <v>354</v>
      </c>
      <c r="B56" t="s">
        <v>340</v>
      </c>
      <c r="C56">
        <v>3</v>
      </c>
      <c r="D56" t="s">
        <v>35</v>
      </c>
      <c r="E56">
        <v>5</v>
      </c>
      <c r="F56">
        <v>11</v>
      </c>
      <c r="G56" s="1">
        <f t="shared" si="0"/>
        <v>71</v>
      </c>
      <c r="H56">
        <v>195</v>
      </c>
      <c r="I56">
        <v>1991</v>
      </c>
      <c r="J56">
        <v>2009</v>
      </c>
      <c r="K56" s="1">
        <f t="shared" si="1"/>
        <v>18</v>
      </c>
      <c r="L56" t="s">
        <v>41</v>
      </c>
      <c r="M56" t="s">
        <v>44</v>
      </c>
      <c r="N56" s="2">
        <v>57</v>
      </c>
      <c r="O56" s="5">
        <v>31</v>
      </c>
      <c r="P56" s="5">
        <v>48</v>
      </c>
      <c r="Q56" s="5">
        <f t="shared" si="2"/>
        <v>79</v>
      </c>
      <c r="R56" s="4">
        <v>42</v>
      </c>
      <c r="S56" s="2">
        <v>71</v>
      </c>
      <c r="T56" s="5">
        <v>35</v>
      </c>
      <c r="U56" s="5">
        <v>23</v>
      </c>
      <c r="V56" s="5">
        <f t="shared" si="13"/>
        <v>58</v>
      </c>
      <c r="W56" s="4">
        <v>28</v>
      </c>
      <c r="X56">
        <f>O56/N56</f>
        <v>0.54385964912280704</v>
      </c>
      <c r="Y56">
        <f>T56/S56</f>
        <v>0.49295774647887325</v>
      </c>
      <c r="Z56">
        <f>X56-Y56</f>
        <v>5.0901902643933794E-2</v>
      </c>
      <c r="AA56">
        <f>P56/N56</f>
        <v>0.84210526315789469</v>
      </c>
      <c r="AB56">
        <f>U56/S56</f>
        <v>0.323943661971831</v>
      </c>
      <c r="AC56">
        <f>AA56-AB56</f>
        <v>0.51816160118606369</v>
      </c>
      <c r="AD56">
        <f>Q56/N56</f>
        <v>1.3859649122807018</v>
      </c>
      <c r="AE56">
        <f>V56/S56</f>
        <v>0.81690140845070425</v>
      </c>
      <c r="AF56">
        <f>AD56-AE56</f>
        <v>0.5690635038299976</v>
      </c>
      <c r="AG56">
        <v>0</v>
      </c>
      <c r="AH56" s="14">
        <v>26.125836680053549</v>
      </c>
      <c r="AI56" s="14">
        <v>35.785809906291838</v>
      </c>
      <c r="AJ56" s="14">
        <v>61.911646586345384</v>
      </c>
      <c r="AK56" s="14">
        <v>19.100401606425702</v>
      </c>
      <c r="AL56" s="3" t="s">
        <v>600</v>
      </c>
    </row>
    <row r="57" spans="1:41">
      <c r="A57" t="s">
        <v>169</v>
      </c>
      <c r="B57" t="s">
        <v>172</v>
      </c>
      <c r="C57">
        <v>27</v>
      </c>
      <c r="D57" t="s">
        <v>34</v>
      </c>
      <c r="E57">
        <v>6</v>
      </c>
      <c r="F57">
        <v>3</v>
      </c>
      <c r="G57" s="1">
        <f t="shared" si="0"/>
        <v>75</v>
      </c>
      <c r="H57">
        <v>218</v>
      </c>
      <c r="I57">
        <v>1990</v>
      </c>
      <c r="J57">
        <v>2008</v>
      </c>
      <c r="K57" s="1">
        <f t="shared" si="1"/>
        <v>18</v>
      </c>
      <c r="L57" t="s">
        <v>42</v>
      </c>
      <c r="M57" t="s">
        <v>43</v>
      </c>
      <c r="N57" s="2">
        <v>59</v>
      </c>
      <c r="O57" s="5">
        <v>12</v>
      </c>
      <c r="P57" s="5">
        <v>31</v>
      </c>
      <c r="Q57" s="5">
        <f t="shared" si="2"/>
        <v>43</v>
      </c>
      <c r="R57" s="4">
        <v>72</v>
      </c>
      <c r="S57" s="2">
        <v>46</v>
      </c>
      <c r="T57" s="5">
        <v>12</v>
      </c>
      <c r="U57" s="5">
        <v>38</v>
      </c>
      <c r="V57" s="5">
        <f t="shared" si="13"/>
        <v>50</v>
      </c>
      <c r="W57" s="4">
        <v>102</v>
      </c>
      <c r="X57">
        <f>O57/N57</f>
        <v>0.20338983050847459</v>
      </c>
      <c r="Y57">
        <f>T57/S57</f>
        <v>0.2608695652173913</v>
      </c>
      <c r="Z57">
        <f>X57-Y57</f>
        <v>-5.7479734708916708E-2</v>
      </c>
      <c r="AA57">
        <f>P57/N57</f>
        <v>0.52542372881355937</v>
      </c>
      <c r="AB57">
        <f>U57/S57</f>
        <v>0.82608695652173914</v>
      </c>
      <c r="AC57">
        <f>AA57-AB57</f>
        <v>-0.30066322770817977</v>
      </c>
      <c r="AD57">
        <f>Q57/N57</f>
        <v>0.72881355932203384</v>
      </c>
      <c r="AE57">
        <f>V57/S57</f>
        <v>1.0869565217391304</v>
      </c>
      <c r="AF57">
        <f>AD57-AE57</f>
        <v>-0.35814296241709653</v>
      </c>
      <c r="AG57">
        <v>1</v>
      </c>
      <c r="AH57" s="14">
        <v>11.2865168539326</v>
      </c>
      <c r="AI57" s="14">
        <v>39.272471910112358</v>
      </c>
      <c r="AJ57" s="14">
        <v>50.558988764044948</v>
      </c>
      <c r="AK57" s="14">
        <v>27.410112359550563</v>
      </c>
      <c r="AL57" s="5" t="s">
        <v>608</v>
      </c>
      <c r="AM57" s="22">
        <v>157</v>
      </c>
      <c r="AN57" s="22">
        <v>1102</v>
      </c>
      <c r="AO57">
        <f>AM57/AN57</f>
        <v>0.14246823956442831</v>
      </c>
    </row>
    <row r="58" spans="1:41">
      <c r="A58" t="s">
        <v>220</v>
      </c>
      <c r="B58" t="s">
        <v>233</v>
      </c>
      <c r="C58">
        <v>7</v>
      </c>
      <c r="D58" t="s">
        <v>37</v>
      </c>
      <c r="E58">
        <v>6</v>
      </c>
      <c r="F58">
        <v>2</v>
      </c>
      <c r="G58" s="1">
        <f t="shared" si="0"/>
        <v>74</v>
      </c>
      <c r="H58">
        <v>214</v>
      </c>
      <c r="I58">
        <v>1989</v>
      </c>
      <c r="J58">
        <v>2007</v>
      </c>
      <c r="K58" s="1">
        <f t="shared" si="1"/>
        <v>18</v>
      </c>
      <c r="L58" t="s">
        <v>41</v>
      </c>
      <c r="M58" t="s">
        <v>44</v>
      </c>
      <c r="N58" s="2">
        <v>63</v>
      </c>
      <c r="O58" s="5">
        <v>24</v>
      </c>
      <c r="P58" s="5">
        <v>65</v>
      </c>
      <c r="Q58" s="5">
        <f t="shared" si="2"/>
        <v>89</v>
      </c>
      <c r="R58" s="4">
        <v>28</v>
      </c>
      <c r="S58" s="2">
        <v>47</v>
      </c>
      <c r="T58" s="5">
        <v>21</v>
      </c>
      <c r="U58" s="5">
        <v>38</v>
      </c>
      <c r="V58" s="5">
        <f t="shared" si="13"/>
        <v>59</v>
      </c>
      <c r="W58" s="4">
        <v>54</v>
      </c>
      <c r="X58">
        <f>O58/N58</f>
        <v>0.38095238095238093</v>
      </c>
      <c r="Y58">
        <f>T58/S58</f>
        <v>0.44680851063829785</v>
      </c>
      <c r="Z58">
        <f>X58-Y58</f>
        <v>-6.585612968591692E-2</v>
      </c>
      <c r="AA58">
        <f>P58/N58</f>
        <v>1.0317460317460319</v>
      </c>
      <c r="AB58">
        <f>U58/S58</f>
        <v>0.80851063829787229</v>
      </c>
      <c r="AC58">
        <f>AA58-AB58</f>
        <v>0.22323539344815957</v>
      </c>
      <c r="AD58">
        <f>Q58/N58</f>
        <v>1.4126984126984128</v>
      </c>
      <c r="AE58">
        <f>V58/S58</f>
        <v>1.2553191489361701</v>
      </c>
      <c r="AF58">
        <f>AD58-AE58</f>
        <v>0.15737926376224265</v>
      </c>
      <c r="AG58">
        <v>0</v>
      </c>
      <c r="AH58" s="14">
        <v>18.821222606689734</v>
      </c>
      <c r="AI58" s="14">
        <v>42.844290657439444</v>
      </c>
      <c r="AJ58" s="14">
        <v>61.665513264129181</v>
      </c>
      <c r="AK58" s="14">
        <v>41.614763552479815</v>
      </c>
      <c r="AL58" s="3" t="s">
        <v>614</v>
      </c>
    </row>
    <row r="59" spans="1:41">
      <c r="A59" s="6" t="s">
        <v>102</v>
      </c>
      <c r="B59" t="s">
        <v>105</v>
      </c>
      <c r="C59">
        <v>71</v>
      </c>
      <c r="D59" t="s">
        <v>66</v>
      </c>
      <c r="E59">
        <v>5</v>
      </c>
      <c r="F59">
        <v>11</v>
      </c>
      <c r="G59" s="1">
        <f t="shared" si="0"/>
        <v>71</v>
      </c>
      <c r="H59">
        <v>185</v>
      </c>
      <c r="I59">
        <v>1989</v>
      </c>
      <c r="J59">
        <v>2007</v>
      </c>
      <c r="K59" s="1">
        <f t="shared" si="1"/>
        <v>18</v>
      </c>
      <c r="L59" t="s">
        <v>41</v>
      </c>
      <c r="M59" t="s">
        <v>44</v>
      </c>
      <c r="N59" s="2">
        <v>35</v>
      </c>
      <c r="O59" s="5">
        <v>5</v>
      </c>
      <c r="P59" s="5">
        <v>3</v>
      </c>
      <c r="Q59" s="5">
        <f t="shared" si="2"/>
        <v>8</v>
      </c>
      <c r="R59" s="4">
        <v>24</v>
      </c>
      <c r="S59" s="2">
        <v>12</v>
      </c>
      <c r="T59" s="5">
        <v>1</v>
      </c>
      <c r="U59" s="5">
        <v>4</v>
      </c>
      <c r="V59" s="5">
        <f t="shared" si="13"/>
        <v>5</v>
      </c>
      <c r="W59" s="4">
        <v>2</v>
      </c>
      <c r="X59">
        <f>O59/N59</f>
        <v>0.14285714285714285</v>
      </c>
      <c r="Y59">
        <f>T59/S59</f>
        <v>8.3333333333333329E-2</v>
      </c>
      <c r="Z59">
        <f>X59-Y59</f>
        <v>5.9523809523809521E-2</v>
      </c>
      <c r="AA59">
        <f>P59/N59</f>
        <v>8.5714285714285715E-2</v>
      </c>
      <c r="AB59">
        <f>U59/S59</f>
        <v>0.33333333333333331</v>
      </c>
      <c r="AC59">
        <f>AA59-AB59</f>
        <v>-0.2476190476190476</v>
      </c>
      <c r="AD59">
        <f>Q59/N59</f>
        <v>0.22857142857142856</v>
      </c>
      <c r="AE59">
        <f>V59/S59</f>
        <v>0.41666666666666669</v>
      </c>
      <c r="AF59">
        <f>AD59-AE59</f>
        <v>-0.18809523809523812</v>
      </c>
      <c r="AG59">
        <v>0</v>
      </c>
      <c r="AH59" s="14">
        <v>26.746781115879827</v>
      </c>
      <c r="AI59" s="14">
        <v>34.841201716738198</v>
      </c>
      <c r="AJ59" s="14">
        <v>61.587982832618025</v>
      </c>
      <c r="AK59" s="14">
        <v>11.965665236051503</v>
      </c>
      <c r="AL59" s="5" t="s">
        <v>66</v>
      </c>
    </row>
    <row r="60" spans="1:41">
      <c r="A60" t="s">
        <v>413</v>
      </c>
      <c r="B60" t="s">
        <v>415</v>
      </c>
      <c r="C60">
        <v>17</v>
      </c>
      <c r="D60" t="s">
        <v>34</v>
      </c>
      <c r="E60">
        <v>6</v>
      </c>
      <c r="F60">
        <v>1</v>
      </c>
      <c r="G60" s="1">
        <f t="shared" si="0"/>
        <v>73</v>
      </c>
      <c r="H60">
        <v>182</v>
      </c>
      <c r="I60">
        <v>1996</v>
      </c>
      <c r="J60">
        <v>2015</v>
      </c>
      <c r="K60" s="1">
        <f t="shared" si="1"/>
        <v>19</v>
      </c>
      <c r="L60" t="s">
        <v>41</v>
      </c>
      <c r="M60" t="s">
        <v>44</v>
      </c>
      <c r="N60" s="2">
        <v>60</v>
      </c>
      <c r="O60" s="5">
        <v>35</v>
      </c>
      <c r="P60" s="5">
        <v>47</v>
      </c>
      <c r="Q60" s="5">
        <f t="shared" si="2"/>
        <v>82</v>
      </c>
      <c r="R60" s="4">
        <v>6</v>
      </c>
      <c r="S60" s="2">
        <f>5+56+4+7</f>
        <v>72</v>
      </c>
      <c r="T60" s="3">
        <f>2+31+2+4</f>
        <v>39</v>
      </c>
      <c r="U60" s="3">
        <f>1+43+3+3</f>
        <v>50</v>
      </c>
      <c r="V60" s="5">
        <f t="shared" si="13"/>
        <v>89</v>
      </c>
      <c r="W60" s="4">
        <f>14</f>
        <v>14</v>
      </c>
      <c r="AG60">
        <v>0</v>
      </c>
      <c r="AH60" s="14">
        <v>30.597014925373131</v>
      </c>
      <c r="AI60" s="14">
        <v>28.965174129353233</v>
      </c>
      <c r="AJ60" s="14">
        <v>59.562189054726367</v>
      </c>
      <c r="AK60" s="14">
        <v>17.134328358208954</v>
      </c>
      <c r="AL60" s="5" t="s">
        <v>608</v>
      </c>
    </row>
    <row r="61" spans="1:41">
      <c r="A61" t="s">
        <v>188</v>
      </c>
      <c r="B61" t="s">
        <v>196</v>
      </c>
      <c r="C61">
        <v>22</v>
      </c>
      <c r="D61" t="s">
        <v>35</v>
      </c>
      <c r="E61">
        <v>5</v>
      </c>
      <c r="F61">
        <v>11</v>
      </c>
      <c r="G61" s="1">
        <f t="shared" si="0"/>
        <v>71</v>
      </c>
      <c r="H61">
        <v>187</v>
      </c>
      <c r="I61">
        <v>1990</v>
      </c>
      <c r="J61">
        <v>2008</v>
      </c>
      <c r="K61" s="1">
        <f t="shared" si="1"/>
        <v>18</v>
      </c>
      <c r="L61" t="s">
        <v>41</v>
      </c>
      <c r="M61" t="s">
        <v>43</v>
      </c>
      <c r="N61" s="2">
        <v>77</v>
      </c>
      <c r="O61" s="5">
        <v>46</v>
      </c>
      <c r="P61" s="5">
        <v>39</v>
      </c>
      <c r="Q61" s="5">
        <f t="shared" si="2"/>
        <v>85</v>
      </c>
      <c r="R61" s="4">
        <v>20</v>
      </c>
      <c r="S61" s="2">
        <v>66</v>
      </c>
      <c r="T61" s="5">
        <v>28</v>
      </c>
      <c r="U61" s="5">
        <v>27</v>
      </c>
      <c r="V61" s="5">
        <f t="shared" si="13"/>
        <v>55</v>
      </c>
      <c r="W61" s="4">
        <v>32</v>
      </c>
      <c r="X61">
        <f>O61/N61</f>
        <v>0.59740259740259738</v>
      </c>
      <c r="Y61">
        <f>T61/S61</f>
        <v>0.42424242424242425</v>
      </c>
      <c r="Z61">
        <f>X61-Y61</f>
        <v>0.17316017316017313</v>
      </c>
      <c r="AA61">
        <f>P61/N61</f>
        <v>0.50649350649350644</v>
      </c>
      <c r="AB61">
        <f>U61/S61</f>
        <v>0.40909090909090912</v>
      </c>
      <c r="AC61">
        <f>AA61-AB61</f>
        <v>9.7402597402597324E-2</v>
      </c>
      <c r="AD61">
        <f>Q61/N61</f>
        <v>1.1038961038961039</v>
      </c>
      <c r="AE61">
        <f>V61/S61</f>
        <v>0.83333333333333337</v>
      </c>
      <c r="AF61">
        <f>AD61-AE61</f>
        <v>0.27056277056277056</v>
      </c>
      <c r="AG61">
        <v>0</v>
      </c>
      <c r="AH61" s="14">
        <v>25.389629629629631</v>
      </c>
      <c r="AI61" s="14">
        <v>33.285925925925923</v>
      </c>
      <c r="AJ61" s="14">
        <v>58.675555555555555</v>
      </c>
      <c r="AK61" s="14">
        <v>19.68</v>
      </c>
      <c r="AL61" s="3" t="s">
        <v>599</v>
      </c>
    </row>
    <row r="62" spans="1:41">
      <c r="A62" t="s">
        <v>576</v>
      </c>
      <c r="B62" t="s">
        <v>579</v>
      </c>
      <c r="C62">
        <v>11</v>
      </c>
      <c r="D62" t="s">
        <v>35</v>
      </c>
      <c r="E62">
        <v>6</v>
      </c>
      <c r="F62">
        <v>3</v>
      </c>
      <c r="G62" s="1">
        <f t="shared" si="0"/>
        <v>75</v>
      </c>
      <c r="H62">
        <v>219</v>
      </c>
      <c r="I62">
        <v>1985</v>
      </c>
      <c r="J62">
        <v>2003</v>
      </c>
      <c r="K62" s="1">
        <f t="shared" si="1"/>
        <v>18</v>
      </c>
      <c r="L62" t="s">
        <v>41</v>
      </c>
      <c r="M62" t="s">
        <v>43</v>
      </c>
      <c r="N62" s="2">
        <v>68</v>
      </c>
      <c r="O62" s="5">
        <v>37</v>
      </c>
      <c r="P62" s="5">
        <v>40</v>
      </c>
      <c r="Q62" s="5">
        <f t="shared" si="2"/>
        <v>77</v>
      </c>
      <c r="R62" s="4">
        <v>57</v>
      </c>
      <c r="S62" s="2">
        <v>63</v>
      </c>
      <c r="T62" s="5">
        <v>18</v>
      </c>
      <c r="U62" s="5">
        <v>17</v>
      </c>
      <c r="V62" s="5">
        <f t="shared" si="13"/>
        <v>35</v>
      </c>
      <c r="W62" s="4">
        <v>12</v>
      </c>
      <c r="AG62">
        <v>0</v>
      </c>
      <c r="AH62" s="14">
        <v>30.412761714855431</v>
      </c>
      <c r="AI62" s="14">
        <v>28.123629112662012</v>
      </c>
      <c r="AJ62" s="14">
        <v>58.536390827517444</v>
      </c>
      <c r="AK62" s="14">
        <v>41.940179461615152</v>
      </c>
      <c r="AL62" s="5" t="s">
        <v>600</v>
      </c>
    </row>
    <row r="63" spans="1:41">
      <c r="A63" t="s">
        <v>510</v>
      </c>
      <c r="B63" t="s">
        <v>518</v>
      </c>
      <c r="C63">
        <v>22</v>
      </c>
      <c r="D63" t="s">
        <v>34</v>
      </c>
      <c r="E63">
        <v>6</v>
      </c>
      <c r="F63">
        <v>2</v>
      </c>
      <c r="G63" s="1">
        <f t="shared" si="0"/>
        <v>74</v>
      </c>
      <c r="H63">
        <v>206</v>
      </c>
      <c r="I63">
        <v>1988</v>
      </c>
      <c r="J63">
        <v>2007</v>
      </c>
      <c r="K63" s="1">
        <f t="shared" si="1"/>
        <v>19</v>
      </c>
      <c r="L63" t="s">
        <v>41</v>
      </c>
      <c r="M63" t="s">
        <v>44</v>
      </c>
      <c r="N63" s="2">
        <v>60</v>
      </c>
      <c r="O63" s="5">
        <v>21</v>
      </c>
      <c r="P63" s="5">
        <v>42</v>
      </c>
      <c r="Q63" s="5">
        <f t="shared" si="2"/>
        <v>63</v>
      </c>
      <c r="R63" s="4">
        <v>119</v>
      </c>
      <c r="S63" s="2">
        <v>26</v>
      </c>
      <c r="T63" s="5">
        <v>7</v>
      </c>
      <c r="U63" s="5">
        <v>26</v>
      </c>
      <c r="V63" s="5">
        <f t="shared" si="13"/>
        <v>33</v>
      </c>
      <c r="W63" s="4">
        <v>0</v>
      </c>
      <c r="AG63">
        <v>0</v>
      </c>
      <c r="AH63" s="14">
        <v>29.277545327754531</v>
      </c>
      <c r="AI63" s="14">
        <v>29.048814504881449</v>
      </c>
      <c r="AJ63" s="14">
        <v>58.32635983263598</v>
      </c>
      <c r="AK63" s="14">
        <v>44.602510460251047</v>
      </c>
      <c r="AL63" s="5" t="s">
        <v>608</v>
      </c>
    </row>
    <row r="64" spans="1:41">
      <c r="A64" s="6" t="s">
        <v>102</v>
      </c>
      <c r="B64" t="s">
        <v>108</v>
      </c>
      <c r="C64">
        <v>130</v>
      </c>
      <c r="D64" t="s">
        <v>35</v>
      </c>
      <c r="E64">
        <v>6</v>
      </c>
      <c r="F64">
        <v>0</v>
      </c>
      <c r="G64" s="1">
        <f t="shared" si="0"/>
        <v>72</v>
      </c>
      <c r="H64">
        <v>180</v>
      </c>
      <c r="I64">
        <v>1989</v>
      </c>
      <c r="J64">
        <v>2009</v>
      </c>
      <c r="K64" s="1">
        <f t="shared" si="1"/>
        <v>20</v>
      </c>
      <c r="L64" t="s">
        <v>41</v>
      </c>
      <c r="M64" t="s">
        <v>44</v>
      </c>
      <c r="N64" s="2">
        <v>62</v>
      </c>
      <c r="O64" s="5">
        <v>52</v>
      </c>
      <c r="P64" s="5">
        <v>42</v>
      </c>
      <c r="Q64" s="5">
        <f t="shared" si="2"/>
        <v>94</v>
      </c>
      <c r="R64" s="4">
        <v>86</v>
      </c>
      <c r="S64" s="2">
        <f>62</f>
        <v>62</v>
      </c>
      <c r="T64" s="5">
        <v>24</v>
      </c>
      <c r="U64" s="5">
        <v>24</v>
      </c>
      <c r="V64" s="5">
        <f t="shared" si="13"/>
        <v>48</v>
      </c>
      <c r="W64" s="4">
        <v>93</v>
      </c>
      <c r="X64">
        <f>O64/N64</f>
        <v>0.83870967741935487</v>
      </c>
      <c r="Y64">
        <f>T64/S64</f>
        <v>0.38709677419354838</v>
      </c>
      <c r="Z64">
        <f>X64-Y64</f>
        <v>0.45161290322580649</v>
      </c>
      <c r="AA64">
        <f>P64/N64</f>
        <v>0.67741935483870963</v>
      </c>
      <c r="AB64">
        <f>U64/S64</f>
        <v>0.38709677419354838</v>
      </c>
      <c r="AC64">
        <f>AA64-AB64</f>
        <v>0.29032258064516125</v>
      </c>
      <c r="AD64">
        <f>Q64/N64</f>
        <v>1.5161290322580645</v>
      </c>
      <c r="AE64">
        <f>V64/S64</f>
        <v>0.77419354838709675</v>
      </c>
      <c r="AF64">
        <f>AD64-AE64</f>
        <v>0.74193548387096775</v>
      </c>
      <c r="AG64">
        <v>0</v>
      </c>
      <c r="AH64" s="14">
        <v>28.008988764044943</v>
      </c>
      <c r="AI64" s="14">
        <v>30.220224719101122</v>
      </c>
      <c r="AJ64" s="14">
        <v>58.229213483146061</v>
      </c>
      <c r="AK64" s="14">
        <v>29.298876404494379</v>
      </c>
      <c r="AL64" s="5" t="s">
        <v>614</v>
      </c>
    </row>
    <row r="65" spans="1:38">
      <c r="A65" t="s">
        <v>461</v>
      </c>
      <c r="B65" t="s">
        <v>474</v>
      </c>
      <c r="C65">
        <v>1</v>
      </c>
      <c r="D65" t="s">
        <v>35</v>
      </c>
      <c r="E65">
        <v>6</v>
      </c>
      <c r="F65">
        <v>0</v>
      </c>
      <c r="G65" s="1">
        <f t="shared" si="0"/>
        <v>72</v>
      </c>
      <c r="H65">
        <v>184</v>
      </c>
      <c r="I65">
        <v>1993</v>
      </c>
      <c r="J65">
        <v>2011</v>
      </c>
      <c r="K65" s="1">
        <f t="shared" si="1"/>
        <v>18</v>
      </c>
      <c r="L65" t="s">
        <v>41</v>
      </c>
      <c r="M65" t="s">
        <v>44</v>
      </c>
      <c r="N65" s="2">
        <v>69</v>
      </c>
      <c r="O65" s="5">
        <v>31</v>
      </c>
      <c r="P65" s="5">
        <v>75</v>
      </c>
      <c r="Q65" s="5">
        <f t="shared" si="2"/>
        <v>106</v>
      </c>
      <c r="R65" s="4">
        <v>51</v>
      </c>
      <c r="S65" s="2">
        <v>67</v>
      </c>
      <c r="T65" s="5">
        <v>24</v>
      </c>
      <c r="U65" s="5">
        <v>41</v>
      </c>
      <c r="V65" s="5">
        <f t="shared" si="13"/>
        <v>65</v>
      </c>
      <c r="W65" s="4">
        <v>28</v>
      </c>
      <c r="AG65">
        <v>0</v>
      </c>
      <c r="AH65" s="14">
        <v>22.138543516873892</v>
      </c>
      <c r="AI65" s="14">
        <v>35.683836589698046</v>
      </c>
      <c r="AJ65" s="14">
        <v>57.822380106571934</v>
      </c>
      <c r="AK65" s="14">
        <v>26.21669626998224</v>
      </c>
      <c r="AL65" s="3" t="s">
        <v>599</v>
      </c>
    </row>
    <row r="66" spans="1:38">
      <c r="A66" t="s">
        <v>169</v>
      </c>
      <c r="B66" t="s">
        <v>181</v>
      </c>
      <c r="C66">
        <v>24</v>
      </c>
      <c r="D66" t="s">
        <v>34</v>
      </c>
      <c r="E66">
        <v>5</v>
      </c>
      <c r="F66">
        <v>11</v>
      </c>
      <c r="G66" s="1">
        <f t="shared" ref="G66:G129" si="14">E66*12+F66</f>
        <v>71</v>
      </c>
      <c r="H66">
        <v>195</v>
      </c>
      <c r="I66">
        <v>1986</v>
      </c>
      <c r="J66">
        <v>2005</v>
      </c>
      <c r="K66" s="1">
        <f t="shared" ref="K66:K129" si="15">J66-I66</f>
        <v>19</v>
      </c>
      <c r="L66" t="s">
        <v>41</v>
      </c>
      <c r="M66" t="s">
        <v>43</v>
      </c>
      <c r="N66" s="2">
        <v>42</v>
      </c>
      <c r="O66" s="5">
        <v>40</v>
      </c>
      <c r="P66" s="5">
        <v>64</v>
      </c>
      <c r="Q66" s="5">
        <f t="shared" ref="Q66:Q129" si="16">O66+P66</f>
        <v>104</v>
      </c>
      <c r="R66" s="4">
        <v>28</v>
      </c>
      <c r="V66" s="5">
        <f t="shared" ref="V66:V97" si="17">T66+U66</f>
        <v>0</v>
      </c>
      <c r="X66">
        <f>O66/N66</f>
        <v>0.95238095238095233</v>
      </c>
      <c r="Y66" t="e">
        <f>T66/S66</f>
        <v>#DIV/0!</v>
      </c>
      <c r="Z66" t="e">
        <f>X66-Y66</f>
        <v>#DIV/0!</v>
      </c>
      <c r="AA66">
        <f>P66/N66</f>
        <v>1.5238095238095237</v>
      </c>
      <c r="AB66" t="e">
        <f>U66/S66</f>
        <v>#DIV/0!</v>
      </c>
      <c r="AC66" t="e">
        <f>AA66-AB66</f>
        <v>#DIV/0!</v>
      </c>
      <c r="AD66">
        <f>Q66/N66</f>
        <v>2.4761904761904763</v>
      </c>
      <c r="AE66" t="e">
        <f>V66/S66</f>
        <v>#DIV/0!</v>
      </c>
      <c r="AF66" t="e">
        <f>AD66-AE66</f>
        <v>#DIV/0!</v>
      </c>
      <c r="AG66">
        <v>0</v>
      </c>
      <c r="AH66" s="14">
        <v>24.015831134564642</v>
      </c>
      <c r="AI66" s="14">
        <v>33.643799472295512</v>
      </c>
      <c r="AJ66" s="14">
        <v>57.659630606860155</v>
      </c>
      <c r="AK66" s="14">
        <v>42.189973614775724</v>
      </c>
      <c r="AL66" s="5" t="s">
        <v>603</v>
      </c>
    </row>
    <row r="67" spans="1:38">
      <c r="A67" t="s">
        <v>445</v>
      </c>
      <c r="B67" t="s">
        <v>460</v>
      </c>
      <c r="C67">
        <v>6</v>
      </c>
      <c r="D67" t="s">
        <v>38</v>
      </c>
      <c r="E67">
        <v>6</v>
      </c>
      <c r="F67">
        <v>3</v>
      </c>
      <c r="G67" s="1">
        <f t="shared" si="14"/>
        <v>75</v>
      </c>
      <c r="H67">
        <v>219</v>
      </c>
      <c r="I67">
        <v>1983</v>
      </c>
      <c r="J67">
        <v>2001</v>
      </c>
      <c r="K67" s="1">
        <f t="shared" si="15"/>
        <v>18</v>
      </c>
      <c r="L67" t="s">
        <v>41</v>
      </c>
      <c r="M67" t="s">
        <v>44</v>
      </c>
      <c r="N67" s="2">
        <f>21+26+21+7+6</f>
        <v>81</v>
      </c>
      <c r="O67" s="5">
        <v>11</v>
      </c>
      <c r="P67" s="5">
        <v>44</v>
      </c>
      <c r="Q67" s="5">
        <f t="shared" si="16"/>
        <v>55</v>
      </c>
      <c r="R67" s="4">
        <v>46</v>
      </c>
      <c r="S67" s="2">
        <v>48</v>
      </c>
      <c r="T67" s="5">
        <v>8</v>
      </c>
      <c r="U67" s="5">
        <v>21</v>
      </c>
      <c r="V67" s="5">
        <f t="shared" si="17"/>
        <v>29</v>
      </c>
      <c r="W67" s="4">
        <v>48</v>
      </c>
      <c r="AG67">
        <v>0</v>
      </c>
      <c r="AH67" s="14">
        <v>16.729648241206029</v>
      </c>
      <c r="AI67" s="14">
        <v>40.876381909547739</v>
      </c>
      <c r="AJ67" s="14">
        <v>57.606030150753767</v>
      </c>
      <c r="AK67" s="14">
        <v>47.139698492462308</v>
      </c>
      <c r="AL67" s="5" t="s">
        <v>615</v>
      </c>
    </row>
    <row r="68" spans="1:38">
      <c r="A68" t="s">
        <v>539</v>
      </c>
      <c r="B68" t="s">
        <v>550</v>
      </c>
      <c r="C68">
        <v>2</v>
      </c>
      <c r="D68" t="s">
        <v>35</v>
      </c>
      <c r="E68">
        <v>6</v>
      </c>
      <c r="F68">
        <v>2</v>
      </c>
      <c r="G68" s="1">
        <f t="shared" si="14"/>
        <v>74</v>
      </c>
      <c r="H68">
        <v>218</v>
      </c>
      <c r="I68">
        <v>1979</v>
      </c>
      <c r="J68">
        <v>1997</v>
      </c>
      <c r="K68" s="1">
        <f t="shared" si="15"/>
        <v>18</v>
      </c>
      <c r="L68" t="s">
        <v>41</v>
      </c>
      <c r="M68" t="s">
        <v>44</v>
      </c>
      <c r="N68" s="2">
        <v>71</v>
      </c>
      <c r="O68" s="5">
        <v>51</v>
      </c>
      <c r="P68" s="5">
        <v>74</v>
      </c>
      <c r="Q68" s="5">
        <f t="shared" si="16"/>
        <v>125</v>
      </c>
      <c r="R68" s="4">
        <v>37</v>
      </c>
      <c r="S68" s="2">
        <v>72</v>
      </c>
      <c r="T68" s="5">
        <v>32</v>
      </c>
      <c r="U68" s="5">
        <v>42</v>
      </c>
      <c r="V68" s="5">
        <f t="shared" si="17"/>
        <v>74</v>
      </c>
      <c r="W68" s="4">
        <v>22</v>
      </c>
      <c r="AG68">
        <v>0</v>
      </c>
      <c r="AH68" s="14">
        <v>27.137745974955276</v>
      </c>
      <c r="AI68" s="14">
        <v>30.316040548598686</v>
      </c>
      <c r="AJ68" s="14">
        <v>57.453786523553966</v>
      </c>
      <c r="AK68" s="14">
        <v>24.88849135360763</v>
      </c>
      <c r="AL68" s="5" t="s">
        <v>599</v>
      </c>
    </row>
    <row r="69" spans="1:38">
      <c r="A69" t="s">
        <v>354</v>
      </c>
      <c r="B69" t="s">
        <v>347</v>
      </c>
      <c r="C69">
        <v>4</v>
      </c>
      <c r="D69" t="s">
        <v>35</v>
      </c>
      <c r="E69">
        <v>6</v>
      </c>
      <c r="F69">
        <v>3</v>
      </c>
      <c r="G69" s="1">
        <f t="shared" si="14"/>
        <v>75</v>
      </c>
      <c r="H69">
        <v>218</v>
      </c>
      <c r="I69">
        <v>1992</v>
      </c>
      <c r="J69">
        <v>2010</v>
      </c>
      <c r="K69" s="1">
        <f t="shared" si="15"/>
        <v>18</v>
      </c>
      <c r="L69" t="s">
        <v>41</v>
      </c>
      <c r="M69" t="s">
        <v>43</v>
      </c>
      <c r="N69" s="2">
        <v>71</v>
      </c>
      <c r="O69" s="5">
        <v>25</v>
      </c>
      <c r="P69" s="5">
        <v>44</v>
      </c>
      <c r="Q69" s="5">
        <f t="shared" si="16"/>
        <v>69</v>
      </c>
      <c r="R69" s="4">
        <v>53</v>
      </c>
      <c r="S69" s="2">
        <v>47</v>
      </c>
      <c r="T69" s="5">
        <v>5</v>
      </c>
      <c r="U69" s="5">
        <v>12</v>
      </c>
      <c r="V69" s="5">
        <f t="shared" si="17"/>
        <v>17</v>
      </c>
      <c r="W69" s="4">
        <v>21</v>
      </c>
      <c r="X69">
        <f>O69/N69</f>
        <v>0.352112676056338</v>
      </c>
      <c r="Y69">
        <f>T69/S69</f>
        <v>0.10638297872340426</v>
      </c>
      <c r="Z69">
        <f>X69-Y69</f>
        <v>0.24572969733293376</v>
      </c>
      <c r="AA69">
        <f>P69/N69</f>
        <v>0.61971830985915488</v>
      </c>
      <c r="AB69">
        <f>U69/S69</f>
        <v>0.25531914893617019</v>
      </c>
      <c r="AC69">
        <f>AA69-AB69</f>
        <v>0.36439916092298469</v>
      </c>
      <c r="AD69">
        <f>Q69/N69</f>
        <v>0.971830985915493</v>
      </c>
      <c r="AE69">
        <f>V69/S69</f>
        <v>0.36170212765957449</v>
      </c>
      <c r="AF69">
        <f>AD69-AE69</f>
        <v>0.61012885825591856</v>
      </c>
      <c r="AG69">
        <v>0</v>
      </c>
      <c r="AH69" s="14">
        <v>17.791190864600324</v>
      </c>
      <c r="AI69" s="14">
        <v>38.525285481239806</v>
      </c>
      <c r="AJ69" s="14">
        <v>56.31647634584013</v>
      </c>
      <c r="AK69" s="14">
        <v>50.029363784665577</v>
      </c>
      <c r="AL69" s="3" t="s">
        <v>599</v>
      </c>
    </row>
    <row r="70" spans="1:38">
      <c r="A70" t="s">
        <v>306</v>
      </c>
      <c r="B70" t="s">
        <v>318</v>
      </c>
      <c r="C70">
        <v>14</v>
      </c>
      <c r="D70" t="s">
        <v>35</v>
      </c>
      <c r="E70">
        <v>5</v>
      </c>
      <c r="F70">
        <v>10</v>
      </c>
      <c r="G70" s="1">
        <f t="shared" si="14"/>
        <v>70</v>
      </c>
      <c r="H70">
        <v>190</v>
      </c>
      <c r="I70">
        <v>1992</v>
      </c>
      <c r="J70">
        <v>2010</v>
      </c>
      <c r="K70" s="1">
        <f t="shared" si="15"/>
        <v>18</v>
      </c>
      <c r="L70" t="s">
        <v>41</v>
      </c>
      <c r="M70" t="s">
        <v>44</v>
      </c>
      <c r="N70" s="2">
        <v>60</v>
      </c>
      <c r="O70" s="5">
        <v>33</v>
      </c>
      <c r="P70" s="5">
        <v>50</v>
      </c>
      <c r="Q70" s="5">
        <f t="shared" si="16"/>
        <v>83</v>
      </c>
      <c r="R70" s="4">
        <v>18</v>
      </c>
      <c r="S70" s="2">
        <v>46</v>
      </c>
      <c r="T70" s="5">
        <v>34</v>
      </c>
      <c r="U70" s="5">
        <v>42</v>
      </c>
      <c r="V70" s="5">
        <f t="shared" si="17"/>
        <v>76</v>
      </c>
      <c r="W70" s="4">
        <v>15</v>
      </c>
      <c r="X70">
        <f>O70/N70</f>
        <v>0.55000000000000004</v>
      </c>
      <c r="Y70">
        <f>T70/S70</f>
        <v>0.73913043478260865</v>
      </c>
      <c r="Z70">
        <f>X70-Y70</f>
        <v>-0.1891304347826086</v>
      </c>
      <c r="AA70">
        <f>P70/N70</f>
        <v>0.83333333333333337</v>
      </c>
      <c r="AB70">
        <f>U70/S70</f>
        <v>0.91304347826086951</v>
      </c>
      <c r="AC70">
        <f>AA70-AB70</f>
        <v>-7.9710144927536142E-2</v>
      </c>
      <c r="AD70">
        <f>Q70/N70</f>
        <v>1.3833333333333333</v>
      </c>
      <c r="AE70">
        <f>V70/S70</f>
        <v>1.6521739130434783</v>
      </c>
      <c r="AF70">
        <f>AD70-AE70</f>
        <v>-0.26884057971014497</v>
      </c>
      <c r="AG70">
        <v>0</v>
      </c>
      <c r="AH70" s="14">
        <v>22.411016949152543</v>
      </c>
      <c r="AI70" s="14">
        <v>33.877118644067799</v>
      </c>
      <c r="AJ70" s="14">
        <v>56.288135593220339</v>
      </c>
      <c r="AK70" s="14">
        <v>21.021186440677969</v>
      </c>
      <c r="AL70" s="5" t="s">
        <v>608</v>
      </c>
    </row>
    <row r="71" spans="1:38">
      <c r="A71" s="6" t="s">
        <v>49</v>
      </c>
      <c r="B71" t="s">
        <v>60</v>
      </c>
      <c r="C71">
        <v>8</v>
      </c>
      <c r="D71" t="s">
        <v>35</v>
      </c>
      <c r="E71">
        <v>6</v>
      </c>
      <c r="F71">
        <v>0</v>
      </c>
      <c r="G71" s="1">
        <f t="shared" si="14"/>
        <v>72</v>
      </c>
      <c r="H71">
        <v>191</v>
      </c>
      <c r="I71">
        <v>1996</v>
      </c>
      <c r="J71">
        <v>2014</v>
      </c>
      <c r="K71" s="1">
        <f t="shared" si="15"/>
        <v>18</v>
      </c>
      <c r="L71" t="s">
        <v>41</v>
      </c>
      <c r="M71" t="s">
        <v>43</v>
      </c>
      <c r="N71" s="2">
        <f>35+22+14+7+4+3</f>
        <v>85</v>
      </c>
      <c r="O71" s="3">
        <f>15+1+12+6+4</f>
        <v>38</v>
      </c>
      <c r="P71" s="3">
        <f>12+6+13+10+2+3</f>
        <v>46</v>
      </c>
      <c r="Q71" s="3">
        <f t="shared" si="16"/>
        <v>84</v>
      </c>
      <c r="R71" s="4">
        <f>16+6+6+4+4</f>
        <v>36</v>
      </c>
      <c r="S71" s="2">
        <f>13+1+8+5+6+27</f>
        <v>60</v>
      </c>
      <c r="T71" s="3">
        <f>6+2+4+2+2+15</f>
        <v>31</v>
      </c>
      <c r="U71" s="3">
        <f>5+1+2+1+8+28</f>
        <v>45</v>
      </c>
      <c r="V71" s="3">
        <f t="shared" si="17"/>
        <v>76</v>
      </c>
      <c r="W71" s="4">
        <f>6+2+2+2+2+14</f>
        <v>28</v>
      </c>
      <c r="X71">
        <f>O71/N71</f>
        <v>0.44705882352941179</v>
      </c>
      <c r="Y71">
        <f>T71/S71</f>
        <v>0.51666666666666672</v>
      </c>
      <c r="Z71">
        <f>X71-Y71</f>
        <v>-6.9607843137254932E-2</v>
      </c>
      <c r="AA71">
        <f>P71/N71</f>
        <v>0.54117647058823526</v>
      </c>
      <c r="AB71">
        <f>U71/S71</f>
        <v>0.75</v>
      </c>
      <c r="AC71">
        <f>AA71-AB71</f>
        <v>-0.20882352941176474</v>
      </c>
      <c r="AD71">
        <f>Q71/N71</f>
        <v>0.9882352941176471</v>
      </c>
      <c r="AE71">
        <f>V71/S71</f>
        <v>1.2666666666666666</v>
      </c>
      <c r="AF71">
        <f>AD71-AE71</f>
        <v>-0.27843137254901951</v>
      </c>
      <c r="AG71">
        <v>0</v>
      </c>
      <c r="AH71" s="14">
        <v>19.717557251908399</v>
      </c>
      <c r="AI71" s="14">
        <v>36.305343511450381</v>
      </c>
      <c r="AJ71" s="14">
        <v>56.022900763358784</v>
      </c>
      <c r="AK71" s="14">
        <v>21.282442748091604</v>
      </c>
      <c r="AL71" s="5" t="s">
        <v>639</v>
      </c>
    </row>
    <row r="72" spans="1:38">
      <c r="A72" s="6" t="s">
        <v>87</v>
      </c>
      <c r="B72" t="s">
        <v>89</v>
      </c>
      <c r="C72">
        <v>12</v>
      </c>
      <c r="D72" t="s">
        <v>35</v>
      </c>
      <c r="E72">
        <v>5</v>
      </c>
      <c r="F72">
        <v>10</v>
      </c>
      <c r="G72" s="1">
        <f t="shared" si="14"/>
        <v>70</v>
      </c>
      <c r="H72">
        <v>193</v>
      </c>
      <c r="I72">
        <v>1995</v>
      </c>
      <c r="J72">
        <v>2013</v>
      </c>
      <c r="K72" s="1">
        <f t="shared" si="15"/>
        <v>18</v>
      </c>
      <c r="L72" t="s">
        <v>41</v>
      </c>
      <c r="M72" t="s">
        <v>44</v>
      </c>
      <c r="N72" s="2">
        <v>64</v>
      </c>
      <c r="O72" s="5">
        <v>39</v>
      </c>
      <c r="P72" s="5">
        <v>48</v>
      </c>
      <c r="Q72" s="5">
        <f t="shared" si="16"/>
        <v>87</v>
      </c>
      <c r="R72" s="4">
        <v>71</v>
      </c>
      <c r="S72" s="2">
        <v>62</v>
      </c>
      <c r="T72" s="5">
        <v>21</v>
      </c>
      <c r="U72" s="5">
        <v>28</v>
      </c>
      <c r="V72" s="3">
        <f t="shared" si="17"/>
        <v>49</v>
      </c>
      <c r="W72" s="4">
        <v>48</v>
      </c>
      <c r="X72">
        <f>O72/N72</f>
        <v>0.609375</v>
      </c>
      <c r="Y72">
        <f>T72/S72</f>
        <v>0.33870967741935482</v>
      </c>
      <c r="Z72">
        <f>X72-Y72</f>
        <v>0.27066532258064518</v>
      </c>
      <c r="AA72">
        <f>P72/N72</f>
        <v>0.75</v>
      </c>
      <c r="AB72">
        <f>U72/S72</f>
        <v>0.45161290322580644</v>
      </c>
      <c r="AC72">
        <f>AA72-AB72</f>
        <v>0.29838709677419356</v>
      </c>
      <c r="AD72">
        <f>Q72/N72</f>
        <v>1.359375</v>
      </c>
      <c r="AE72">
        <f>V72/S72</f>
        <v>0.79032258064516125</v>
      </c>
      <c r="AF72">
        <f>AD72-AE72</f>
        <v>0.56905241935483875</v>
      </c>
      <c r="AG72">
        <v>0</v>
      </c>
      <c r="AH72" s="14">
        <v>17.104294478527606</v>
      </c>
      <c r="AI72" s="14">
        <v>38.233128834355824</v>
      </c>
      <c r="AJ72" s="14">
        <v>55.337423312883431</v>
      </c>
      <c r="AK72" s="14">
        <v>68.668711656441715</v>
      </c>
      <c r="AL72" s="3" t="s">
        <v>600</v>
      </c>
    </row>
    <row r="73" spans="1:38">
      <c r="A73" t="s">
        <v>251</v>
      </c>
      <c r="B73" t="s">
        <v>255</v>
      </c>
      <c r="C73">
        <v>3</v>
      </c>
      <c r="D73" t="s">
        <v>35</v>
      </c>
      <c r="E73">
        <v>6</v>
      </c>
      <c r="F73">
        <v>3</v>
      </c>
      <c r="G73" s="1">
        <f t="shared" si="14"/>
        <v>75</v>
      </c>
      <c r="H73">
        <v>218</v>
      </c>
      <c r="I73">
        <v>1998</v>
      </c>
      <c r="J73">
        <v>2016</v>
      </c>
      <c r="K73" s="1">
        <f t="shared" si="15"/>
        <v>18</v>
      </c>
      <c r="L73" t="s">
        <v>41</v>
      </c>
      <c r="M73" t="s">
        <v>44</v>
      </c>
      <c r="N73" s="2">
        <v>62</v>
      </c>
      <c r="O73" s="5">
        <v>42</v>
      </c>
      <c r="P73" s="5">
        <v>57</v>
      </c>
      <c r="Q73" s="5">
        <f t="shared" si="16"/>
        <v>99</v>
      </c>
      <c r="R73" s="4">
        <v>112</v>
      </c>
      <c r="S73" s="2">
        <v>54</v>
      </c>
      <c r="T73" s="5">
        <v>10</v>
      </c>
      <c r="U73" s="5">
        <v>35</v>
      </c>
      <c r="V73" s="5">
        <f t="shared" si="17"/>
        <v>45</v>
      </c>
      <c r="W73" s="4">
        <v>58</v>
      </c>
      <c r="X73">
        <f>O73/N73</f>
        <v>0.67741935483870963</v>
      </c>
      <c r="Y73">
        <f>T73/S73</f>
        <v>0.18518518518518517</v>
      </c>
      <c r="Z73">
        <f>X73-Y73</f>
        <v>0.49223416965352446</v>
      </c>
      <c r="AA73">
        <f>P73/N73</f>
        <v>0.91935483870967738</v>
      </c>
      <c r="AB73">
        <f>U73/S73</f>
        <v>0.64814814814814814</v>
      </c>
      <c r="AC73">
        <f>AA73-AB73</f>
        <v>0.27120669056152924</v>
      </c>
      <c r="AD73">
        <f>Q73/N73</f>
        <v>1.596774193548387</v>
      </c>
      <c r="AE73">
        <f>V73/S73</f>
        <v>0.83333333333333337</v>
      </c>
      <c r="AF73">
        <f>AD73-AE73</f>
        <v>0.76344086021505364</v>
      </c>
      <c r="AG73">
        <v>0</v>
      </c>
      <c r="AH73" s="14">
        <v>24.956521739130434</v>
      </c>
      <c r="AI73" s="14">
        <v>30.304347826086953</v>
      </c>
      <c r="AJ73" s="14">
        <v>55.260869565217391</v>
      </c>
      <c r="AK73" s="14">
        <v>57.043478260869563</v>
      </c>
      <c r="AL73" s="3" t="s">
        <v>614</v>
      </c>
    </row>
    <row r="74" spans="1:38">
      <c r="A74" t="s">
        <v>413</v>
      </c>
      <c r="B74" t="s">
        <v>417</v>
      </c>
      <c r="C74">
        <v>9</v>
      </c>
      <c r="D74" t="s">
        <v>219</v>
      </c>
      <c r="E74">
        <v>6</v>
      </c>
      <c r="F74">
        <v>0</v>
      </c>
      <c r="G74" s="1">
        <f t="shared" si="14"/>
        <v>72</v>
      </c>
      <c r="H74">
        <v>172</v>
      </c>
      <c r="I74">
        <v>1996</v>
      </c>
      <c r="J74">
        <v>2014</v>
      </c>
      <c r="K74" s="1">
        <f t="shared" si="15"/>
        <v>18</v>
      </c>
      <c r="L74" t="s">
        <v>41</v>
      </c>
      <c r="M74" t="s">
        <v>44</v>
      </c>
      <c r="N74" s="2">
        <v>63</v>
      </c>
      <c r="O74" s="5">
        <v>49</v>
      </c>
      <c r="P74" s="5">
        <v>55</v>
      </c>
      <c r="Q74" s="5">
        <f t="shared" si="16"/>
        <v>104</v>
      </c>
      <c r="R74" s="4">
        <v>51</v>
      </c>
      <c r="S74" s="2">
        <v>11</v>
      </c>
      <c r="T74" s="5">
        <v>1</v>
      </c>
      <c r="U74" s="5">
        <v>1</v>
      </c>
      <c r="V74" s="5">
        <f t="shared" si="17"/>
        <v>2</v>
      </c>
      <c r="W74" s="4">
        <v>0</v>
      </c>
      <c r="AG74">
        <v>0</v>
      </c>
      <c r="AH74" s="14">
        <v>25.545171339563861</v>
      </c>
      <c r="AI74" s="14">
        <v>29.632398753894076</v>
      </c>
      <c r="AJ74" s="14">
        <v>55.177570093457938</v>
      </c>
      <c r="AK74" s="14">
        <v>27.077881619937692</v>
      </c>
      <c r="AL74" s="5" t="s">
        <v>614</v>
      </c>
    </row>
    <row r="75" spans="1:38">
      <c r="A75" t="s">
        <v>461</v>
      </c>
      <c r="B75" t="s">
        <v>473</v>
      </c>
      <c r="C75">
        <v>33</v>
      </c>
      <c r="D75" t="s">
        <v>35</v>
      </c>
      <c r="E75">
        <v>6</v>
      </c>
      <c r="F75">
        <v>3</v>
      </c>
      <c r="G75" s="1">
        <f t="shared" si="14"/>
        <v>75</v>
      </c>
      <c r="H75">
        <v>212</v>
      </c>
      <c r="I75">
        <v>1987</v>
      </c>
      <c r="J75">
        <v>2005</v>
      </c>
      <c r="K75" s="1">
        <f t="shared" si="15"/>
        <v>18</v>
      </c>
      <c r="L75" t="s">
        <v>41</v>
      </c>
      <c r="M75" t="s">
        <v>44</v>
      </c>
      <c r="N75" s="2">
        <v>73</v>
      </c>
      <c r="O75" s="5">
        <v>19</v>
      </c>
      <c r="P75" s="5">
        <v>27</v>
      </c>
      <c r="Q75" s="5">
        <f t="shared" si="16"/>
        <v>46</v>
      </c>
      <c r="R75" s="4">
        <v>38</v>
      </c>
      <c r="S75" s="2">
        <v>76</v>
      </c>
      <c r="T75" s="5">
        <v>20</v>
      </c>
      <c r="U75" s="5">
        <v>30</v>
      </c>
      <c r="V75" s="5">
        <f t="shared" si="17"/>
        <v>50</v>
      </c>
      <c r="W75" s="4">
        <v>32</v>
      </c>
      <c r="AG75">
        <v>0</v>
      </c>
      <c r="AH75" s="14">
        <v>29.374683544303796</v>
      </c>
      <c r="AI75" s="14">
        <v>25.637974683544304</v>
      </c>
      <c r="AJ75" s="14">
        <v>55.0126582278481</v>
      </c>
      <c r="AK75" s="14">
        <v>58.749367088607592</v>
      </c>
      <c r="AL75" s="3" t="s">
        <v>600</v>
      </c>
    </row>
    <row r="76" spans="1:38">
      <c r="A76" t="s">
        <v>354</v>
      </c>
      <c r="B76" t="s">
        <v>338</v>
      </c>
      <c r="C76">
        <v>112</v>
      </c>
      <c r="D76" t="s">
        <v>65</v>
      </c>
      <c r="E76">
        <v>5</v>
      </c>
      <c r="F76">
        <v>9</v>
      </c>
      <c r="G76" s="1">
        <f t="shared" si="14"/>
        <v>69</v>
      </c>
      <c r="H76">
        <v>180</v>
      </c>
      <c r="I76">
        <v>1993</v>
      </c>
      <c r="J76">
        <v>2014</v>
      </c>
      <c r="K76" s="1">
        <f t="shared" si="15"/>
        <v>21</v>
      </c>
      <c r="L76" t="s">
        <v>41</v>
      </c>
      <c r="M76" t="s">
        <v>43</v>
      </c>
      <c r="N76" s="2">
        <v>56</v>
      </c>
      <c r="O76" s="5">
        <v>16</v>
      </c>
      <c r="P76" s="5">
        <v>24</v>
      </c>
      <c r="Q76" s="5">
        <f t="shared" si="16"/>
        <v>40</v>
      </c>
      <c r="R76" s="4">
        <v>63</v>
      </c>
      <c r="S76" s="2">
        <v>49</v>
      </c>
      <c r="T76" s="5">
        <v>7</v>
      </c>
      <c r="U76" s="5">
        <v>5</v>
      </c>
      <c r="V76" s="5">
        <f t="shared" si="17"/>
        <v>12</v>
      </c>
      <c r="W76" s="4">
        <v>12</v>
      </c>
      <c r="X76">
        <f>O76/N76</f>
        <v>0.2857142857142857</v>
      </c>
      <c r="Y76">
        <f>T76/S76</f>
        <v>0.14285714285714285</v>
      </c>
      <c r="Z76">
        <f>X76-Y76</f>
        <v>0.14285714285714285</v>
      </c>
      <c r="AA76">
        <f>P76/N76</f>
        <v>0.42857142857142855</v>
      </c>
      <c r="AB76">
        <f>U76/S76</f>
        <v>0.10204081632653061</v>
      </c>
      <c r="AC76">
        <f>AA76-AB76</f>
        <v>0.32653061224489793</v>
      </c>
      <c r="AD76">
        <f>Q76/N76</f>
        <v>0.7142857142857143</v>
      </c>
      <c r="AE76">
        <f>V76/S76</f>
        <v>0.24489795918367346</v>
      </c>
      <c r="AF76">
        <f>AD76-AE76</f>
        <v>0.46938775510204084</v>
      </c>
      <c r="AG76">
        <v>0</v>
      </c>
      <c r="AH76" s="14">
        <v>29.618729096989966</v>
      </c>
      <c r="AI76" s="14">
        <v>25.23076923076923</v>
      </c>
      <c r="AJ76" s="14">
        <v>54.849498327759193</v>
      </c>
      <c r="AK76" s="14">
        <v>35.37792642140468</v>
      </c>
      <c r="AL76" s="3" t="s">
        <v>618</v>
      </c>
    </row>
    <row r="77" spans="1:38">
      <c r="A77" t="s">
        <v>478</v>
      </c>
      <c r="B77" t="s">
        <v>490</v>
      </c>
      <c r="C77">
        <v>7</v>
      </c>
      <c r="D77" t="s">
        <v>34</v>
      </c>
      <c r="E77">
        <v>5</v>
      </c>
      <c r="F77">
        <v>10</v>
      </c>
      <c r="G77" s="1">
        <f t="shared" si="14"/>
        <v>70</v>
      </c>
      <c r="H77">
        <v>170</v>
      </c>
      <c r="I77">
        <v>1998</v>
      </c>
      <c r="J77">
        <v>2016</v>
      </c>
      <c r="K77" s="1">
        <f t="shared" si="15"/>
        <v>18</v>
      </c>
      <c r="L77" t="s">
        <v>41</v>
      </c>
      <c r="M77" t="s">
        <v>44</v>
      </c>
      <c r="N77" s="2">
        <f>7+62+23</f>
        <v>92</v>
      </c>
      <c r="O77" s="3">
        <f>4+37+13</f>
        <v>54</v>
      </c>
      <c r="P77" s="3">
        <f>10+70+24</f>
        <v>104</v>
      </c>
      <c r="Q77" s="5">
        <f t="shared" si="16"/>
        <v>158</v>
      </c>
      <c r="R77" s="4">
        <f>2+40+14</f>
        <v>56</v>
      </c>
      <c r="S77" s="2">
        <f>61+32+7+6</f>
        <v>106</v>
      </c>
      <c r="T77" s="3">
        <f>34+14+4+6</f>
        <v>58</v>
      </c>
      <c r="U77" s="3">
        <f>48+23+5+7</f>
        <v>83</v>
      </c>
      <c r="V77" s="5">
        <f t="shared" si="17"/>
        <v>141</v>
      </c>
      <c r="W77" s="4">
        <f>28+10+4</f>
        <v>42</v>
      </c>
      <c r="AG77">
        <v>0</v>
      </c>
      <c r="AH77" s="14">
        <v>17.694736842105264</v>
      </c>
      <c r="AI77" s="14">
        <v>37.11578947368421</v>
      </c>
      <c r="AJ77" s="14">
        <v>54.810526315789474</v>
      </c>
      <c r="AK77" s="14">
        <v>22.442105263157895</v>
      </c>
      <c r="AL77" s="5" t="s">
        <v>608</v>
      </c>
    </row>
    <row r="78" spans="1:38">
      <c r="A78" s="6" t="s">
        <v>135</v>
      </c>
      <c r="B78" t="s">
        <v>145</v>
      </c>
      <c r="C78">
        <v>2</v>
      </c>
      <c r="D78" t="s">
        <v>34</v>
      </c>
      <c r="E78">
        <v>6</v>
      </c>
      <c r="F78">
        <v>2</v>
      </c>
      <c r="G78" s="1">
        <f t="shared" si="14"/>
        <v>74</v>
      </c>
      <c r="H78">
        <v>209</v>
      </c>
      <c r="I78">
        <v>1987</v>
      </c>
      <c r="J78">
        <v>2005</v>
      </c>
      <c r="K78" s="1">
        <f t="shared" si="15"/>
        <v>18</v>
      </c>
      <c r="L78" t="s">
        <v>41</v>
      </c>
      <c r="M78" t="s">
        <v>43</v>
      </c>
      <c r="N78" s="2">
        <v>62</v>
      </c>
      <c r="O78" s="5">
        <v>37</v>
      </c>
      <c r="P78" s="5">
        <v>52</v>
      </c>
      <c r="Q78" s="5">
        <f t="shared" si="16"/>
        <v>89</v>
      </c>
      <c r="R78" s="4">
        <v>51</v>
      </c>
      <c r="S78" s="2">
        <v>65</v>
      </c>
      <c r="T78" s="5">
        <v>22</v>
      </c>
      <c r="U78" s="5">
        <v>17</v>
      </c>
      <c r="V78" s="5">
        <f t="shared" si="17"/>
        <v>39</v>
      </c>
      <c r="W78" s="4">
        <v>52</v>
      </c>
      <c r="X78">
        <f>O78/N78</f>
        <v>0.59677419354838712</v>
      </c>
      <c r="Y78">
        <f>T78/S78</f>
        <v>0.33846153846153848</v>
      </c>
      <c r="Z78">
        <f>X78-Y78</f>
        <v>0.25831265508684864</v>
      </c>
      <c r="AA78">
        <f>P78/N78</f>
        <v>0.83870967741935487</v>
      </c>
      <c r="AB78">
        <f>U78/S78</f>
        <v>0.26153846153846155</v>
      </c>
      <c r="AC78">
        <f>AA78-AB78</f>
        <v>0.57717121588089326</v>
      </c>
      <c r="AD78">
        <f>Q78/N78</f>
        <v>1.435483870967742</v>
      </c>
      <c r="AE78">
        <f>V78/S78</f>
        <v>0.6</v>
      </c>
      <c r="AF78">
        <f>AD78-AE78</f>
        <v>0.83548387096774201</v>
      </c>
      <c r="AG78">
        <v>0</v>
      </c>
      <c r="AH78" s="14">
        <v>24.848484848484848</v>
      </c>
      <c r="AI78" s="14">
        <v>29.917575757575758</v>
      </c>
      <c r="AJ78" s="14">
        <v>54.766060606060606</v>
      </c>
      <c r="AK78" s="14">
        <v>42.938181818181818</v>
      </c>
      <c r="AL78" s="3" t="s">
        <v>600</v>
      </c>
    </row>
    <row r="79" spans="1:38">
      <c r="A79" s="6" t="s">
        <v>121</v>
      </c>
      <c r="B79" t="s">
        <v>129</v>
      </c>
      <c r="C79">
        <v>208</v>
      </c>
      <c r="D79" t="s">
        <v>37</v>
      </c>
      <c r="E79">
        <v>6</v>
      </c>
      <c r="F79">
        <v>0</v>
      </c>
      <c r="G79" s="1">
        <f t="shared" si="14"/>
        <v>72</v>
      </c>
      <c r="H79">
        <v>188</v>
      </c>
      <c r="I79">
        <v>1991</v>
      </c>
      <c r="J79">
        <v>2011</v>
      </c>
      <c r="K79" s="1">
        <f t="shared" si="15"/>
        <v>20</v>
      </c>
      <c r="L79" t="s">
        <v>41</v>
      </c>
      <c r="M79" t="s">
        <v>44</v>
      </c>
      <c r="N79" s="2">
        <v>61</v>
      </c>
      <c r="O79" s="5">
        <v>39</v>
      </c>
      <c r="P79" s="5">
        <v>57</v>
      </c>
      <c r="Q79" s="5">
        <f t="shared" si="16"/>
        <v>96</v>
      </c>
      <c r="R79" s="4">
        <v>24</v>
      </c>
      <c r="S79" s="2">
        <v>59</v>
      </c>
      <c r="T79" s="5">
        <v>17</v>
      </c>
      <c r="U79" s="5">
        <v>23</v>
      </c>
      <c r="V79" s="5">
        <f t="shared" si="17"/>
        <v>40</v>
      </c>
      <c r="W79" s="4">
        <v>24</v>
      </c>
      <c r="X79">
        <f>O79/N79</f>
        <v>0.63934426229508201</v>
      </c>
      <c r="Y79">
        <f>T79/S79</f>
        <v>0.28813559322033899</v>
      </c>
      <c r="Z79">
        <f>X79-Y79</f>
        <v>0.35120866907474302</v>
      </c>
      <c r="AA79">
        <f>P79/N79</f>
        <v>0.93442622950819676</v>
      </c>
      <c r="AB79">
        <f>U79/S79</f>
        <v>0.38983050847457629</v>
      </c>
      <c r="AC79">
        <f>AA79-AB79</f>
        <v>0.54459572103362053</v>
      </c>
      <c r="AD79">
        <f>Q79/N79</f>
        <v>1.5737704918032787</v>
      </c>
      <c r="AE79">
        <f>V79/S79</f>
        <v>0.67796610169491522</v>
      </c>
      <c r="AF79">
        <f>AD79-AE79</f>
        <v>0.89580439010836344</v>
      </c>
      <c r="AG79">
        <v>0</v>
      </c>
      <c r="AH79" s="14">
        <v>18.242696629213484</v>
      </c>
      <c r="AI79" s="14">
        <v>36.485393258426967</v>
      </c>
      <c r="AJ79" s="14">
        <v>54.728089887640444</v>
      </c>
      <c r="AK79" s="14">
        <v>25.613483146067413</v>
      </c>
      <c r="AL79" s="5" t="s">
        <v>614</v>
      </c>
    </row>
    <row r="80" spans="1:38">
      <c r="A80" s="6" t="s">
        <v>69</v>
      </c>
      <c r="B80" t="s">
        <v>393</v>
      </c>
      <c r="C80">
        <v>7</v>
      </c>
      <c r="D80" t="s">
        <v>35</v>
      </c>
      <c r="E80">
        <v>5</v>
      </c>
      <c r="F80">
        <v>11</v>
      </c>
      <c r="G80" s="1">
        <f t="shared" si="14"/>
        <v>71</v>
      </c>
      <c r="H80">
        <v>200</v>
      </c>
      <c r="I80">
        <v>1992</v>
      </c>
      <c r="J80">
        <v>2010</v>
      </c>
      <c r="K80" s="1">
        <f t="shared" si="15"/>
        <v>18</v>
      </c>
      <c r="L80" t="s">
        <v>41</v>
      </c>
      <c r="M80" t="s">
        <v>44</v>
      </c>
      <c r="N80" s="2">
        <v>64</v>
      </c>
      <c r="O80" s="5">
        <v>50</v>
      </c>
      <c r="P80" s="5">
        <v>40</v>
      </c>
      <c r="Q80" s="3">
        <f t="shared" si="16"/>
        <v>90</v>
      </c>
      <c r="R80" s="4">
        <v>72</v>
      </c>
      <c r="S80" s="2">
        <v>63</v>
      </c>
      <c r="T80" s="5">
        <v>27</v>
      </c>
      <c r="U80" s="5">
        <v>24</v>
      </c>
      <c r="V80" s="3">
        <f t="shared" si="17"/>
        <v>51</v>
      </c>
      <c r="W80" s="4">
        <v>34</v>
      </c>
      <c r="X80">
        <f>O80/N80</f>
        <v>0.78125</v>
      </c>
      <c r="Y80">
        <f>T80/S80</f>
        <v>0.42857142857142855</v>
      </c>
      <c r="Z80">
        <f>X80-Y80</f>
        <v>0.35267857142857145</v>
      </c>
      <c r="AA80">
        <f>P80/N80</f>
        <v>0.625</v>
      </c>
      <c r="AB80">
        <f>U80/S80</f>
        <v>0.38095238095238093</v>
      </c>
      <c r="AC80">
        <f>AA80-AB80</f>
        <v>0.24404761904761907</v>
      </c>
      <c r="AD80">
        <f>Q80/N80</f>
        <v>1.40625</v>
      </c>
      <c r="AE80">
        <f>V80/S80</f>
        <v>0.80952380952380953</v>
      </c>
      <c r="AF80">
        <f>AD80-AE80</f>
        <v>0.59672619047619047</v>
      </c>
      <c r="AG80">
        <v>0</v>
      </c>
      <c r="AH80" s="14">
        <v>30.299120234604107</v>
      </c>
      <c r="AI80" s="14">
        <v>24.407624633431087</v>
      </c>
      <c r="AJ80" s="14">
        <v>54.706744868035194</v>
      </c>
      <c r="AK80" s="14">
        <v>37.753665689149564</v>
      </c>
      <c r="AL80" s="3" t="s">
        <v>600</v>
      </c>
    </row>
    <row r="81" spans="1:41">
      <c r="A81" t="s">
        <v>478</v>
      </c>
      <c r="B81" t="s">
        <v>495</v>
      </c>
      <c r="C81">
        <v>51</v>
      </c>
      <c r="D81" t="s">
        <v>34</v>
      </c>
      <c r="E81">
        <v>6</v>
      </c>
      <c r="F81">
        <v>0</v>
      </c>
      <c r="G81" s="1">
        <f t="shared" si="14"/>
        <v>72</v>
      </c>
      <c r="H81">
        <v>196</v>
      </c>
      <c r="I81">
        <v>1990</v>
      </c>
      <c r="J81">
        <v>2008</v>
      </c>
      <c r="K81" s="1">
        <f t="shared" si="15"/>
        <v>18</v>
      </c>
      <c r="L81" t="s">
        <v>41</v>
      </c>
      <c r="M81" t="s">
        <v>43</v>
      </c>
      <c r="N81" s="2">
        <v>60</v>
      </c>
      <c r="O81" s="3">
        <v>44</v>
      </c>
      <c r="P81" s="5">
        <v>67</v>
      </c>
      <c r="Q81" s="5">
        <f t="shared" si="16"/>
        <v>111</v>
      </c>
      <c r="R81" s="4">
        <v>22</v>
      </c>
      <c r="S81" s="2">
        <v>63</v>
      </c>
      <c r="T81" s="5">
        <v>38</v>
      </c>
      <c r="U81" s="5">
        <v>32</v>
      </c>
      <c r="V81" s="5">
        <f t="shared" si="17"/>
        <v>70</v>
      </c>
      <c r="W81" s="4">
        <v>22</v>
      </c>
      <c r="AG81">
        <v>0</v>
      </c>
      <c r="AH81" s="14">
        <v>19.078034682080926</v>
      </c>
      <c r="AI81" s="14">
        <v>35.312138728323696</v>
      </c>
      <c r="AJ81" s="14">
        <v>54.390173410404621</v>
      </c>
      <c r="AK81" s="14">
        <v>20.855491329479769</v>
      </c>
      <c r="AL81" s="5" t="s">
        <v>603</v>
      </c>
    </row>
    <row r="82" spans="1:41">
      <c r="A82" s="6" t="s">
        <v>121</v>
      </c>
      <c r="B82" t="s">
        <v>125</v>
      </c>
      <c r="C82">
        <v>2</v>
      </c>
      <c r="D82" t="s">
        <v>65</v>
      </c>
      <c r="E82">
        <v>6</v>
      </c>
      <c r="F82">
        <v>6</v>
      </c>
      <c r="G82" s="1">
        <f t="shared" si="14"/>
        <v>78</v>
      </c>
      <c r="H82">
        <v>223</v>
      </c>
      <c r="I82">
        <v>1990</v>
      </c>
      <c r="J82">
        <v>2009</v>
      </c>
      <c r="K82" s="1">
        <f t="shared" si="15"/>
        <v>19</v>
      </c>
      <c r="L82" t="s">
        <v>42</v>
      </c>
      <c r="M82" t="s">
        <v>44</v>
      </c>
      <c r="N82" s="2">
        <f>43+2+43+6</f>
        <v>94</v>
      </c>
      <c r="O82" s="3">
        <f>14</f>
        <v>14</v>
      </c>
      <c r="P82" s="5">
        <v>32</v>
      </c>
      <c r="Q82" s="5">
        <f t="shared" si="16"/>
        <v>46</v>
      </c>
      <c r="R82" s="4">
        <f>52+10+52+6</f>
        <v>120</v>
      </c>
      <c r="S82" s="2">
        <f>39+6+39+6+4</f>
        <v>94</v>
      </c>
      <c r="T82" s="5">
        <v>7</v>
      </c>
      <c r="U82" s="5">
        <v>9</v>
      </c>
      <c r="V82" s="5">
        <f t="shared" si="17"/>
        <v>16</v>
      </c>
      <c r="W82" s="4">
        <f>44+26+44+4+10</f>
        <v>128</v>
      </c>
      <c r="X82">
        <f>O82/N82</f>
        <v>0.14893617021276595</v>
      </c>
      <c r="Y82">
        <f>T82/S82</f>
        <v>7.4468085106382975E-2</v>
      </c>
      <c r="Z82">
        <f>X82-Y82</f>
        <v>7.4468085106382975E-2</v>
      </c>
      <c r="AA82">
        <f>P82/N82</f>
        <v>0.34042553191489361</v>
      </c>
      <c r="AB82">
        <f>U82/S82</f>
        <v>9.5744680851063829E-2</v>
      </c>
      <c r="AC82">
        <f>AA82-AB82</f>
        <v>0.24468085106382978</v>
      </c>
      <c r="AD82">
        <f>Q82/N82</f>
        <v>0.48936170212765956</v>
      </c>
      <c r="AE82">
        <f>V82/S82</f>
        <v>0.1702127659574468</v>
      </c>
      <c r="AF82">
        <f>AD82-AE82</f>
        <v>0.31914893617021278</v>
      </c>
      <c r="AG82">
        <v>1</v>
      </c>
      <c r="AH82" s="14">
        <v>11.286516853932584</v>
      </c>
      <c r="AI82" s="14">
        <v>38.811797752808992</v>
      </c>
      <c r="AJ82" s="14">
        <v>50.098314606741575</v>
      </c>
      <c r="AK82" s="14">
        <v>62.651685393258433</v>
      </c>
      <c r="AL82" s="5" t="s">
        <v>605</v>
      </c>
      <c r="AM82" s="22">
        <v>136</v>
      </c>
      <c r="AN82" s="22">
        <v>686</v>
      </c>
      <c r="AO82">
        <f>AM82/AN82</f>
        <v>0.19825072886297376</v>
      </c>
    </row>
    <row r="83" spans="1:41">
      <c r="A83" t="s">
        <v>354</v>
      </c>
      <c r="B83" t="s">
        <v>344</v>
      </c>
      <c r="C83">
        <v>9</v>
      </c>
      <c r="D83" t="s">
        <v>38</v>
      </c>
      <c r="E83">
        <v>5</v>
      </c>
      <c r="F83">
        <v>10</v>
      </c>
      <c r="G83" s="1">
        <f t="shared" si="14"/>
        <v>70</v>
      </c>
      <c r="H83">
        <v>185</v>
      </c>
      <c r="I83">
        <v>1992</v>
      </c>
      <c r="J83">
        <v>2010</v>
      </c>
      <c r="K83" s="1">
        <f t="shared" si="15"/>
        <v>18</v>
      </c>
      <c r="L83" t="s">
        <v>41</v>
      </c>
      <c r="M83" t="s">
        <v>44</v>
      </c>
      <c r="N83" s="2">
        <v>50</v>
      </c>
      <c r="O83" s="5">
        <v>17</v>
      </c>
      <c r="P83" s="5">
        <v>36</v>
      </c>
      <c r="Q83" s="5">
        <f t="shared" si="16"/>
        <v>53</v>
      </c>
      <c r="R83" s="4">
        <v>6</v>
      </c>
      <c r="S83" s="2">
        <f>2+6+38+2+6</f>
        <v>54</v>
      </c>
      <c r="T83" s="3">
        <f>28</f>
        <v>28</v>
      </c>
      <c r="U83" s="5">
        <v>58</v>
      </c>
      <c r="V83" s="5">
        <f t="shared" si="17"/>
        <v>86</v>
      </c>
      <c r="W83" s="4">
        <v>45</v>
      </c>
      <c r="X83">
        <f>O83/N83</f>
        <v>0.34</v>
      </c>
      <c r="Y83">
        <f>T83/S83</f>
        <v>0.51851851851851849</v>
      </c>
      <c r="Z83">
        <f>X83-Y83</f>
        <v>-0.17851851851851847</v>
      </c>
      <c r="AA83">
        <f>P83/N83</f>
        <v>0.72</v>
      </c>
      <c r="AB83">
        <f>U83/S83</f>
        <v>1.0740740740740742</v>
      </c>
      <c r="AC83">
        <f>AA83-AB83</f>
        <v>-0.35407407407407421</v>
      </c>
      <c r="AD83">
        <f>Q83/N83</f>
        <v>1.06</v>
      </c>
      <c r="AE83">
        <f>V83/S83</f>
        <v>1.5925925925925926</v>
      </c>
      <c r="AF83">
        <f>AD83-AE83</f>
        <v>-0.53259259259259251</v>
      </c>
      <c r="AG83">
        <v>0</v>
      </c>
      <c r="AH83" s="14">
        <v>15.971887550200803</v>
      </c>
      <c r="AI83" s="14">
        <v>38.365461847389554</v>
      </c>
      <c r="AJ83" s="14">
        <v>54.337349397590359</v>
      </c>
      <c r="AK83" s="14">
        <v>22.064257028112451</v>
      </c>
      <c r="AL83" s="3" t="s">
        <v>615</v>
      </c>
    </row>
    <row r="84" spans="1:41">
      <c r="A84" t="s">
        <v>430</v>
      </c>
      <c r="B84" t="s">
        <v>443</v>
      </c>
      <c r="C84">
        <v>3</v>
      </c>
      <c r="D84" t="s">
        <v>35</v>
      </c>
      <c r="E84">
        <v>6</v>
      </c>
      <c r="F84">
        <v>3</v>
      </c>
      <c r="G84" s="1">
        <f t="shared" si="14"/>
        <v>75</v>
      </c>
      <c r="H84">
        <v>200</v>
      </c>
      <c r="I84">
        <v>1997</v>
      </c>
      <c r="J84">
        <v>2015</v>
      </c>
      <c r="K84" s="1">
        <f t="shared" si="15"/>
        <v>18</v>
      </c>
      <c r="L84" t="s">
        <v>41</v>
      </c>
      <c r="M84" t="s">
        <v>44</v>
      </c>
      <c r="N84" s="2">
        <f>3+1+68+5</f>
        <v>77</v>
      </c>
      <c r="O84" s="3">
        <f>3+45+5</f>
        <v>53</v>
      </c>
      <c r="P84" s="3">
        <f>85</f>
        <v>85</v>
      </c>
      <c r="Q84" s="5">
        <f t="shared" si="16"/>
        <v>138</v>
      </c>
      <c r="R84" s="4">
        <v>32</v>
      </c>
      <c r="S84" s="2">
        <v>65</v>
      </c>
      <c r="T84" s="5">
        <v>16</v>
      </c>
      <c r="U84" s="5">
        <v>34</v>
      </c>
      <c r="V84" s="5">
        <f t="shared" si="17"/>
        <v>50</v>
      </c>
      <c r="W84" s="4">
        <v>11</v>
      </c>
      <c r="AG84">
        <v>0</v>
      </c>
      <c r="AH84" s="14">
        <v>18.578125</v>
      </c>
      <c r="AI84" s="14">
        <v>35.234375</v>
      </c>
      <c r="AJ84" s="14">
        <v>53.8125</v>
      </c>
      <c r="AK84" s="14">
        <v>24.34375</v>
      </c>
      <c r="AL84" s="5" t="s">
        <v>600</v>
      </c>
    </row>
    <row r="85" spans="1:41">
      <c r="A85" s="6" t="s">
        <v>148</v>
      </c>
      <c r="B85" t="s">
        <v>164</v>
      </c>
      <c r="C85">
        <v>20</v>
      </c>
      <c r="D85" t="s">
        <v>35</v>
      </c>
      <c r="E85">
        <v>6</v>
      </c>
      <c r="F85">
        <v>5</v>
      </c>
      <c r="G85" s="1">
        <f t="shared" si="14"/>
        <v>77</v>
      </c>
      <c r="H85">
        <v>234</v>
      </c>
      <c r="I85">
        <v>1994</v>
      </c>
      <c r="J85">
        <v>2013</v>
      </c>
      <c r="K85" s="1">
        <f t="shared" si="15"/>
        <v>19</v>
      </c>
      <c r="L85" t="s">
        <v>41</v>
      </c>
      <c r="M85" t="s">
        <v>44</v>
      </c>
      <c r="N85" s="2">
        <v>69</v>
      </c>
      <c r="O85" s="5">
        <v>50</v>
      </c>
      <c r="P85" s="5">
        <v>40</v>
      </c>
      <c r="Q85" s="5">
        <f t="shared" si="16"/>
        <v>90</v>
      </c>
      <c r="R85" s="4">
        <v>71</v>
      </c>
      <c r="S85" s="2">
        <v>70</v>
      </c>
      <c r="T85" s="5">
        <v>23</v>
      </c>
      <c r="U85" s="5">
        <v>29</v>
      </c>
      <c r="V85" s="5">
        <f t="shared" si="17"/>
        <v>52</v>
      </c>
      <c r="W85" s="4">
        <v>39</v>
      </c>
      <c r="X85">
        <f t="shared" ref="X85:X90" si="18">O85/N85</f>
        <v>0.72463768115942029</v>
      </c>
      <c r="Y85">
        <f t="shared" ref="Y85:Y90" si="19">T85/S85</f>
        <v>0.32857142857142857</v>
      </c>
      <c r="Z85">
        <f t="shared" ref="Z85:Z90" si="20">X85-Y85</f>
        <v>0.39606625258799172</v>
      </c>
      <c r="AA85">
        <f t="shared" ref="AA85:AA90" si="21">P85/N85</f>
        <v>0.57971014492753625</v>
      </c>
      <c r="AB85">
        <f t="shared" ref="AB85:AB90" si="22">U85/S85</f>
        <v>0.41428571428571431</v>
      </c>
      <c r="AC85">
        <f t="shared" ref="AC85:AC90" si="23">AA85-AB85</f>
        <v>0.16542443064182194</v>
      </c>
      <c r="AD85">
        <f t="shared" ref="AD85:AD90" si="24">Q85/N85</f>
        <v>1.3043478260869565</v>
      </c>
      <c r="AE85">
        <f t="shared" ref="AE85:AE90" si="25">V85/S85</f>
        <v>0.74285714285714288</v>
      </c>
      <c r="AF85">
        <f t="shared" ref="AF85:AF90" si="26">AD85-AE85</f>
        <v>0.56149068322981366</v>
      </c>
      <c r="AG85">
        <v>0</v>
      </c>
      <c r="AH85" s="14">
        <v>27.333333333333336</v>
      </c>
      <c r="AI85" s="14">
        <v>26.308333333333334</v>
      </c>
      <c r="AJ85" s="14">
        <v>53.641666666666666</v>
      </c>
      <c r="AK85" s="14">
        <v>52.958333333333336</v>
      </c>
      <c r="AL85" s="3" t="s">
        <v>614</v>
      </c>
    </row>
    <row r="86" spans="1:41">
      <c r="A86" t="s">
        <v>220</v>
      </c>
      <c r="B86" t="s">
        <v>232</v>
      </c>
      <c r="C86">
        <v>2</v>
      </c>
      <c r="D86" t="s">
        <v>34</v>
      </c>
      <c r="E86">
        <v>6</v>
      </c>
      <c r="F86">
        <v>3</v>
      </c>
      <c r="G86" s="1">
        <f t="shared" si="14"/>
        <v>75</v>
      </c>
      <c r="H86">
        <v>217</v>
      </c>
      <c r="I86">
        <v>1989</v>
      </c>
      <c r="J86">
        <v>2007</v>
      </c>
      <c r="K86" s="1">
        <f t="shared" si="15"/>
        <v>18</v>
      </c>
      <c r="L86" t="s">
        <v>41</v>
      </c>
      <c r="M86" t="s">
        <v>44</v>
      </c>
      <c r="N86" s="2">
        <v>65</v>
      </c>
      <c r="O86" s="5">
        <v>44</v>
      </c>
      <c r="P86" s="5">
        <v>47</v>
      </c>
      <c r="Q86" s="5">
        <f t="shared" si="16"/>
        <v>91</v>
      </c>
      <c r="R86" s="4">
        <v>91</v>
      </c>
      <c r="S86" s="2">
        <v>68</v>
      </c>
      <c r="T86" s="5">
        <v>26</v>
      </c>
      <c r="U86" s="5">
        <v>20</v>
      </c>
      <c r="V86" s="5">
        <f t="shared" si="17"/>
        <v>46</v>
      </c>
      <c r="W86" s="4">
        <v>52</v>
      </c>
      <c r="X86">
        <f t="shared" si="18"/>
        <v>0.67692307692307696</v>
      </c>
      <c r="Y86">
        <f t="shared" si="19"/>
        <v>0.38235294117647056</v>
      </c>
      <c r="Z86">
        <f t="shared" si="20"/>
        <v>0.2945701357466064</v>
      </c>
      <c r="AA86">
        <f t="shared" si="21"/>
        <v>0.72307692307692306</v>
      </c>
      <c r="AB86">
        <f t="shared" si="22"/>
        <v>0.29411764705882354</v>
      </c>
      <c r="AC86">
        <f t="shared" si="23"/>
        <v>0.42895927601809952</v>
      </c>
      <c r="AD86">
        <f t="shared" si="24"/>
        <v>1.4</v>
      </c>
      <c r="AE86">
        <f t="shared" si="25"/>
        <v>0.67647058823529416</v>
      </c>
      <c r="AF86">
        <f t="shared" si="26"/>
        <v>0.72352941176470575</v>
      </c>
      <c r="AG86">
        <v>0</v>
      </c>
      <c r="AH86" s="14">
        <v>27.333333333333332</v>
      </c>
      <c r="AI86" s="14">
        <v>25.683908045977009</v>
      </c>
      <c r="AJ86" s="14">
        <v>53.017241379310342</v>
      </c>
      <c r="AK86" s="14">
        <v>35.698275862068961</v>
      </c>
      <c r="AL86" s="5" t="s">
        <v>611</v>
      </c>
    </row>
    <row r="87" spans="1:41">
      <c r="A87" t="s">
        <v>251</v>
      </c>
      <c r="B87" t="s">
        <v>252</v>
      </c>
      <c r="C87">
        <v>157</v>
      </c>
      <c r="D87" t="s">
        <v>34</v>
      </c>
      <c r="E87">
        <v>5</v>
      </c>
      <c r="F87">
        <v>8</v>
      </c>
      <c r="G87" s="1">
        <f t="shared" si="14"/>
        <v>68</v>
      </c>
      <c r="H87">
        <v>175</v>
      </c>
      <c r="I87">
        <v>1989</v>
      </c>
      <c r="J87">
        <v>2008</v>
      </c>
      <c r="K87" s="1">
        <f t="shared" si="15"/>
        <v>19</v>
      </c>
      <c r="L87" t="s">
        <v>41</v>
      </c>
      <c r="M87" t="s">
        <v>43</v>
      </c>
      <c r="N87" s="2">
        <v>28</v>
      </c>
      <c r="O87" s="5">
        <v>26</v>
      </c>
      <c r="P87" s="5">
        <v>37</v>
      </c>
      <c r="Q87" s="5">
        <f t="shared" si="16"/>
        <v>63</v>
      </c>
      <c r="R87" s="4">
        <v>10</v>
      </c>
      <c r="S87" s="2">
        <v>27</v>
      </c>
      <c r="T87" s="5">
        <v>28</v>
      </c>
      <c r="U87" s="5">
        <v>24</v>
      </c>
      <c r="V87" s="5">
        <f t="shared" si="17"/>
        <v>52</v>
      </c>
      <c r="W87" s="4">
        <v>12</v>
      </c>
      <c r="X87">
        <f t="shared" si="18"/>
        <v>0.9285714285714286</v>
      </c>
      <c r="Y87">
        <f t="shared" si="19"/>
        <v>1.037037037037037</v>
      </c>
      <c r="Z87">
        <f t="shared" si="20"/>
        <v>-0.10846560846560838</v>
      </c>
      <c r="AA87">
        <f t="shared" si="21"/>
        <v>1.3214285714285714</v>
      </c>
      <c r="AB87">
        <f t="shared" si="22"/>
        <v>0.88888888888888884</v>
      </c>
      <c r="AC87">
        <f t="shared" si="23"/>
        <v>0.43253968253968256</v>
      </c>
      <c r="AD87">
        <f t="shared" si="24"/>
        <v>2.25</v>
      </c>
      <c r="AE87">
        <f t="shared" si="25"/>
        <v>1.9259259259259258</v>
      </c>
      <c r="AF87">
        <f t="shared" si="26"/>
        <v>0.32407407407407418</v>
      </c>
      <c r="AG87">
        <v>0</v>
      </c>
      <c r="AH87" s="14">
        <v>28.332723948811697</v>
      </c>
      <c r="AI87" s="14">
        <v>24.585009140767824</v>
      </c>
      <c r="AJ87" s="14">
        <v>52.917733089579521</v>
      </c>
      <c r="AK87" s="14">
        <v>20.987202925045704</v>
      </c>
      <c r="AL87" s="3" t="s">
        <v>623</v>
      </c>
    </row>
    <row r="88" spans="1:41">
      <c r="A88" t="s">
        <v>283</v>
      </c>
      <c r="B88" t="s">
        <v>291</v>
      </c>
      <c r="C88">
        <v>1</v>
      </c>
      <c r="D88" t="s">
        <v>119</v>
      </c>
      <c r="E88">
        <v>6</v>
      </c>
      <c r="F88">
        <v>1</v>
      </c>
      <c r="G88" s="1">
        <f t="shared" si="14"/>
        <v>73</v>
      </c>
      <c r="H88">
        <v>175</v>
      </c>
      <c r="I88">
        <v>1999</v>
      </c>
      <c r="J88">
        <v>2017</v>
      </c>
      <c r="K88" s="1">
        <f t="shared" si="15"/>
        <v>18</v>
      </c>
      <c r="L88" t="s">
        <v>41</v>
      </c>
      <c r="M88" t="s">
        <v>44</v>
      </c>
      <c r="N88" s="2">
        <v>67</v>
      </c>
      <c r="O88" s="5">
        <v>43</v>
      </c>
      <c r="P88" s="5">
        <v>56</v>
      </c>
      <c r="Q88" s="5">
        <f t="shared" si="16"/>
        <v>99</v>
      </c>
      <c r="R88" s="4">
        <v>26</v>
      </c>
      <c r="S88" s="2">
        <v>18</v>
      </c>
      <c r="T88" s="5">
        <v>11</v>
      </c>
      <c r="U88" s="5">
        <v>17</v>
      </c>
      <c r="V88" s="5">
        <f t="shared" si="17"/>
        <v>28</v>
      </c>
      <c r="W88" s="4">
        <v>6</v>
      </c>
      <c r="X88">
        <f t="shared" si="18"/>
        <v>0.64179104477611937</v>
      </c>
      <c r="Y88">
        <f t="shared" si="19"/>
        <v>0.61111111111111116</v>
      </c>
      <c r="Z88">
        <f t="shared" si="20"/>
        <v>3.0679933665008208E-2</v>
      </c>
      <c r="AA88">
        <f t="shared" si="21"/>
        <v>0.83582089552238803</v>
      </c>
      <c r="AB88">
        <f t="shared" si="22"/>
        <v>0.94444444444444442</v>
      </c>
      <c r="AC88">
        <f t="shared" si="23"/>
        <v>-0.10862354892205639</v>
      </c>
      <c r="AD88">
        <f t="shared" si="24"/>
        <v>1.4776119402985075</v>
      </c>
      <c r="AE88">
        <f t="shared" si="25"/>
        <v>1.5555555555555556</v>
      </c>
      <c r="AF88">
        <f t="shared" si="26"/>
        <v>-7.7943615257048071E-2</v>
      </c>
      <c r="AG88">
        <v>0</v>
      </c>
      <c r="AH88" s="14">
        <v>19.408284023668639</v>
      </c>
      <c r="AI88" s="14">
        <v>33.479289940828401</v>
      </c>
      <c r="AJ88" s="14">
        <v>52.887573964497037</v>
      </c>
      <c r="AK88" s="14">
        <v>25.23076923076923</v>
      </c>
      <c r="AL88" s="5" t="s">
        <v>614</v>
      </c>
    </row>
    <row r="89" spans="1:41">
      <c r="A89" t="s">
        <v>234</v>
      </c>
      <c r="B89" t="s">
        <v>249</v>
      </c>
      <c r="C89">
        <v>18</v>
      </c>
      <c r="D89" t="s">
        <v>38</v>
      </c>
      <c r="E89">
        <v>5</v>
      </c>
      <c r="F89">
        <v>11</v>
      </c>
      <c r="G89" s="1">
        <f t="shared" si="14"/>
        <v>71</v>
      </c>
      <c r="H89">
        <v>191</v>
      </c>
      <c r="I89">
        <v>1994</v>
      </c>
      <c r="J89">
        <v>2012</v>
      </c>
      <c r="K89" s="1">
        <f t="shared" si="15"/>
        <v>18</v>
      </c>
      <c r="L89" t="s">
        <v>41</v>
      </c>
      <c r="M89" t="s">
        <v>44</v>
      </c>
      <c r="N89" s="2">
        <v>40</v>
      </c>
      <c r="O89" s="5">
        <v>11</v>
      </c>
      <c r="P89" s="5">
        <v>7</v>
      </c>
      <c r="Q89" s="5">
        <f t="shared" si="16"/>
        <v>18</v>
      </c>
      <c r="R89" s="4">
        <v>6</v>
      </c>
      <c r="V89" s="5">
        <f t="shared" si="17"/>
        <v>0</v>
      </c>
      <c r="X89">
        <f t="shared" si="18"/>
        <v>0.27500000000000002</v>
      </c>
      <c r="Y89" t="e">
        <f t="shared" si="19"/>
        <v>#DIV/0!</v>
      </c>
      <c r="Z89" t="e">
        <f t="shared" si="20"/>
        <v>#DIV/0!</v>
      </c>
      <c r="AA89">
        <f t="shared" si="21"/>
        <v>0.17499999999999999</v>
      </c>
      <c r="AB89" t="e">
        <f t="shared" si="22"/>
        <v>#DIV/0!</v>
      </c>
      <c r="AC89" t="e">
        <f t="shared" si="23"/>
        <v>#DIV/0!</v>
      </c>
      <c r="AD89">
        <f t="shared" si="24"/>
        <v>0.45</v>
      </c>
      <c r="AE89" t="e">
        <f t="shared" si="25"/>
        <v>#DIV/0!</v>
      </c>
      <c r="AF89" t="e">
        <f t="shared" si="26"/>
        <v>#DIV/0!</v>
      </c>
      <c r="AG89">
        <v>0</v>
      </c>
      <c r="AH89" s="14">
        <v>17.433070866141733</v>
      </c>
      <c r="AI89" s="14">
        <v>35.296587926509183</v>
      </c>
      <c r="AJ89" s="14">
        <v>52.729658792650916</v>
      </c>
      <c r="AK89" s="14">
        <v>14.63517060367454</v>
      </c>
      <c r="AL89" s="3" t="s">
        <v>615</v>
      </c>
    </row>
    <row r="90" spans="1:41">
      <c r="A90" t="s">
        <v>306</v>
      </c>
      <c r="B90" t="s">
        <v>317</v>
      </c>
      <c r="C90">
        <v>5</v>
      </c>
      <c r="D90" t="s">
        <v>35</v>
      </c>
      <c r="E90">
        <v>6</v>
      </c>
      <c r="F90">
        <v>1</v>
      </c>
      <c r="G90" s="1">
        <f t="shared" si="14"/>
        <v>73</v>
      </c>
      <c r="H90">
        <v>200</v>
      </c>
      <c r="I90">
        <v>1991</v>
      </c>
      <c r="J90">
        <v>2009</v>
      </c>
      <c r="K90" s="1">
        <f t="shared" si="15"/>
        <v>18</v>
      </c>
      <c r="L90" t="s">
        <v>41</v>
      </c>
      <c r="M90" t="s">
        <v>44</v>
      </c>
      <c r="N90" s="2">
        <v>70</v>
      </c>
      <c r="O90" s="5">
        <v>32</v>
      </c>
      <c r="P90" s="5">
        <v>56</v>
      </c>
      <c r="Q90" s="5">
        <f t="shared" si="16"/>
        <v>88</v>
      </c>
      <c r="R90" s="4">
        <v>82</v>
      </c>
      <c r="S90" s="2">
        <v>73</v>
      </c>
      <c r="T90" s="5">
        <v>29</v>
      </c>
      <c r="U90" s="5">
        <v>45</v>
      </c>
      <c r="V90" s="5">
        <f t="shared" si="17"/>
        <v>74</v>
      </c>
      <c r="W90" s="4">
        <v>54</v>
      </c>
      <c r="X90">
        <f t="shared" si="18"/>
        <v>0.45714285714285713</v>
      </c>
      <c r="Y90">
        <f t="shared" si="19"/>
        <v>0.39726027397260272</v>
      </c>
      <c r="Z90">
        <f t="shared" si="20"/>
        <v>5.9882583170254411E-2</v>
      </c>
      <c r="AA90">
        <f t="shared" si="21"/>
        <v>0.8</v>
      </c>
      <c r="AB90">
        <f t="shared" si="22"/>
        <v>0.61643835616438358</v>
      </c>
      <c r="AC90">
        <f t="shared" si="23"/>
        <v>0.18356164383561646</v>
      </c>
      <c r="AD90">
        <f t="shared" si="24"/>
        <v>1.2571428571428571</v>
      </c>
      <c r="AE90">
        <f t="shared" si="25"/>
        <v>1.0136986301369864</v>
      </c>
      <c r="AF90">
        <f t="shared" si="26"/>
        <v>0.24344422700587076</v>
      </c>
      <c r="AG90">
        <v>0</v>
      </c>
      <c r="AH90" s="14">
        <v>22.180327868852459</v>
      </c>
      <c r="AI90" s="14">
        <v>30.514754098360655</v>
      </c>
      <c r="AJ90" s="14">
        <v>52.695081967213113</v>
      </c>
      <c r="AK90" s="14">
        <v>44.629508196721311</v>
      </c>
      <c r="AL90" s="5" t="s">
        <v>599</v>
      </c>
    </row>
    <row r="91" spans="1:41">
      <c r="A91" t="s">
        <v>539</v>
      </c>
      <c r="B91" t="s">
        <v>547</v>
      </c>
      <c r="C91">
        <v>4</v>
      </c>
      <c r="D91" t="s">
        <v>35</v>
      </c>
      <c r="E91">
        <v>6</v>
      </c>
      <c r="F91">
        <v>2</v>
      </c>
      <c r="G91" s="1">
        <f t="shared" si="14"/>
        <v>74</v>
      </c>
      <c r="H91">
        <v>210</v>
      </c>
      <c r="I91">
        <v>1991</v>
      </c>
      <c r="J91">
        <v>2009</v>
      </c>
      <c r="K91" s="1">
        <f t="shared" si="15"/>
        <v>18</v>
      </c>
      <c r="L91" t="s">
        <v>41</v>
      </c>
      <c r="M91" t="s">
        <v>44</v>
      </c>
      <c r="N91" s="2">
        <v>67</v>
      </c>
      <c r="O91" s="5">
        <v>50</v>
      </c>
      <c r="P91" s="5">
        <v>52</v>
      </c>
      <c r="Q91" s="5">
        <f t="shared" si="16"/>
        <v>102</v>
      </c>
      <c r="R91" s="4">
        <v>91</v>
      </c>
      <c r="S91" s="2">
        <v>65</v>
      </c>
      <c r="T91" s="5">
        <v>24</v>
      </c>
      <c r="U91" s="5">
        <v>17</v>
      </c>
      <c r="V91" s="5">
        <f t="shared" si="17"/>
        <v>41</v>
      </c>
      <c r="W91" s="4">
        <v>66</v>
      </c>
      <c r="AG91">
        <v>0</v>
      </c>
      <c r="AH91" s="14">
        <v>27.904477611940298</v>
      </c>
      <c r="AI91" s="14">
        <v>24.722388059701494</v>
      </c>
      <c r="AJ91" s="14">
        <v>52.626865671641788</v>
      </c>
      <c r="AK91" s="14">
        <v>103.78507462686568</v>
      </c>
      <c r="AL91" s="3" t="s">
        <v>599</v>
      </c>
    </row>
    <row r="92" spans="1:41">
      <c r="A92" s="6" t="s">
        <v>69</v>
      </c>
      <c r="B92" t="s">
        <v>80</v>
      </c>
      <c r="C92">
        <v>7</v>
      </c>
      <c r="D92" t="s">
        <v>34</v>
      </c>
      <c r="E92">
        <v>6</v>
      </c>
      <c r="F92">
        <v>0</v>
      </c>
      <c r="G92" s="1">
        <f t="shared" si="14"/>
        <v>72</v>
      </c>
      <c r="H92">
        <v>220</v>
      </c>
      <c r="I92">
        <v>1988</v>
      </c>
      <c r="J92">
        <v>2006</v>
      </c>
      <c r="K92" s="1">
        <f t="shared" si="15"/>
        <v>18</v>
      </c>
      <c r="L92" t="s">
        <v>41</v>
      </c>
      <c r="M92" t="s">
        <v>43</v>
      </c>
      <c r="N92" s="2">
        <v>50</v>
      </c>
      <c r="O92" s="5">
        <v>27</v>
      </c>
      <c r="P92" s="5">
        <v>31</v>
      </c>
      <c r="Q92" s="3">
        <f t="shared" si="16"/>
        <v>58</v>
      </c>
      <c r="R92" s="4">
        <v>56</v>
      </c>
      <c r="S92" s="2">
        <v>65</v>
      </c>
      <c r="T92" s="5">
        <v>47</v>
      </c>
      <c r="U92" s="5">
        <v>45</v>
      </c>
      <c r="V92" s="3">
        <f t="shared" si="17"/>
        <v>92</v>
      </c>
      <c r="W92" s="4">
        <v>72</v>
      </c>
      <c r="X92">
        <f>O92/N92</f>
        <v>0.54</v>
      </c>
      <c r="Y92">
        <f>T92/S92</f>
        <v>0.72307692307692306</v>
      </c>
      <c r="Z92">
        <f>X92-Y92</f>
        <v>-0.18307692307692303</v>
      </c>
      <c r="AA92">
        <f>P92/N92</f>
        <v>0.62</v>
      </c>
      <c r="AB92">
        <f>U92/S92</f>
        <v>0.69230769230769229</v>
      </c>
      <c r="AC92">
        <f>AA92-AB92</f>
        <v>-7.2307692307692295E-2</v>
      </c>
      <c r="AD92">
        <f>Q92/N92</f>
        <v>1.1599999999999999</v>
      </c>
      <c r="AE92">
        <f>V92/S92</f>
        <v>1.4153846153846155</v>
      </c>
      <c r="AF92">
        <f>AD92-AE92</f>
        <v>-0.25538461538461554</v>
      </c>
      <c r="AG92">
        <v>0</v>
      </c>
      <c r="AH92" s="14">
        <v>20.099087353324641</v>
      </c>
      <c r="AI92" s="14">
        <v>32.500651890482402</v>
      </c>
      <c r="AJ92" s="14">
        <v>52.599739243807043</v>
      </c>
      <c r="AK92" s="14">
        <v>46.29204693611473</v>
      </c>
      <c r="AL92" s="5" t="s">
        <v>608</v>
      </c>
    </row>
    <row r="93" spans="1:41">
      <c r="A93" t="s">
        <v>266</v>
      </c>
      <c r="B93" t="s">
        <v>282</v>
      </c>
      <c r="C93">
        <v>6</v>
      </c>
      <c r="D93" t="s">
        <v>65</v>
      </c>
      <c r="E93">
        <v>6</v>
      </c>
      <c r="F93">
        <v>2</v>
      </c>
      <c r="G93" s="1">
        <f t="shared" si="14"/>
        <v>74</v>
      </c>
      <c r="H93">
        <v>213</v>
      </c>
      <c r="I93">
        <v>1993</v>
      </c>
      <c r="J93">
        <v>2011</v>
      </c>
      <c r="K93" s="1">
        <f t="shared" si="15"/>
        <v>18</v>
      </c>
      <c r="L93" t="s">
        <v>41</v>
      </c>
      <c r="M93" t="s">
        <v>43</v>
      </c>
      <c r="N93" s="2">
        <f>26+2+27+26+6</f>
        <v>87</v>
      </c>
      <c r="O93" s="3">
        <f>5+3+12+5+4</f>
        <v>29</v>
      </c>
      <c r="P93" s="3">
        <f>4+2+9+4+4</f>
        <v>23</v>
      </c>
      <c r="Q93" s="5">
        <f t="shared" si="16"/>
        <v>52</v>
      </c>
      <c r="R93" s="4">
        <v>20</v>
      </c>
      <c r="S93" s="2">
        <v>42</v>
      </c>
      <c r="T93" s="5">
        <v>16</v>
      </c>
      <c r="U93" s="5">
        <v>24</v>
      </c>
      <c r="V93" s="5">
        <f t="shared" si="17"/>
        <v>40</v>
      </c>
      <c r="W93" s="4">
        <v>22</v>
      </c>
      <c r="X93">
        <f>O93/N93</f>
        <v>0.33333333333333331</v>
      </c>
      <c r="Y93">
        <f>T93/S93</f>
        <v>0.38095238095238093</v>
      </c>
      <c r="Z93">
        <f>X93-Y93</f>
        <v>-4.7619047619047616E-2</v>
      </c>
      <c r="AA93">
        <f>P93/N93</f>
        <v>0.26436781609195403</v>
      </c>
      <c r="AB93">
        <f>U93/S93</f>
        <v>0.5714285714285714</v>
      </c>
      <c r="AC93">
        <f>AA93-AB93</f>
        <v>-0.30706075533661736</v>
      </c>
      <c r="AD93">
        <f>Q93/N93</f>
        <v>0.5977011494252874</v>
      </c>
      <c r="AE93">
        <f>V93/S93</f>
        <v>0.95238095238095233</v>
      </c>
      <c r="AF93">
        <f>AD93-AE93</f>
        <v>-0.35467980295566492</v>
      </c>
      <c r="AG93">
        <v>0</v>
      </c>
      <c r="AH93" s="14">
        <v>22.795999999999999</v>
      </c>
      <c r="AI93" s="14">
        <v>29.684000000000001</v>
      </c>
      <c r="AJ93" s="14">
        <v>52.480000000000004</v>
      </c>
      <c r="AK93" s="14">
        <v>23.124000000000002</v>
      </c>
      <c r="AL93" s="5" t="s">
        <v>605</v>
      </c>
    </row>
    <row r="94" spans="1:41">
      <c r="A94" t="s">
        <v>322</v>
      </c>
      <c r="B94" t="s">
        <v>332</v>
      </c>
      <c r="C94">
        <v>7</v>
      </c>
      <c r="D94" t="s">
        <v>35</v>
      </c>
      <c r="E94">
        <v>6</v>
      </c>
      <c r="F94">
        <v>0</v>
      </c>
      <c r="G94" s="1">
        <f t="shared" si="14"/>
        <v>72</v>
      </c>
      <c r="H94">
        <v>192</v>
      </c>
      <c r="I94">
        <v>1990</v>
      </c>
      <c r="J94">
        <v>2009</v>
      </c>
      <c r="K94" s="1">
        <f t="shared" si="15"/>
        <v>19</v>
      </c>
      <c r="L94" t="s">
        <v>41</v>
      </c>
      <c r="M94" t="s">
        <v>44</v>
      </c>
      <c r="N94" s="2">
        <v>56</v>
      </c>
      <c r="O94" s="5">
        <v>25</v>
      </c>
      <c r="P94" s="5">
        <v>53</v>
      </c>
      <c r="Q94" s="5">
        <f t="shared" si="16"/>
        <v>78</v>
      </c>
      <c r="R94" s="4">
        <v>31</v>
      </c>
      <c r="S94" s="2">
        <v>68</v>
      </c>
      <c r="T94" s="5">
        <v>25</v>
      </c>
      <c r="U94" s="5">
        <v>40</v>
      </c>
      <c r="V94" s="5">
        <f t="shared" si="17"/>
        <v>65</v>
      </c>
      <c r="W94" s="4">
        <v>57</v>
      </c>
      <c r="X94">
        <f>O94/N94</f>
        <v>0.44642857142857145</v>
      </c>
      <c r="Y94">
        <f>T94/S94</f>
        <v>0.36764705882352944</v>
      </c>
      <c r="Z94">
        <f>X94-Y94</f>
        <v>7.8781512605042014E-2</v>
      </c>
      <c r="AA94">
        <f>P94/N94</f>
        <v>0.9464285714285714</v>
      </c>
      <c r="AB94">
        <f>U94/S94</f>
        <v>0.58823529411764708</v>
      </c>
      <c r="AC94">
        <f>AA94-AB94</f>
        <v>0.35819327731092432</v>
      </c>
      <c r="AD94">
        <f>Q94/N94</f>
        <v>1.3928571428571428</v>
      </c>
      <c r="AE94">
        <f>V94/S94</f>
        <v>0.95588235294117652</v>
      </c>
      <c r="AF94">
        <f>AD94-AE94</f>
        <v>0.43697478991596628</v>
      </c>
      <c r="AG94">
        <v>0</v>
      </c>
      <c r="AH94" s="14">
        <v>23.629502572898801</v>
      </c>
      <c r="AI94" s="14">
        <v>28.692967409948544</v>
      </c>
      <c r="AJ94" s="14">
        <v>52.322469982847345</v>
      </c>
      <c r="AK94" s="14">
        <v>59.21440823327616</v>
      </c>
      <c r="AL94" s="5" t="s">
        <v>600</v>
      </c>
    </row>
    <row r="95" spans="1:41">
      <c r="A95" t="s">
        <v>306</v>
      </c>
      <c r="B95" t="s">
        <v>321</v>
      </c>
      <c r="C95">
        <v>26</v>
      </c>
      <c r="D95" t="s">
        <v>35</v>
      </c>
      <c r="E95">
        <v>6</v>
      </c>
      <c r="F95">
        <v>0</v>
      </c>
      <c r="G95" s="1">
        <f t="shared" si="14"/>
        <v>72</v>
      </c>
      <c r="H95">
        <v>200</v>
      </c>
      <c r="I95">
        <v>1988</v>
      </c>
      <c r="J95">
        <v>2007</v>
      </c>
      <c r="K95" s="1">
        <f t="shared" si="15"/>
        <v>19</v>
      </c>
      <c r="L95" t="s">
        <v>41</v>
      </c>
      <c r="M95" t="s">
        <v>43</v>
      </c>
      <c r="N95" s="2">
        <v>70</v>
      </c>
      <c r="O95" s="5">
        <v>39</v>
      </c>
      <c r="P95" s="5">
        <v>44</v>
      </c>
      <c r="Q95" s="5">
        <f t="shared" si="16"/>
        <v>83</v>
      </c>
      <c r="R95" s="4">
        <v>75</v>
      </c>
      <c r="S95" s="2">
        <v>51</v>
      </c>
      <c r="T95" s="5">
        <v>24</v>
      </c>
      <c r="U95" s="5">
        <v>45</v>
      </c>
      <c r="V95" s="5">
        <f t="shared" si="17"/>
        <v>69</v>
      </c>
      <c r="W95" s="4">
        <v>92</v>
      </c>
      <c r="X95">
        <f>O95/N95</f>
        <v>0.55714285714285716</v>
      </c>
      <c r="Y95">
        <f>T95/S95</f>
        <v>0.47058823529411764</v>
      </c>
      <c r="Z95">
        <f>X95-Y95</f>
        <v>8.6554621848739521E-2</v>
      </c>
      <c r="AA95">
        <f>P95/N95</f>
        <v>0.62857142857142856</v>
      </c>
      <c r="AB95">
        <f>U95/S95</f>
        <v>0.88235294117647056</v>
      </c>
      <c r="AC95">
        <f>AA95-AB95</f>
        <v>-0.253781512605042</v>
      </c>
      <c r="AD95">
        <f>Q95/N95</f>
        <v>1.1857142857142857</v>
      </c>
      <c r="AE95">
        <f>V95/S95</f>
        <v>1.3529411764705883</v>
      </c>
      <c r="AF95">
        <f>AD95-AE95</f>
        <v>-0.16722689075630259</v>
      </c>
      <c r="AG95">
        <v>0</v>
      </c>
      <c r="AH95" s="14">
        <v>21.266832917705734</v>
      </c>
      <c r="AI95" s="14">
        <v>30.980049875311721</v>
      </c>
      <c r="AJ95" s="14">
        <v>52.246882793017456</v>
      </c>
      <c r="AK95" s="14">
        <v>63.187032418952619</v>
      </c>
      <c r="AL95" s="5" t="s">
        <v>614</v>
      </c>
    </row>
    <row r="96" spans="1:41">
      <c r="A96" t="s">
        <v>556</v>
      </c>
      <c r="B96" t="s">
        <v>569</v>
      </c>
      <c r="C96">
        <v>30</v>
      </c>
      <c r="D96" t="s">
        <v>65</v>
      </c>
      <c r="E96">
        <v>6</v>
      </c>
      <c r="F96">
        <v>1</v>
      </c>
      <c r="G96" s="1">
        <f t="shared" si="14"/>
        <v>73</v>
      </c>
      <c r="H96">
        <v>202</v>
      </c>
      <c r="I96">
        <v>1993</v>
      </c>
      <c r="J96">
        <v>2011</v>
      </c>
      <c r="K96" s="1">
        <f t="shared" si="15"/>
        <v>18</v>
      </c>
      <c r="L96" t="s">
        <v>41</v>
      </c>
      <c r="M96" t="s">
        <v>43</v>
      </c>
      <c r="N96" s="2">
        <v>49</v>
      </c>
      <c r="O96" s="5">
        <v>20</v>
      </c>
      <c r="P96" s="5">
        <v>25</v>
      </c>
      <c r="Q96" s="5">
        <f t="shared" si="16"/>
        <v>45</v>
      </c>
      <c r="R96" s="4">
        <v>12</v>
      </c>
      <c r="S96" s="2">
        <v>38</v>
      </c>
      <c r="T96" s="5">
        <v>28</v>
      </c>
      <c r="U96" s="5">
        <v>17</v>
      </c>
      <c r="V96" s="5">
        <f t="shared" si="17"/>
        <v>45</v>
      </c>
      <c r="W96" s="4">
        <v>20</v>
      </c>
      <c r="AG96">
        <v>0</v>
      </c>
      <c r="AH96" s="14">
        <v>24.64039408866995</v>
      </c>
      <c r="AI96" s="14">
        <v>27.467980295566502</v>
      </c>
      <c r="AJ96" s="14">
        <v>52.108374384236456</v>
      </c>
      <c r="AK96" s="14">
        <v>17.773399014778324</v>
      </c>
      <c r="AL96" s="3" t="s">
        <v>600</v>
      </c>
    </row>
    <row r="97" spans="1:41">
      <c r="A97" s="6" t="s">
        <v>135</v>
      </c>
      <c r="B97" t="s">
        <v>139</v>
      </c>
      <c r="C97">
        <v>18</v>
      </c>
      <c r="D97" t="s">
        <v>35</v>
      </c>
      <c r="E97">
        <v>6</v>
      </c>
      <c r="F97">
        <v>2</v>
      </c>
      <c r="G97" s="1">
        <f t="shared" si="14"/>
        <v>74</v>
      </c>
      <c r="H97">
        <v>196</v>
      </c>
      <c r="I97">
        <v>1997</v>
      </c>
      <c r="J97">
        <v>2015</v>
      </c>
      <c r="K97" s="1">
        <f t="shared" si="15"/>
        <v>18</v>
      </c>
      <c r="L97" t="s">
        <v>42</v>
      </c>
      <c r="M97" t="s">
        <v>44</v>
      </c>
      <c r="N97" s="2">
        <v>73</v>
      </c>
      <c r="O97" s="5">
        <v>13</v>
      </c>
      <c r="P97" s="5">
        <v>33</v>
      </c>
      <c r="Q97" s="5">
        <f t="shared" si="16"/>
        <v>46</v>
      </c>
      <c r="R97" s="4">
        <v>62</v>
      </c>
      <c r="S97" s="2">
        <v>55</v>
      </c>
      <c r="T97" s="5">
        <v>1</v>
      </c>
      <c r="U97" s="5">
        <v>21</v>
      </c>
      <c r="V97" s="5">
        <f t="shared" si="17"/>
        <v>22</v>
      </c>
      <c r="W97" s="4">
        <v>36</v>
      </c>
      <c r="X97">
        <f>O97/N97</f>
        <v>0.17808219178082191</v>
      </c>
      <c r="Y97">
        <f>T97/S97</f>
        <v>1.8181818181818181E-2</v>
      </c>
      <c r="Z97">
        <f>X97-Y97</f>
        <v>0.15990037359900372</v>
      </c>
      <c r="AA97">
        <f>P97/N97</f>
        <v>0.45205479452054792</v>
      </c>
      <c r="AB97">
        <f>U97/S97</f>
        <v>0.38181818181818183</v>
      </c>
      <c r="AC97">
        <f>AA97-AB97</f>
        <v>7.0236612702366086E-2</v>
      </c>
      <c r="AD97">
        <f>Q97/N97</f>
        <v>0.63013698630136983</v>
      </c>
      <c r="AE97">
        <f>V97/S97</f>
        <v>0.4</v>
      </c>
      <c r="AF97">
        <f>AD97-AE97</f>
        <v>0.23013698630136981</v>
      </c>
      <c r="AG97">
        <v>1</v>
      </c>
      <c r="AH97" s="14">
        <v>12.615384615384617</v>
      </c>
      <c r="AI97" s="14">
        <v>35.743589743589745</v>
      </c>
      <c r="AJ97" s="14">
        <v>48.358974358974358</v>
      </c>
      <c r="AK97" s="14">
        <v>29.435897435897438</v>
      </c>
      <c r="AL97" s="3" t="s">
        <v>614</v>
      </c>
      <c r="AM97" s="22">
        <v>134</v>
      </c>
      <c r="AN97" s="22">
        <v>994</v>
      </c>
      <c r="AO97">
        <f>AM97/AN97</f>
        <v>0.13480885311871227</v>
      </c>
    </row>
    <row r="98" spans="1:41">
      <c r="A98" s="6" t="s">
        <v>69</v>
      </c>
      <c r="B98" t="s">
        <v>81</v>
      </c>
      <c r="C98">
        <v>2</v>
      </c>
      <c r="D98" t="s">
        <v>35</v>
      </c>
      <c r="E98">
        <v>6</v>
      </c>
      <c r="F98">
        <v>1</v>
      </c>
      <c r="G98" s="1">
        <f t="shared" si="14"/>
        <v>73</v>
      </c>
      <c r="H98">
        <v>192</v>
      </c>
      <c r="I98">
        <v>1995</v>
      </c>
      <c r="J98">
        <v>2014</v>
      </c>
      <c r="K98" s="1">
        <f t="shared" si="15"/>
        <v>19</v>
      </c>
      <c r="L98" t="s">
        <v>41</v>
      </c>
      <c r="M98" t="s">
        <v>43</v>
      </c>
      <c r="N98" s="2">
        <v>69</v>
      </c>
      <c r="O98" s="5">
        <v>38</v>
      </c>
      <c r="P98" s="5">
        <v>73</v>
      </c>
      <c r="Q98" s="3">
        <f t="shared" si="16"/>
        <v>111</v>
      </c>
      <c r="R98" s="4">
        <v>13</v>
      </c>
      <c r="V98" s="3">
        <f t="shared" ref="V98:V129" si="27">T98+U98</f>
        <v>0</v>
      </c>
      <c r="X98">
        <f>O98/N98</f>
        <v>0.55072463768115942</v>
      </c>
      <c r="Y98" t="e">
        <f>T98/S98</f>
        <v>#DIV/0!</v>
      </c>
      <c r="Z98" t="e">
        <f>X98-Y98</f>
        <v>#DIV/0!</v>
      </c>
      <c r="AA98">
        <f>P98/N98</f>
        <v>1.0579710144927537</v>
      </c>
      <c r="AB98" t="e">
        <f>U98/S98</f>
        <v>#DIV/0!</v>
      </c>
      <c r="AC98" t="e">
        <f>AA98-AB98</f>
        <v>#DIV/0!</v>
      </c>
      <c r="AD98">
        <f>Q98/N98</f>
        <v>1.6086956521739131</v>
      </c>
      <c r="AE98" t="e">
        <f>V98/S98</f>
        <v>#DIV/0!</v>
      </c>
      <c r="AF98" t="e">
        <f>AD98-AE98</f>
        <v>#DIV/0!</v>
      </c>
      <c r="AG98">
        <v>0</v>
      </c>
      <c r="AH98" s="14">
        <v>22.130681818181817</v>
      </c>
      <c r="AI98" s="14">
        <v>29.58522727272727</v>
      </c>
      <c r="AJ98" s="14">
        <v>51.715909090909086</v>
      </c>
      <c r="AK98" s="14">
        <v>17.238636363636363</v>
      </c>
      <c r="AL98" s="3" t="s">
        <v>599</v>
      </c>
    </row>
    <row r="99" spans="1:41">
      <c r="A99" t="s">
        <v>306</v>
      </c>
      <c r="B99" t="s">
        <v>315</v>
      </c>
      <c r="C99">
        <v>4</v>
      </c>
      <c r="D99" t="s">
        <v>35</v>
      </c>
      <c r="E99">
        <v>6</v>
      </c>
      <c r="F99">
        <v>3</v>
      </c>
      <c r="G99" s="1">
        <f t="shared" si="14"/>
        <v>75</v>
      </c>
      <c r="H99">
        <v>210</v>
      </c>
      <c r="I99">
        <v>1990</v>
      </c>
      <c r="J99">
        <v>2008</v>
      </c>
      <c r="K99" s="1">
        <f t="shared" si="15"/>
        <v>18</v>
      </c>
      <c r="L99" t="s">
        <v>42</v>
      </c>
      <c r="M99" t="s">
        <v>43</v>
      </c>
      <c r="N99" s="2">
        <v>60</v>
      </c>
      <c r="O99" s="5">
        <v>13</v>
      </c>
      <c r="P99" s="5">
        <v>40</v>
      </c>
      <c r="Q99" s="5">
        <f t="shared" si="16"/>
        <v>53</v>
      </c>
      <c r="R99" s="4">
        <v>94</v>
      </c>
      <c r="S99" s="2">
        <v>59</v>
      </c>
      <c r="T99" s="5">
        <v>7</v>
      </c>
      <c r="U99" s="5">
        <v>45</v>
      </c>
      <c r="V99" s="5">
        <f t="shared" si="27"/>
        <v>52</v>
      </c>
      <c r="W99" s="4">
        <v>45</v>
      </c>
      <c r="X99">
        <f>O99/N99</f>
        <v>0.21666666666666667</v>
      </c>
      <c r="Y99">
        <f>T99/S99</f>
        <v>0.11864406779661017</v>
      </c>
      <c r="Z99">
        <f>X99-Y99</f>
        <v>9.8022598870056502E-2</v>
      </c>
      <c r="AA99">
        <f>P99/N99</f>
        <v>0.66666666666666663</v>
      </c>
      <c r="AB99">
        <f>U99/S99</f>
        <v>0.76271186440677963</v>
      </c>
      <c r="AC99">
        <f>AA99-AB99</f>
        <v>-9.6045197740112997E-2</v>
      </c>
      <c r="AD99">
        <f>Q99/N99</f>
        <v>0.8833333333333333</v>
      </c>
      <c r="AE99">
        <f>V99/S99</f>
        <v>0.88135593220338981</v>
      </c>
      <c r="AF99">
        <f>AD99-AE99</f>
        <v>1.9774011299434902E-3</v>
      </c>
      <c r="AG99">
        <v>1</v>
      </c>
      <c r="AH99" s="14">
        <v>11.417721518987342</v>
      </c>
      <c r="AI99" s="14">
        <v>36.559774964838255</v>
      </c>
      <c r="AJ99" s="14">
        <v>47.977496483825597</v>
      </c>
      <c r="AK99" s="14">
        <v>25.949367088607595</v>
      </c>
      <c r="AL99" s="5" t="s">
        <v>600</v>
      </c>
      <c r="AM99" s="22">
        <v>114</v>
      </c>
      <c r="AN99" s="22">
        <v>1107</v>
      </c>
      <c r="AO99">
        <f>AM99/AN99</f>
        <v>0.10298102981029811</v>
      </c>
    </row>
    <row r="100" spans="1:41">
      <c r="A100" t="s">
        <v>430</v>
      </c>
      <c r="B100" t="s">
        <v>431</v>
      </c>
      <c r="C100">
        <v>3</v>
      </c>
      <c r="D100" t="s">
        <v>35</v>
      </c>
      <c r="E100">
        <v>6</v>
      </c>
      <c r="F100">
        <v>4</v>
      </c>
      <c r="G100" s="1">
        <f t="shared" si="14"/>
        <v>76</v>
      </c>
      <c r="H100">
        <v>197</v>
      </c>
      <c r="I100">
        <v>2001</v>
      </c>
      <c r="J100">
        <v>2019</v>
      </c>
      <c r="K100" s="1">
        <f t="shared" si="15"/>
        <v>18</v>
      </c>
      <c r="L100" t="s">
        <v>41</v>
      </c>
      <c r="M100" t="s">
        <v>43</v>
      </c>
      <c r="N100" s="2">
        <v>62</v>
      </c>
      <c r="O100" s="5">
        <v>25</v>
      </c>
      <c r="P100" s="5">
        <v>48</v>
      </c>
      <c r="Q100" s="5">
        <f t="shared" si="16"/>
        <v>73</v>
      </c>
      <c r="R100" s="4">
        <v>40</v>
      </c>
      <c r="S100" s="2">
        <v>57</v>
      </c>
      <c r="T100" s="5">
        <v>8</v>
      </c>
      <c r="U100" s="5">
        <v>45</v>
      </c>
      <c r="V100" s="5">
        <f t="shared" si="27"/>
        <v>53</v>
      </c>
      <c r="W100" s="4">
        <v>14</v>
      </c>
      <c r="AG100">
        <v>0</v>
      </c>
      <c r="AH100" s="14">
        <v>25.625</v>
      </c>
      <c r="AI100" s="14">
        <v>25.625</v>
      </c>
      <c r="AJ100" s="14">
        <v>51.25</v>
      </c>
      <c r="AK100" s="14">
        <v>20.5</v>
      </c>
      <c r="AL100" s="3" t="s">
        <v>599</v>
      </c>
    </row>
    <row r="101" spans="1:41">
      <c r="A101" s="6" t="s">
        <v>135</v>
      </c>
      <c r="B101" t="s">
        <v>146</v>
      </c>
      <c r="C101">
        <v>4</v>
      </c>
      <c r="D101" t="s">
        <v>34</v>
      </c>
      <c r="E101">
        <v>6</v>
      </c>
      <c r="F101">
        <v>3</v>
      </c>
      <c r="G101" s="1">
        <f t="shared" si="14"/>
        <v>75</v>
      </c>
      <c r="H101">
        <v>196</v>
      </c>
      <c r="I101">
        <v>1999</v>
      </c>
      <c r="J101">
        <v>2018</v>
      </c>
      <c r="K101" s="1">
        <f t="shared" si="15"/>
        <v>19</v>
      </c>
      <c r="L101" t="s">
        <v>41</v>
      </c>
      <c r="M101" t="s">
        <v>44</v>
      </c>
      <c r="N101" s="2">
        <v>47</v>
      </c>
      <c r="O101" s="5">
        <v>11</v>
      </c>
      <c r="P101" s="5">
        <v>29</v>
      </c>
      <c r="Q101" s="5">
        <f t="shared" si="16"/>
        <v>40</v>
      </c>
      <c r="R101" s="4">
        <v>63</v>
      </c>
      <c r="S101" s="2">
        <v>92</v>
      </c>
      <c r="T101" s="5">
        <v>38</v>
      </c>
      <c r="U101" s="5">
        <v>46</v>
      </c>
      <c r="V101" s="5">
        <f t="shared" si="27"/>
        <v>84</v>
      </c>
      <c r="W101" s="4">
        <v>214</v>
      </c>
      <c r="X101">
        <f>O101/N101</f>
        <v>0.23404255319148937</v>
      </c>
      <c r="Y101">
        <f>T101/S101</f>
        <v>0.41304347826086957</v>
      </c>
      <c r="Z101">
        <f>X101-Y101</f>
        <v>-0.1790009250693802</v>
      </c>
      <c r="AA101">
        <f>P101/N101</f>
        <v>0.61702127659574468</v>
      </c>
      <c r="AB101">
        <f>U101/S101</f>
        <v>0.5</v>
      </c>
      <c r="AC101">
        <f>AA101-AB101</f>
        <v>0.11702127659574468</v>
      </c>
      <c r="AD101">
        <f>Q101/N101</f>
        <v>0.85106382978723405</v>
      </c>
      <c r="AE101">
        <f>V101/S101</f>
        <v>0.91304347826086951</v>
      </c>
      <c r="AF101">
        <f>AD101-AE101</f>
        <v>-6.1979648473635462E-2</v>
      </c>
      <c r="AG101">
        <v>0</v>
      </c>
      <c r="AH101" s="14">
        <v>26.451612903225808</v>
      </c>
      <c r="AI101" s="14">
        <v>24.688172043010752</v>
      </c>
      <c r="AJ101" s="14">
        <v>51.13978494623656</v>
      </c>
      <c r="AK101" s="14">
        <v>81.118279569892479</v>
      </c>
      <c r="AL101" s="5" t="s">
        <v>611</v>
      </c>
    </row>
    <row r="102" spans="1:41">
      <c r="A102" t="s">
        <v>498</v>
      </c>
      <c r="B102" t="s">
        <v>501</v>
      </c>
      <c r="C102">
        <v>33</v>
      </c>
      <c r="D102" t="s">
        <v>65</v>
      </c>
      <c r="E102">
        <v>6</v>
      </c>
      <c r="F102">
        <v>2</v>
      </c>
      <c r="G102" s="1">
        <f t="shared" si="14"/>
        <v>74</v>
      </c>
      <c r="H102">
        <v>179</v>
      </c>
      <c r="I102">
        <v>1985</v>
      </c>
      <c r="J102">
        <v>2003</v>
      </c>
      <c r="K102" s="1">
        <f t="shared" si="15"/>
        <v>18</v>
      </c>
      <c r="L102" t="s">
        <v>41</v>
      </c>
      <c r="M102" t="s">
        <v>44</v>
      </c>
      <c r="N102" s="2">
        <v>36</v>
      </c>
      <c r="O102" s="5">
        <v>21</v>
      </c>
      <c r="P102" s="5">
        <v>17</v>
      </c>
      <c r="Q102" s="5">
        <f t="shared" si="16"/>
        <v>38</v>
      </c>
      <c r="R102" s="4">
        <v>22</v>
      </c>
      <c r="S102" s="2">
        <v>36</v>
      </c>
      <c r="T102" s="5">
        <v>8</v>
      </c>
      <c r="U102" s="5">
        <v>15</v>
      </c>
      <c r="V102" s="5">
        <f t="shared" si="27"/>
        <v>23</v>
      </c>
      <c r="W102" s="4">
        <v>2</v>
      </c>
      <c r="AG102">
        <v>0</v>
      </c>
      <c r="AH102" s="14">
        <v>21.44480171489818</v>
      </c>
      <c r="AI102" s="14">
        <v>29.530546623794212</v>
      </c>
      <c r="AJ102" s="14">
        <v>50.975348338692392</v>
      </c>
      <c r="AK102" s="14">
        <v>15.995712754555198</v>
      </c>
      <c r="AL102" s="3" t="s">
        <v>65</v>
      </c>
    </row>
    <row r="103" spans="1:41">
      <c r="A103" s="6" t="s">
        <v>87</v>
      </c>
      <c r="B103" t="s">
        <v>100</v>
      </c>
      <c r="C103">
        <v>49</v>
      </c>
      <c r="D103" t="s">
        <v>35</v>
      </c>
      <c r="E103">
        <v>6</v>
      </c>
      <c r="F103">
        <v>4</v>
      </c>
      <c r="G103" s="1">
        <f t="shared" si="14"/>
        <v>76</v>
      </c>
      <c r="H103">
        <v>229</v>
      </c>
      <c r="I103">
        <v>1985</v>
      </c>
      <c r="J103">
        <v>2003</v>
      </c>
      <c r="K103" s="1">
        <f t="shared" si="15"/>
        <v>18</v>
      </c>
      <c r="L103" t="s">
        <v>42</v>
      </c>
      <c r="M103" t="s">
        <v>43</v>
      </c>
      <c r="N103" s="2">
        <v>70</v>
      </c>
      <c r="O103" s="5">
        <v>2</v>
      </c>
      <c r="P103" s="5">
        <v>16</v>
      </c>
      <c r="Q103" s="5">
        <f t="shared" si="16"/>
        <v>18</v>
      </c>
      <c r="R103" s="4">
        <v>167</v>
      </c>
      <c r="S103" s="2">
        <v>52</v>
      </c>
      <c r="T103" s="5">
        <v>9</v>
      </c>
      <c r="U103" s="5">
        <v>33</v>
      </c>
      <c r="V103" s="3">
        <f t="shared" si="27"/>
        <v>42</v>
      </c>
      <c r="W103" s="4">
        <v>87</v>
      </c>
      <c r="X103">
        <f>O103/N103</f>
        <v>2.8571428571428571E-2</v>
      </c>
      <c r="Y103">
        <f>T103/S103</f>
        <v>0.17307692307692307</v>
      </c>
      <c r="Z103">
        <f>X103-Y103</f>
        <v>-0.14450549450549449</v>
      </c>
      <c r="AA103">
        <f>P103/N103</f>
        <v>0.22857142857142856</v>
      </c>
      <c r="AB103">
        <f>U103/S103</f>
        <v>0.63461538461538458</v>
      </c>
      <c r="AC103">
        <f>AA103-AB103</f>
        <v>-0.40604395604395604</v>
      </c>
      <c r="AD103">
        <f>Q103/N103</f>
        <v>0.25714285714285712</v>
      </c>
      <c r="AE103">
        <f>V103/S103</f>
        <v>0.80769230769230771</v>
      </c>
      <c r="AF103">
        <f>AD103-AE103</f>
        <v>-0.55054945054945059</v>
      </c>
      <c r="AG103">
        <v>1</v>
      </c>
      <c r="AH103" s="14">
        <v>18.097148891235481</v>
      </c>
      <c r="AI103" s="14">
        <v>29.61351636747624</v>
      </c>
      <c r="AJ103" s="14">
        <v>47.710665258711721</v>
      </c>
      <c r="AK103" s="14">
        <v>57.148891235480463</v>
      </c>
      <c r="AL103" s="5" t="s">
        <v>599</v>
      </c>
      <c r="AM103" s="22">
        <v>106</v>
      </c>
      <c r="AN103" s="22">
        <v>505</v>
      </c>
      <c r="AO103">
        <f>AM103/AN103</f>
        <v>0.20990099009900989</v>
      </c>
    </row>
    <row r="104" spans="1:41">
      <c r="A104" t="s">
        <v>539</v>
      </c>
      <c r="B104" t="s">
        <v>546</v>
      </c>
      <c r="C104">
        <v>17</v>
      </c>
      <c r="D104" t="s">
        <v>37</v>
      </c>
      <c r="E104">
        <v>6</v>
      </c>
      <c r="F104">
        <v>2</v>
      </c>
      <c r="G104" s="1">
        <f t="shared" si="14"/>
        <v>74</v>
      </c>
      <c r="H104">
        <v>215</v>
      </c>
      <c r="I104">
        <v>1993</v>
      </c>
      <c r="J104">
        <v>2012</v>
      </c>
      <c r="K104" s="1">
        <f t="shared" si="15"/>
        <v>19</v>
      </c>
      <c r="L104" t="s">
        <v>41</v>
      </c>
      <c r="M104" t="s">
        <v>44</v>
      </c>
      <c r="N104" s="2">
        <v>38</v>
      </c>
      <c r="O104" s="5">
        <v>12</v>
      </c>
      <c r="P104" s="5">
        <v>13</v>
      </c>
      <c r="Q104" s="5">
        <f t="shared" si="16"/>
        <v>25</v>
      </c>
      <c r="R104" s="4">
        <v>22</v>
      </c>
      <c r="S104" s="2">
        <v>1</v>
      </c>
      <c r="T104" s="5">
        <v>0</v>
      </c>
      <c r="U104" s="5">
        <v>0</v>
      </c>
      <c r="V104" s="5">
        <f t="shared" si="27"/>
        <v>0</v>
      </c>
      <c r="W104" s="4">
        <v>0</v>
      </c>
      <c r="AG104">
        <v>0</v>
      </c>
      <c r="AH104" s="14">
        <v>24.196721311475407</v>
      </c>
      <c r="AI104" s="14">
        <v>26.693208430913348</v>
      </c>
      <c r="AJ104" s="14">
        <v>50.889929742388759</v>
      </c>
      <c r="AK104" s="14">
        <v>25.156908665105384</v>
      </c>
      <c r="AL104" s="5" t="s">
        <v>607</v>
      </c>
    </row>
    <row r="105" spans="1:41">
      <c r="A105" s="6" t="s">
        <v>69</v>
      </c>
      <c r="B105" t="s">
        <v>70</v>
      </c>
      <c r="C105">
        <v>1</v>
      </c>
      <c r="D105" t="s">
        <v>65</v>
      </c>
      <c r="E105">
        <v>6</v>
      </c>
      <c r="F105">
        <v>3</v>
      </c>
      <c r="G105" s="1">
        <f t="shared" si="14"/>
        <v>75</v>
      </c>
      <c r="H105">
        <v>186</v>
      </c>
      <c r="I105">
        <v>2000</v>
      </c>
      <c r="J105">
        <v>2018</v>
      </c>
      <c r="K105" s="1">
        <f t="shared" si="15"/>
        <v>18</v>
      </c>
      <c r="L105" t="s">
        <v>42</v>
      </c>
      <c r="M105" t="s">
        <v>44</v>
      </c>
      <c r="N105" s="2">
        <f>10+2+5+1+41+7</f>
        <v>66</v>
      </c>
      <c r="O105" s="3">
        <f>8</f>
        <v>8</v>
      </c>
      <c r="P105" s="3">
        <v>30</v>
      </c>
      <c r="Q105" s="3">
        <f t="shared" si="16"/>
        <v>38</v>
      </c>
      <c r="R105" s="4">
        <v>36</v>
      </c>
      <c r="S105" s="2">
        <v>58</v>
      </c>
      <c r="T105" s="5">
        <v>14</v>
      </c>
      <c r="U105" s="5">
        <v>17</v>
      </c>
      <c r="V105" s="3">
        <f t="shared" si="27"/>
        <v>31</v>
      </c>
      <c r="W105" s="4">
        <v>84</v>
      </c>
      <c r="X105">
        <f>O105/N105</f>
        <v>0.12121212121212122</v>
      </c>
      <c r="Y105">
        <f>T105/S105</f>
        <v>0.2413793103448276</v>
      </c>
      <c r="Z105">
        <f>X105-Y105</f>
        <v>-0.12016718913270638</v>
      </c>
      <c r="AA105">
        <f>P105/N105</f>
        <v>0.45454545454545453</v>
      </c>
      <c r="AB105">
        <f>U105/S105</f>
        <v>0.29310344827586204</v>
      </c>
      <c r="AC105">
        <f>AA105-AB105</f>
        <v>0.16144200626959249</v>
      </c>
      <c r="AD105">
        <f>Q105/N105</f>
        <v>0.5757575757575758</v>
      </c>
      <c r="AE105">
        <f>V105/S105</f>
        <v>0.53448275862068961</v>
      </c>
      <c r="AF105">
        <f>AD105-AE105</f>
        <v>4.1274817136886188E-2</v>
      </c>
      <c r="AG105">
        <v>1</v>
      </c>
      <c r="AH105" s="14">
        <v>7.9611650485436893</v>
      </c>
      <c r="AI105" s="14">
        <v>37.417475728155338</v>
      </c>
      <c r="AJ105" s="14">
        <v>45.378640776699029</v>
      </c>
      <c r="AK105" s="14">
        <v>41.398058252427184</v>
      </c>
      <c r="AL105" s="3" t="s">
        <v>65</v>
      </c>
      <c r="AM105" s="22">
        <v>98</v>
      </c>
      <c r="AN105" s="22">
        <v>909</v>
      </c>
      <c r="AO105">
        <f t="shared" ref="AO105:AO106" si="28">AM105/AN105</f>
        <v>0.10781078107810781</v>
      </c>
    </row>
    <row r="106" spans="1:41">
      <c r="A106" t="s">
        <v>576</v>
      </c>
      <c r="B106" t="s">
        <v>581</v>
      </c>
      <c r="C106">
        <v>2</v>
      </c>
      <c r="D106" t="s">
        <v>35</v>
      </c>
      <c r="E106">
        <v>6</v>
      </c>
      <c r="F106">
        <v>1</v>
      </c>
      <c r="G106" s="1">
        <f t="shared" si="14"/>
        <v>73</v>
      </c>
      <c r="H106">
        <v>202</v>
      </c>
      <c r="I106">
        <v>1989</v>
      </c>
      <c r="J106">
        <v>2008</v>
      </c>
      <c r="K106" s="1">
        <f t="shared" si="15"/>
        <v>19</v>
      </c>
      <c r="L106" t="s">
        <v>42</v>
      </c>
      <c r="M106" t="s">
        <v>43</v>
      </c>
      <c r="N106" s="2">
        <v>65</v>
      </c>
      <c r="O106" s="5">
        <v>13</v>
      </c>
      <c r="P106" s="5">
        <v>41</v>
      </c>
      <c r="Q106" s="5">
        <f t="shared" si="16"/>
        <v>54</v>
      </c>
      <c r="R106" s="4">
        <v>68</v>
      </c>
      <c r="S106" s="2">
        <v>73</v>
      </c>
      <c r="T106" s="5">
        <v>23</v>
      </c>
      <c r="U106" s="5">
        <v>56</v>
      </c>
      <c r="V106" s="5">
        <f t="shared" si="27"/>
        <v>79</v>
      </c>
      <c r="W106" s="4">
        <v>84</v>
      </c>
      <c r="AG106">
        <v>1</v>
      </c>
      <c r="AH106" s="14">
        <v>10.777142857142856</v>
      </c>
      <c r="AI106" s="14">
        <v>34.580571428571425</v>
      </c>
      <c r="AJ106" s="14">
        <v>45.35771428571428</v>
      </c>
      <c r="AK106" s="14">
        <v>56.884571428571427</v>
      </c>
      <c r="AL106" s="3" t="s">
        <v>600</v>
      </c>
      <c r="AM106" s="22">
        <v>97</v>
      </c>
      <c r="AN106" s="22">
        <v>1101</v>
      </c>
      <c r="AO106">
        <f t="shared" si="28"/>
        <v>8.8101725703905537E-2</v>
      </c>
    </row>
    <row r="107" spans="1:41">
      <c r="A107" t="s">
        <v>251</v>
      </c>
      <c r="B107" t="s">
        <v>262</v>
      </c>
      <c r="C107">
        <v>121</v>
      </c>
      <c r="D107" t="s">
        <v>65</v>
      </c>
      <c r="E107">
        <v>5</v>
      </c>
      <c r="F107">
        <v>11</v>
      </c>
      <c r="G107" s="1">
        <f t="shared" si="14"/>
        <v>71</v>
      </c>
      <c r="H107">
        <v>179</v>
      </c>
      <c r="I107">
        <v>1989</v>
      </c>
      <c r="J107">
        <v>2008</v>
      </c>
      <c r="K107" s="1">
        <f t="shared" si="15"/>
        <v>19</v>
      </c>
      <c r="L107" t="s">
        <v>41</v>
      </c>
      <c r="M107" t="s">
        <v>44</v>
      </c>
      <c r="N107" s="2">
        <v>24</v>
      </c>
      <c r="O107" s="5">
        <v>11</v>
      </c>
      <c r="P107" s="5">
        <v>20</v>
      </c>
      <c r="Q107" s="5">
        <f t="shared" si="16"/>
        <v>31</v>
      </c>
      <c r="R107" s="4">
        <v>20</v>
      </c>
      <c r="S107" s="2">
        <v>42</v>
      </c>
      <c r="T107" s="5">
        <v>21</v>
      </c>
      <c r="U107" s="5">
        <v>23</v>
      </c>
      <c r="V107" s="5">
        <f t="shared" si="27"/>
        <v>44</v>
      </c>
      <c r="W107" s="4">
        <v>57</v>
      </c>
      <c r="X107">
        <f>O107/N107</f>
        <v>0.45833333333333331</v>
      </c>
      <c r="Y107">
        <f>T107/S107</f>
        <v>0.5</v>
      </c>
      <c r="Z107">
        <f>X107-Y107</f>
        <v>-4.1666666666666685E-2</v>
      </c>
      <c r="AA107">
        <f>P107/N107</f>
        <v>0.83333333333333337</v>
      </c>
      <c r="AB107">
        <f>U107/S107</f>
        <v>0.54761904761904767</v>
      </c>
      <c r="AC107">
        <f>AA107-AB107</f>
        <v>0.2857142857142857</v>
      </c>
      <c r="AD107">
        <f>Q107/N107</f>
        <v>1.2916666666666667</v>
      </c>
      <c r="AE107">
        <f>V107/S107</f>
        <v>1.0476190476190477</v>
      </c>
      <c r="AF107">
        <f>AD107-AE107</f>
        <v>0.24404761904761907</v>
      </c>
      <c r="AG107">
        <v>0</v>
      </c>
      <c r="AH107" s="14">
        <v>21.130769230769229</v>
      </c>
      <c r="AI107" s="14">
        <v>29.015384615384615</v>
      </c>
      <c r="AJ107" s="14">
        <v>50.146153846153844</v>
      </c>
      <c r="AK107" s="14">
        <v>21.130769230769229</v>
      </c>
      <c r="AL107" s="3" t="s">
        <v>65</v>
      </c>
    </row>
    <row r="108" spans="1:41">
      <c r="A108" s="6" t="s">
        <v>102</v>
      </c>
      <c r="B108" t="s">
        <v>106</v>
      </c>
      <c r="C108">
        <v>1</v>
      </c>
      <c r="D108" t="s">
        <v>35</v>
      </c>
      <c r="E108">
        <v>6</v>
      </c>
      <c r="F108">
        <v>4</v>
      </c>
      <c r="G108" s="1">
        <f t="shared" si="14"/>
        <v>76</v>
      </c>
      <c r="H108">
        <v>220</v>
      </c>
      <c r="I108">
        <v>1996</v>
      </c>
      <c r="J108">
        <v>2014</v>
      </c>
      <c r="K108" s="1">
        <f t="shared" si="15"/>
        <v>18</v>
      </c>
      <c r="L108" t="s">
        <v>42</v>
      </c>
      <c r="M108" t="s">
        <v>43</v>
      </c>
      <c r="N108" s="2">
        <f>5+58+2+7</f>
        <v>72</v>
      </c>
      <c r="O108" s="3">
        <f>26</f>
        <v>26</v>
      </c>
      <c r="P108" s="5">
        <v>34</v>
      </c>
      <c r="Q108" s="5">
        <f t="shared" si="16"/>
        <v>60</v>
      </c>
      <c r="R108" s="4">
        <v>97</v>
      </c>
      <c r="V108" s="5">
        <f t="shared" si="27"/>
        <v>0</v>
      </c>
      <c r="X108">
        <f>O108/N108</f>
        <v>0.3611111111111111</v>
      </c>
      <c r="Y108" t="e">
        <f>T108/S108</f>
        <v>#DIV/0!</v>
      </c>
      <c r="Z108" t="e">
        <f>X108-Y108</f>
        <v>#DIV/0!</v>
      </c>
      <c r="AA108">
        <f>P108/N108</f>
        <v>0.47222222222222221</v>
      </c>
      <c r="AB108" t="e">
        <f>U108/S108</f>
        <v>#DIV/0!</v>
      </c>
      <c r="AC108" t="e">
        <f>AA108-AB108</f>
        <v>#DIV/0!</v>
      </c>
      <c r="AD108">
        <f>Q108/N108</f>
        <v>0.83333333333333337</v>
      </c>
      <c r="AE108" t="e">
        <f>V108/S108</f>
        <v>#DIV/0!</v>
      </c>
      <c r="AF108" t="e">
        <f>AD108-AE108</f>
        <v>#DIV/0!</v>
      </c>
      <c r="AG108">
        <v>1</v>
      </c>
      <c r="AH108" s="14">
        <v>13.5669099756691</v>
      </c>
      <c r="AI108" s="14">
        <v>22.545012165450121</v>
      </c>
      <c r="AJ108" s="14">
        <v>36.111922141119223</v>
      </c>
      <c r="AK108" s="14">
        <v>51.274939172749392</v>
      </c>
      <c r="AL108" s="3" t="s">
        <v>600</v>
      </c>
      <c r="AM108" s="22">
        <v>96</v>
      </c>
      <c r="AN108" s="22">
        <v>717</v>
      </c>
      <c r="AO108">
        <f>AM108/AN108</f>
        <v>0.13389121338912133</v>
      </c>
    </row>
    <row r="109" spans="1:41">
      <c r="A109" t="s">
        <v>478</v>
      </c>
      <c r="B109" t="s">
        <v>497</v>
      </c>
      <c r="C109">
        <v>20</v>
      </c>
      <c r="D109" t="s">
        <v>34</v>
      </c>
      <c r="E109">
        <v>6</v>
      </c>
      <c r="F109">
        <v>0</v>
      </c>
      <c r="G109" s="1">
        <f t="shared" si="14"/>
        <v>72</v>
      </c>
      <c r="H109">
        <v>177</v>
      </c>
      <c r="I109">
        <v>1996</v>
      </c>
      <c r="J109">
        <v>2014</v>
      </c>
      <c r="K109" s="1">
        <f t="shared" si="15"/>
        <v>18</v>
      </c>
      <c r="L109" t="s">
        <v>41</v>
      </c>
      <c r="M109" t="s">
        <v>43</v>
      </c>
      <c r="N109" s="2">
        <f>4+5+2+55</f>
        <v>66</v>
      </c>
      <c r="O109" s="3">
        <f>4+5+18</f>
        <v>27</v>
      </c>
      <c r="P109" s="3">
        <f>8+3+45</f>
        <v>56</v>
      </c>
      <c r="Q109" s="5">
        <f t="shared" si="16"/>
        <v>83</v>
      </c>
      <c r="R109" s="4">
        <f>2+16</f>
        <v>18</v>
      </c>
      <c r="S109" s="2">
        <f>64</f>
        <v>64</v>
      </c>
      <c r="T109" s="5">
        <v>18</v>
      </c>
      <c r="U109" s="5">
        <v>34</v>
      </c>
      <c r="V109" s="5">
        <f t="shared" si="27"/>
        <v>52</v>
      </c>
      <c r="W109" s="4">
        <v>15</v>
      </c>
      <c r="AG109">
        <v>0</v>
      </c>
      <c r="AH109" s="14">
        <v>15.425742574257427</v>
      </c>
      <c r="AI109" s="14">
        <v>34.504950495049506</v>
      </c>
      <c r="AJ109" s="14">
        <v>49.930693069306933</v>
      </c>
      <c r="AK109" s="14">
        <v>14.613861386138614</v>
      </c>
      <c r="AL109" s="3" t="s">
        <v>608</v>
      </c>
    </row>
    <row r="110" spans="1:41">
      <c r="A110" s="6" t="s">
        <v>87</v>
      </c>
      <c r="B110" t="s">
        <v>91</v>
      </c>
      <c r="C110">
        <v>147</v>
      </c>
      <c r="D110" t="s">
        <v>35</v>
      </c>
      <c r="E110">
        <v>5</v>
      </c>
      <c r="F110">
        <v>9</v>
      </c>
      <c r="G110" s="1">
        <f t="shared" si="14"/>
        <v>69</v>
      </c>
      <c r="H110">
        <v>186</v>
      </c>
      <c r="I110">
        <v>1992</v>
      </c>
      <c r="J110">
        <v>2010</v>
      </c>
      <c r="K110" s="1">
        <f t="shared" si="15"/>
        <v>18</v>
      </c>
      <c r="L110" t="s">
        <v>41</v>
      </c>
      <c r="M110" t="s">
        <v>43</v>
      </c>
      <c r="N110" s="2">
        <v>72</v>
      </c>
      <c r="O110" s="5">
        <v>41</v>
      </c>
      <c r="P110" s="5">
        <v>40</v>
      </c>
      <c r="Q110" s="5">
        <f t="shared" si="16"/>
        <v>81</v>
      </c>
      <c r="R110" s="4">
        <v>111</v>
      </c>
      <c r="S110" s="2">
        <v>52</v>
      </c>
      <c r="T110" s="5">
        <v>10</v>
      </c>
      <c r="U110" s="5">
        <v>21</v>
      </c>
      <c r="V110" s="3">
        <f t="shared" si="27"/>
        <v>31</v>
      </c>
      <c r="W110" s="4">
        <v>61</v>
      </c>
      <c r="X110">
        <f>O110/N110</f>
        <v>0.56944444444444442</v>
      </c>
      <c r="Y110">
        <f>T110/S110</f>
        <v>0.19230769230769232</v>
      </c>
      <c r="Z110">
        <f>X110-Y110</f>
        <v>0.37713675213675213</v>
      </c>
      <c r="AA110">
        <f>P110/N110</f>
        <v>0.55555555555555558</v>
      </c>
      <c r="AB110">
        <f>U110/S110</f>
        <v>0.40384615384615385</v>
      </c>
      <c r="AC110">
        <f>AA110-AB110</f>
        <v>0.15170940170940173</v>
      </c>
      <c r="AD110">
        <f>Q110/N110</f>
        <v>1.125</v>
      </c>
      <c r="AE110">
        <f>V110/S110</f>
        <v>0.59615384615384615</v>
      </c>
      <c r="AF110">
        <f>AD110-AE110</f>
        <v>0.52884615384615385</v>
      </c>
      <c r="AG110">
        <v>0</v>
      </c>
      <c r="AH110" s="14">
        <v>25.725490196078432</v>
      </c>
      <c r="AI110" s="14">
        <v>23.79607843137255</v>
      </c>
      <c r="AJ110" s="14">
        <v>49.521568627450982</v>
      </c>
      <c r="AK110" s="14">
        <v>45.501960784313731</v>
      </c>
      <c r="AL110" s="5" t="s">
        <v>599</v>
      </c>
    </row>
    <row r="111" spans="1:41">
      <c r="A111" t="s">
        <v>188</v>
      </c>
      <c r="B111" t="s">
        <v>198</v>
      </c>
      <c r="C111">
        <v>152</v>
      </c>
      <c r="D111" t="s">
        <v>34</v>
      </c>
      <c r="E111">
        <v>6</v>
      </c>
      <c r="F111">
        <v>3</v>
      </c>
      <c r="G111" s="1">
        <f t="shared" si="14"/>
        <v>75</v>
      </c>
      <c r="H111">
        <v>231</v>
      </c>
      <c r="I111">
        <v>1990</v>
      </c>
      <c r="J111">
        <v>2009</v>
      </c>
      <c r="K111" s="1">
        <f t="shared" si="15"/>
        <v>19</v>
      </c>
      <c r="L111" t="s">
        <v>41</v>
      </c>
      <c r="M111" t="s">
        <v>44</v>
      </c>
      <c r="N111" s="2">
        <v>49</v>
      </c>
      <c r="O111" s="5">
        <v>37</v>
      </c>
      <c r="P111" s="5">
        <v>76</v>
      </c>
      <c r="Q111" s="5">
        <f t="shared" si="16"/>
        <v>113</v>
      </c>
      <c r="R111" s="4">
        <v>30</v>
      </c>
      <c r="S111" s="2">
        <v>31</v>
      </c>
      <c r="T111" s="5">
        <v>32</v>
      </c>
      <c r="U111" s="5">
        <v>22</v>
      </c>
      <c r="V111" s="5">
        <f t="shared" si="27"/>
        <v>54</v>
      </c>
      <c r="W111" s="4">
        <v>0</v>
      </c>
      <c r="X111">
        <f>O111/N111</f>
        <v>0.75510204081632648</v>
      </c>
      <c r="Y111">
        <f>T111/S111</f>
        <v>1.032258064516129</v>
      </c>
      <c r="Z111">
        <f>X111-Y111</f>
        <v>-0.27715602369980252</v>
      </c>
      <c r="AA111">
        <f>P111/N111</f>
        <v>1.5510204081632653</v>
      </c>
      <c r="AB111">
        <f>U111/S111</f>
        <v>0.70967741935483875</v>
      </c>
      <c r="AC111">
        <f>AA111-AB111</f>
        <v>0.84134298880842651</v>
      </c>
      <c r="AD111">
        <f>Q111/N111</f>
        <v>2.306122448979592</v>
      </c>
      <c r="AE111">
        <f>V111/S111</f>
        <v>1.7419354838709677</v>
      </c>
      <c r="AF111">
        <f>AD111-AE111</f>
        <v>0.56418696510862421</v>
      </c>
      <c r="AG111">
        <v>0</v>
      </c>
      <c r="AH111" s="14">
        <v>28.995495495495497</v>
      </c>
      <c r="AI111" s="14">
        <v>20.5</v>
      </c>
      <c r="AJ111" s="14">
        <v>49.495495495495497</v>
      </c>
      <c r="AK111" s="14">
        <v>48.387387387387385</v>
      </c>
      <c r="AL111" s="5" t="s">
        <v>603</v>
      </c>
    </row>
    <row r="112" spans="1:41">
      <c r="A112" s="6" t="s">
        <v>148</v>
      </c>
      <c r="B112" t="s">
        <v>151</v>
      </c>
      <c r="C112">
        <v>58</v>
      </c>
      <c r="D112" t="s">
        <v>35</v>
      </c>
      <c r="E112">
        <v>6</v>
      </c>
      <c r="F112">
        <v>1</v>
      </c>
      <c r="G112" s="1">
        <f t="shared" si="14"/>
        <v>73</v>
      </c>
      <c r="H112">
        <v>199</v>
      </c>
      <c r="I112">
        <v>1995</v>
      </c>
      <c r="J112">
        <v>2013</v>
      </c>
      <c r="K112" s="1">
        <f t="shared" si="15"/>
        <v>18</v>
      </c>
      <c r="L112" t="s">
        <v>41</v>
      </c>
      <c r="M112" t="s">
        <v>44</v>
      </c>
      <c r="N112" s="2">
        <v>43</v>
      </c>
      <c r="O112" s="5">
        <v>13</v>
      </c>
      <c r="P112" s="5">
        <v>9</v>
      </c>
      <c r="Q112" s="5">
        <f t="shared" si="16"/>
        <v>22</v>
      </c>
      <c r="R112" s="4">
        <v>68</v>
      </c>
      <c r="S112" s="2">
        <v>61</v>
      </c>
      <c r="T112" s="5">
        <v>6</v>
      </c>
      <c r="U112" s="5">
        <v>11</v>
      </c>
      <c r="V112" s="5">
        <f t="shared" si="27"/>
        <v>17</v>
      </c>
      <c r="W112" s="4">
        <v>117</v>
      </c>
      <c r="X112">
        <f>O112/N112</f>
        <v>0.30232558139534882</v>
      </c>
      <c r="Y112">
        <f>T112/S112</f>
        <v>9.8360655737704916E-2</v>
      </c>
      <c r="Z112">
        <f>X112-Y112</f>
        <v>0.2039649256576439</v>
      </c>
      <c r="AA112">
        <f>P112/N112</f>
        <v>0.20930232558139536</v>
      </c>
      <c r="AB112">
        <f>U112/S112</f>
        <v>0.18032786885245902</v>
      </c>
      <c r="AC112">
        <f>AA112-AB112</f>
        <v>2.8974456728936338E-2</v>
      </c>
      <c r="AD112">
        <f>Q112/N112</f>
        <v>0.51162790697674421</v>
      </c>
      <c r="AE112">
        <f>V112/S112</f>
        <v>0.27868852459016391</v>
      </c>
      <c r="AF112">
        <f>AD112-AE112</f>
        <v>0.2329393823865803</v>
      </c>
      <c r="AG112">
        <v>0</v>
      </c>
      <c r="AH112" s="14">
        <v>19.549668874172184</v>
      </c>
      <c r="AI112" s="14">
        <v>29.867549668874172</v>
      </c>
      <c r="AJ112" s="14">
        <v>49.41721854304636</v>
      </c>
      <c r="AK112" s="14">
        <v>43.986754966887418</v>
      </c>
      <c r="AL112" s="3" t="s">
        <v>600</v>
      </c>
    </row>
    <row r="113" spans="1:41">
      <c r="A113" t="s">
        <v>204</v>
      </c>
      <c r="B113" t="s">
        <v>208</v>
      </c>
      <c r="C113">
        <v>3</v>
      </c>
      <c r="D113" t="s">
        <v>34</v>
      </c>
      <c r="E113">
        <v>6</v>
      </c>
      <c r="F113">
        <v>1</v>
      </c>
      <c r="G113" s="1">
        <f t="shared" si="14"/>
        <v>73</v>
      </c>
      <c r="H113">
        <v>207</v>
      </c>
      <c r="I113">
        <v>1994</v>
      </c>
      <c r="J113">
        <v>2012</v>
      </c>
      <c r="K113" s="1">
        <f t="shared" si="15"/>
        <v>18</v>
      </c>
      <c r="L113" t="s">
        <v>41</v>
      </c>
      <c r="M113" t="s">
        <v>44</v>
      </c>
      <c r="N113" s="2">
        <v>2</v>
      </c>
      <c r="O113" s="5">
        <v>0</v>
      </c>
      <c r="P113" s="5">
        <v>0</v>
      </c>
      <c r="Q113" s="5">
        <f t="shared" si="16"/>
        <v>0</v>
      </c>
      <c r="R113" s="4">
        <v>0</v>
      </c>
      <c r="S113" s="2">
        <v>68</v>
      </c>
      <c r="T113" s="5">
        <v>31</v>
      </c>
      <c r="U113" s="5">
        <v>52</v>
      </c>
      <c r="V113" s="5">
        <f t="shared" si="27"/>
        <v>83</v>
      </c>
      <c r="W113" s="4">
        <v>52</v>
      </c>
      <c r="X113">
        <f>O113/N113</f>
        <v>0</v>
      </c>
      <c r="Y113">
        <f>T113/S113</f>
        <v>0.45588235294117646</v>
      </c>
      <c r="Z113">
        <f>X113-Y113</f>
        <v>-0.45588235294117646</v>
      </c>
      <c r="AA113">
        <f>P113/N113</f>
        <v>0</v>
      </c>
      <c r="AB113">
        <f>U113/S113</f>
        <v>0.76470588235294112</v>
      </c>
      <c r="AC113">
        <f>AA113-AB113</f>
        <v>-0.76470588235294112</v>
      </c>
      <c r="AD113">
        <f>Q113/N113</f>
        <v>0</v>
      </c>
      <c r="AE113">
        <f>V113/S113</f>
        <v>1.2205882352941178</v>
      </c>
      <c r="AF113">
        <f>AD113-AE113</f>
        <v>-1.2205882352941178</v>
      </c>
      <c r="AG113">
        <v>0</v>
      </c>
      <c r="AH113" s="14">
        <v>20.703777335984096</v>
      </c>
      <c r="AI113" s="14">
        <v>28.528827037773361</v>
      </c>
      <c r="AJ113" s="14">
        <v>49.232604373757454</v>
      </c>
      <c r="AK113" s="14">
        <v>30.159045725646124</v>
      </c>
      <c r="AL113" s="5" t="s">
        <v>600</v>
      </c>
    </row>
    <row r="114" spans="1:41">
      <c r="A114" t="s">
        <v>220</v>
      </c>
      <c r="B114" t="s">
        <v>222</v>
      </c>
      <c r="C114">
        <v>8</v>
      </c>
      <c r="D114" t="s">
        <v>34</v>
      </c>
      <c r="E114">
        <v>6</v>
      </c>
      <c r="F114">
        <v>3</v>
      </c>
      <c r="G114" s="1">
        <f t="shared" si="14"/>
        <v>75</v>
      </c>
      <c r="H114">
        <v>211</v>
      </c>
      <c r="I114">
        <v>1992</v>
      </c>
      <c r="J114">
        <v>2011</v>
      </c>
      <c r="K114" s="1">
        <f t="shared" si="15"/>
        <v>19</v>
      </c>
      <c r="L114" t="s">
        <v>41</v>
      </c>
      <c r="M114" t="s">
        <v>44</v>
      </c>
      <c r="N114" s="2">
        <v>65</v>
      </c>
      <c r="O114" s="5">
        <v>38</v>
      </c>
      <c r="P114" s="5">
        <v>61</v>
      </c>
      <c r="Q114" s="5">
        <f t="shared" si="16"/>
        <v>99</v>
      </c>
      <c r="R114" s="4">
        <v>36</v>
      </c>
      <c r="S114" s="2">
        <v>68</v>
      </c>
      <c r="T114" s="5">
        <v>41</v>
      </c>
      <c r="U114" s="5">
        <v>55</v>
      </c>
      <c r="V114" s="5">
        <f t="shared" si="27"/>
        <v>96</v>
      </c>
      <c r="W114" s="4">
        <v>47</v>
      </c>
      <c r="X114">
        <f>O114/N114</f>
        <v>0.58461538461538465</v>
      </c>
      <c r="Y114">
        <f>T114/S114</f>
        <v>0.6029411764705882</v>
      </c>
      <c r="Z114">
        <f>X114-Y114</f>
        <v>-1.8325791855203555E-2</v>
      </c>
      <c r="AA114">
        <f>P114/N114</f>
        <v>0.93846153846153846</v>
      </c>
      <c r="AB114">
        <f>U114/S114</f>
        <v>0.80882352941176472</v>
      </c>
      <c r="AC114">
        <f>AA114-AB114</f>
        <v>0.12963800904977374</v>
      </c>
      <c r="AD114">
        <f>Q114/N114</f>
        <v>1.523076923076923</v>
      </c>
      <c r="AE114">
        <f>V114/S114</f>
        <v>1.411764705882353</v>
      </c>
      <c r="AF114">
        <f>AD114-AE114</f>
        <v>0.11131221719456996</v>
      </c>
      <c r="AG114">
        <v>0</v>
      </c>
      <c r="AH114" s="14">
        <v>19.165275459098499</v>
      </c>
      <c r="AI114" s="14">
        <v>29.843071786310521</v>
      </c>
      <c r="AJ114" s="14">
        <v>49.00834724540902</v>
      </c>
      <c r="AK114" s="14">
        <v>32.4440734557596</v>
      </c>
      <c r="AL114" s="5" t="s">
        <v>614</v>
      </c>
    </row>
    <row r="115" spans="1:41">
      <c r="A115" t="s">
        <v>510</v>
      </c>
      <c r="B115" t="s">
        <v>524</v>
      </c>
      <c r="C115">
        <v>69</v>
      </c>
      <c r="D115" t="s">
        <v>35</v>
      </c>
      <c r="E115">
        <v>6</v>
      </c>
      <c r="F115">
        <v>0</v>
      </c>
      <c r="G115" s="1">
        <f t="shared" si="14"/>
        <v>72</v>
      </c>
      <c r="H115">
        <v>185</v>
      </c>
      <c r="I115">
        <v>1991</v>
      </c>
      <c r="J115">
        <v>2009</v>
      </c>
      <c r="K115" s="1">
        <f t="shared" si="15"/>
        <v>18</v>
      </c>
      <c r="L115" t="s">
        <v>41</v>
      </c>
      <c r="M115" t="s">
        <v>44</v>
      </c>
      <c r="N115" s="2">
        <v>49</v>
      </c>
      <c r="O115" s="5">
        <v>27</v>
      </c>
      <c r="P115" s="5">
        <v>48</v>
      </c>
      <c r="Q115" s="5">
        <f t="shared" si="16"/>
        <v>75</v>
      </c>
      <c r="R115" s="4">
        <v>44</v>
      </c>
      <c r="S115" s="2">
        <v>83</v>
      </c>
      <c r="T115" s="5">
        <v>82</v>
      </c>
      <c r="U115" s="5">
        <v>84</v>
      </c>
      <c r="V115" s="5">
        <f t="shared" si="27"/>
        <v>166</v>
      </c>
      <c r="W115" s="4">
        <v>78</v>
      </c>
      <c r="AG115">
        <v>0</v>
      </c>
      <c r="AH115" s="14">
        <v>19.612052730696799</v>
      </c>
      <c r="AI115" s="14">
        <v>29.340866290018834</v>
      </c>
      <c r="AJ115" s="14">
        <v>48.952919020715633</v>
      </c>
      <c r="AK115" s="14">
        <v>20.693032015065913</v>
      </c>
      <c r="AL115" s="3" t="s">
        <v>625</v>
      </c>
    </row>
    <row r="116" spans="1:41">
      <c r="A116" t="s">
        <v>266</v>
      </c>
      <c r="B116" t="s">
        <v>268</v>
      </c>
      <c r="C116">
        <v>75</v>
      </c>
      <c r="D116" t="s">
        <v>66</v>
      </c>
      <c r="E116">
        <v>6</v>
      </c>
      <c r="F116">
        <v>3</v>
      </c>
      <c r="G116" s="1">
        <f t="shared" si="14"/>
        <v>75</v>
      </c>
      <c r="H116">
        <v>196</v>
      </c>
      <c r="I116">
        <v>1995</v>
      </c>
      <c r="J116">
        <v>2013</v>
      </c>
      <c r="K116" s="1">
        <f t="shared" si="15"/>
        <v>18</v>
      </c>
      <c r="L116" t="s">
        <v>41</v>
      </c>
      <c r="M116" t="s">
        <v>44</v>
      </c>
      <c r="N116" s="2">
        <f>12+7+4+24</f>
        <v>47</v>
      </c>
      <c r="O116" s="5">
        <v>15</v>
      </c>
      <c r="P116" s="5">
        <v>23</v>
      </c>
      <c r="Q116" s="5">
        <f t="shared" si="16"/>
        <v>38</v>
      </c>
      <c r="R116" s="4">
        <v>38</v>
      </c>
      <c r="S116" s="2">
        <v>50</v>
      </c>
      <c r="T116" s="5">
        <v>15</v>
      </c>
      <c r="U116" s="5">
        <v>30</v>
      </c>
      <c r="V116" s="5">
        <f t="shared" si="27"/>
        <v>45</v>
      </c>
      <c r="W116" s="4">
        <v>55</v>
      </c>
      <c r="X116">
        <f>O116/N116</f>
        <v>0.31914893617021278</v>
      </c>
      <c r="Y116">
        <f>T116/S116</f>
        <v>0.3</v>
      </c>
      <c r="Z116">
        <f>X116-Y116</f>
        <v>1.9148936170212794E-2</v>
      </c>
      <c r="AA116">
        <f>P116/N116</f>
        <v>0.48936170212765956</v>
      </c>
      <c r="AB116">
        <f>U116/S116</f>
        <v>0.6</v>
      </c>
      <c r="AC116">
        <f>AA116-AB116</f>
        <v>-0.11063829787234042</v>
      </c>
      <c r="AD116">
        <f>Q116/N116</f>
        <v>0.80851063829787229</v>
      </c>
      <c r="AE116">
        <f>V116/S116</f>
        <v>0.9</v>
      </c>
      <c r="AF116">
        <f>AD116-AE116</f>
        <v>-9.1489361702127736E-2</v>
      </c>
      <c r="AG116">
        <v>0</v>
      </c>
      <c r="AH116" s="14">
        <v>19.050505050505052</v>
      </c>
      <c r="AI116" s="14">
        <v>29.81818181818182</v>
      </c>
      <c r="AJ116" s="14">
        <v>48.868686868686872</v>
      </c>
      <c r="AK116" s="14">
        <v>22.363636363636363</v>
      </c>
      <c r="AL116" s="5" t="s">
        <v>66</v>
      </c>
    </row>
    <row r="117" spans="1:41">
      <c r="A117" t="s">
        <v>430</v>
      </c>
      <c r="B117" t="s">
        <v>439</v>
      </c>
      <c r="C117">
        <v>43</v>
      </c>
      <c r="D117" t="s">
        <v>34</v>
      </c>
      <c r="E117">
        <v>6</v>
      </c>
      <c r="F117">
        <v>1</v>
      </c>
      <c r="G117" s="1">
        <f t="shared" si="14"/>
        <v>73</v>
      </c>
      <c r="H117">
        <v>206</v>
      </c>
      <c r="I117">
        <v>1992</v>
      </c>
      <c r="J117">
        <v>2011</v>
      </c>
      <c r="K117" s="1">
        <f t="shared" si="15"/>
        <v>19</v>
      </c>
      <c r="L117" t="s">
        <v>41</v>
      </c>
      <c r="M117" t="s">
        <v>44</v>
      </c>
      <c r="N117" s="2">
        <v>59</v>
      </c>
      <c r="O117" s="5">
        <v>27</v>
      </c>
      <c r="P117" s="5">
        <v>28</v>
      </c>
      <c r="Q117" s="5">
        <f t="shared" si="16"/>
        <v>55</v>
      </c>
      <c r="R117" s="4">
        <v>47</v>
      </c>
      <c r="S117" s="2">
        <f>7+39+24</f>
        <v>70</v>
      </c>
      <c r="T117" s="3">
        <f>12+17+3</f>
        <v>32</v>
      </c>
      <c r="U117" s="5">
        <f>14+15+3</f>
        <v>32</v>
      </c>
      <c r="V117" s="5">
        <f t="shared" si="27"/>
        <v>64</v>
      </c>
      <c r="W117" s="4">
        <f>18+16+4</f>
        <v>38</v>
      </c>
      <c r="AG117">
        <v>0</v>
      </c>
      <c r="AH117" s="14">
        <v>22.876811594202898</v>
      </c>
      <c r="AI117" s="14">
        <v>25.69927536231884</v>
      </c>
      <c r="AJ117" s="14">
        <v>48.576086956521735</v>
      </c>
      <c r="AK117" s="14">
        <v>14.855072463768115</v>
      </c>
      <c r="AL117" s="3" t="s">
        <v>600</v>
      </c>
    </row>
    <row r="118" spans="1:41">
      <c r="A118" t="s">
        <v>283</v>
      </c>
      <c r="B118" t="s">
        <v>292</v>
      </c>
      <c r="C118">
        <v>26</v>
      </c>
      <c r="D118" t="s">
        <v>34</v>
      </c>
      <c r="E118">
        <v>5</v>
      </c>
      <c r="F118">
        <v>11</v>
      </c>
      <c r="G118" s="1">
        <f t="shared" si="14"/>
        <v>71</v>
      </c>
      <c r="H118">
        <v>185</v>
      </c>
      <c r="I118">
        <v>1991</v>
      </c>
      <c r="J118">
        <v>2009</v>
      </c>
      <c r="K118" s="1">
        <f t="shared" si="15"/>
        <v>18</v>
      </c>
      <c r="L118" t="s">
        <v>41</v>
      </c>
      <c r="M118" t="s">
        <v>43</v>
      </c>
      <c r="N118" s="2">
        <f>33</f>
        <v>33</v>
      </c>
      <c r="O118" s="5">
        <v>15</v>
      </c>
      <c r="P118" s="5">
        <v>15</v>
      </c>
      <c r="Q118" s="5">
        <f t="shared" si="16"/>
        <v>30</v>
      </c>
      <c r="R118" s="4">
        <v>51</v>
      </c>
      <c r="S118" s="2">
        <f>32+7+27+7</f>
        <v>73</v>
      </c>
      <c r="T118" s="3">
        <f>15+5+9+2</f>
        <v>31</v>
      </c>
      <c r="U118" s="3">
        <f>10+9+2</f>
        <v>21</v>
      </c>
      <c r="V118" s="5">
        <f t="shared" si="27"/>
        <v>52</v>
      </c>
      <c r="W118" s="4">
        <f>43+8+20+4</f>
        <v>75</v>
      </c>
      <c r="X118">
        <f>O118/N118</f>
        <v>0.45454545454545453</v>
      </c>
      <c r="Y118">
        <f>T118/S118</f>
        <v>0.42465753424657532</v>
      </c>
      <c r="Z118">
        <f>X118-Y118</f>
        <v>2.9887920298879211E-2</v>
      </c>
      <c r="AA118">
        <f>P118/N118</f>
        <v>0.45454545454545453</v>
      </c>
      <c r="AB118">
        <f>U118/S118</f>
        <v>0.28767123287671231</v>
      </c>
      <c r="AC118">
        <f>AA118-AB118</f>
        <v>0.16687422166874222</v>
      </c>
      <c r="AD118">
        <f>Q118/N118</f>
        <v>0.90909090909090906</v>
      </c>
      <c r="AE118">
        <f>V118/S118</f>
        <v>0.71232876712328763</v>
      </c>
      <c r="AF118">
        <f>AD118-AE118</f>
        <v>0.19676214196762143</v>
      </c>
      <c r="AG118">
        <v>0</v>
      </c>
      <c r="AH118" s="14">
        <v>24.949612403100776</v>
      </c>
      <c r="AI118" s="14">
        <v>23.519379844961239</v>
      </c>
      <c r="AJ118" s="14">
        <v>48.468992248062015</v>
      </c>
      <c r="AK118" s="14">
        <v>43.224806201550386</v>
      </c>
      <c r="AL118" s="3" t="s">
        <v>604</v>
      </c>
    </row>
    <row r="119" spans="1:41">
      <c r="A119" s="6" t="s">
        <v>17</v>
      </c>
      <c r="B119" t="s">
        <v>25</v>
      </c>
      <c r="C119">
        <v>14</v>
      </c>
      <c r="D119" t="s">
        <v>35</v>
      </c>
      <c r="E119">
        <v>6</v>
      </c>
      <c r="F119">
        <v>0</v>
      </c>
      <c r="G119" s="1">
        <f t="shared" si="14"/>
        <v>72</v>
      </c>
      <c r="H119">
        <v>188</v>
      </c>
      <c r="I119">
        <v>1996</v>
      </c>
      <c r="J119">
        <v>2015</v>
      </c>
      <c r="K119" s="1">
        <f t="shared" si="15"/>
        <v>19</v>
      </c>
      <c r="L119" t="s">
        <v>41</v>
      </c>
      <c r="M119" t="s">
        <v>44</v>
      </c>
      <c r="N119" s="2">
        <v>72</v>
      </c>
      <c r="O119" s="5">
        <v>42</v>
      </c>
      <c r="P119" s="5">
        <v>39</v>
      </c>
      <c r="Q119" s="3">
        <f t="shared" si="16"/>
        <v>81</v>
      </c>
      <c r="R119" s="4">
        <v>40</v>
      </c>
      <c r="S119" s="2">
        <v>72</v>
      </c>
      <c r="T119" s="5">
        <v>15</v>
      </c>
      <c r="U119" s="5">
        <v>24</v>
      </c>
      <c r="V119" s="3">
        <f t="shared" si="27"/>
        <v>39</v>
      </c>
      <c r="W119" s="4">
        <v>21</v>
      </c>
      <c r="X119">
        <f>O119/N119</f>
        <v>0.58333333333333337</v>
      </c>
      <c r="Y119">
        <f>T119/S119</f>
        <v>0.20833333333333334</v>
      </c>
      <c r="Z119">
        <f>X119-Y119</f>
        <v>0.375</v>
      </c>
      <c r="AA119">
        <f>P119/N119</f>
        <v>0.54166666666666663</v>
      </c>
      <c r="AB119">
        <f>U119/S119</f>
        <v>0.33333333333333331</v>
      </c>
      <c r="AC119">
        <f>AA119-AB119</f>
        <v>0.20833333333333331</v>
      </c>
      <c r="AD119">
        <f>Q119/N119</f>
        <v>1.125</v>
      </c>
      <c r="AE119">
        <f>V119/S119</f>
        <v>0.54166666666666663</v>
      </c>
      <c r="AF119">
        <f>AD119-AE119</f>
        <v>0.58333333333333337</v>
      </c>
      <c r="AG119">
        <v>0</v>
      </c>
      <c r="AH119" s="14">
        <v>24.493506493506491</v>
      </c>
      <c r="AI119" s="14">
        <v>23.961038961038959</v>
      </c>
      <c r="AJ119" s="14">
        <v>48.454545454545453</v>
      </c>
      <c r="AK119" s="14">
        <v>21.831168831168828</v>
      </c>
      <c r="AL119" s="3" t="s">
        <v>599</v>
      </c>
    </row>
    <row r="120" spans="1:41">
      <c r="A120" t="s">
        <v>525</v>
      </c>
      <c r="B120" t="s">
        <v>533</v>
      </c>
      <c r="C120">
        <v>5</v>
      </c>
      <c r="D120" t="s">
        <v>65</v>
      </c>
      <c r="E120">
        <v>6</v>
      </c>
      <c r="F120">
        <v>1</v>
      </c>
      <c r="G120" s="1">
        <f t="shared" si="14"/>
        <v>73</v>
      </c>
      <c r="H120">
        <v>195</v>
      </c>
      <c r="I120">
        <v>1994</v>
      </c>
      <c r="J120">
        <v>2013</v>
      </c>
      <c r="K120" s="1">
        <f t="shared" si="15"/>
        <v>19</v>
      </c>
      <c r="L120" t="s">
        <v>41</v>
      </c>
      <c r="M120" t="s">
        <v>43</v>
      </c>
      <c r="N120" s="2">
        <v>48</v>
      </c>
      <c r="O120" s="5">
        <v>11</v>
      </c>
      <c r="P120" s="5">
        <v>19</v>
      </c>
      <c r="Q120" s="5">
        <f t="shared" si="16"/>
        <v>30</v>
      </c>
      <c r="R120" s="4">
        <v>2</v>
      </c>
      <c r="S120" s="2">
        <v>12</v>
      </c>
      <c r="T120" s="5">
        <v>0</v>
      </c>
      <c r="U120" s="5">
        <v>0</v>
      </c>
      <c r="V120" s="5">
        <f t="shared" si="27"/>
        <v>0</v>
      </c>
      <c r="W120" s="4">
        <v>0</v>
      </c>
      <c r="AG120">
        <v>0</v>
      </c>
      <c r="AH120" s="14">
        <v>17.388773388773391</v>
      </c>
      <c r="AI120" s="14">
        <v>31.027027027027028</v>
      </c>
      <c r="AJ120" s="14">
        <v>48.415800415800419</v>
      </c>
      <c r="AK120" s="14">
        <v>18.752598752598754</v>
      </c>
      <c r="AL120" s="3" t="s">
        <v>605</v>
      </c>
    </row>
    <row r="121" spans="1:41">
      <c r="A121" s="6" t="s">
        <v>17</v>
      </c>
      <c r="B121" t="s">
        <v>18</v>
      </c>
      <c r="C121">
        <v>62</v>
      </c>
      <c r="D121" t="s">
        <v>34</v>
      </c>
      <c r="E121">
        <v>6</v>
      </c>
      <c r="F121">
        <v>3</v>
      </c>
      <c r="G121" s="1">
        <f t="shared" si="14"/>
        <v>75</v>
      </c>
      <c r="H121">
        <v>215</v>
      </c>
      <c r="I121">
        <v>1984</v>
      </c>
      <c r="J121">
        <v>2003</v>
      </c>
      <c r="K121" s="1">
        <f t="shared" si="15"/>
        <v>19</v>
      </c>
      <c r="L121" t="s">
        <v>41</v>
      </c>
      <c r="M121" t="s">
        <v>43</v>
      </c>
      <c r="N121" s="2">
        <v>57</v>
      </c>
      <c r="O121" s="3">
        <v>28</v>
      </c>
      <c r="P121" s="3">
        <v>41</v>
      </c>
      <c r="Q121" s="3">
        <f t="shared" si="16"/>
        <v>69</v>
      </c>
      <c r="R121" s="4">
        <v>126</v>
      </c>
      <c r="S121" s="2">
        <v>55</v>
      </c>
      <c r="T121" s="5">
        <v>42</v>
      </c>
      <c r="U121" s="5">
        <v>46</v>
      </c>
      <c r="V121" s="3">
        <f t="shared" si="27"/>
        <v>88</v>
      </c>
      <c r="W121" s="4">
        <v>54</v>
      </c>
      <c r="X121">
        <f>O121/N121</f>
        <v>0.49122807017543857</v>
      </c>
      <c r="Y121">
        <f>T121/S121</f>
        <v>0.76363636363636367</v>
      </c>
      <c r="Z121">
        <f>X121-Y121</f>
        <v>-0.2724082934609251</v>
      </c>
      <c r="AA121">
        <f>P121/N121</f>
        <v>0.7192982456140351</v>
      </c>
      <c r="AB121">
        <f>U121/S121</f>
        <v>0.83636363636363631</v>
      </c>
      <c r="AC121">
        <f>AA121-AB121</f>
        <v>-0.11706539074960121</v>
      </c>
      <c r="AD121">
        <f>Q121/N121</f>
        <v>1.2105263157894737</v>
      </c>
      <c r="AE121">
        <f>V121/S121</f>
        <v>1.6</v>
      </c>
      <c r="AF121">
        <f>AD121-AE121</f>
        <v>-0.38947368421052642</v>
      </c>
      <c r="AG121">
        <v>0</v>
      </c>
      <c r="AH121" s="14">
        <v>21.376068376068375</v>
      </c>
      <c r="AI121" s="14">
        <v>26.982905982905979</v>
      </c>
      <c r="AJ121" s="14">
        <v>48.358974358974358</v>
      </c>
      <c r="AK121" s="14">
        <v>99.696581196581192</v>
      </c>
      <c r="AL121" s="5" t="s">
        <v>613</v>
      </c>
    </row>
    <row r="122" spans="1:41">
      <c r="A122" t="s">
        <v>322</v>
      </c>
      <c r="B122" t="s">
        <v>334</v>
      </c>
      <c r="C122">
        <v>4</v>
      </c>
      <c r="D122" t="s">
        <v>35</v>
      </c>
      <c r="E122">
        <v>5</v>
      </c>
      <c r="F122">
        <v>11</v>
      </c>
      <c r="G122" s="1">
        <f t="shared" si="14"/>
        <v>71</v>
      </c>
      <c r="H122">
        <v>187</v>
      </c>
      <c r="I122">
        <v>1998</v>
      </c>
      <c r="J122">
        <v>2017</v>
      </c>
      <c r="K122" s="1">
        <f t="shared" si="15"/>
        <v>19</v>
      </c>
      <c r="L122" t="s">
        <v>42</v>
      </c>
      <c r="M122" t="s">
        <v>43</v>
      </c>
      <c r="N122" s="2">
        <v>54</v>
      </c>
      <c r="O122" s="3">
        <v>24</v>
      </c>
      <c r="P122" s="3">
        <v>51</v>
      </c>
      <c r="Q122" s="5">
        <f t="shared" si="16"/>
        <v>75</v>
      </c>
      <c r="R122" s="4">
        <v>18</v>
      </c>
      <c r="S122" s="2">
        <v>54</v>
      </c>
      <c r="T122" s="5">
        <v>10</v>
      </c>
      <c r="U122" s="5">
        <v>45</v>
      </c>
      <c r="V122" s="5">
        <f t="shared" si="27"/>
        <v>55</v>
      </c>
      <c r="W122" s="4">
        <v>28</v>
      </c>
      <c r="X122">
        <f>O122/N122</f>
        <v>0.44444444444444442</v>
      </c>
      <c r="Y122">
        <f>T122/S122</f>
        <v>0.18518518518518517</v>
      </c>
      <c r="Z122">
        <f>X122-Y122</f>
        <v>0.25925925925925924</v>
      </c>
      <c r="AA122">
        <f>P122/N122</f>
        <v>0.94444444444444442</v>
      </c>
      <c r="AB122">
        <f>U122/S122</f>
        <v>0.83333333333333337</v>
      </c>
      <c r="AC122">
        <f>AA122-AB122</f>
        <v>0.11111111111111105</v>
      </c>
      <c r="AD122">
        <f>Q122/N122</f>
        <v>1.3888888888888888</v>
      </c>
      <c r="AE122">
        <f>V122/S122</f>
        <v>1.0185185185185186</v>
      </c>
      <c r="AF122">
        <f>AD122-AE122</f>
        <v>0.37037037037037024</v>
      </c>
      <c r="AG122">
        <v>0</v>
      </c>
      <c r="AH122" s="14">
        <v>26.09090909090909</v>
      </c>
      <c r="AI122" s="14">
        <v>67.090909090909093</v>
      </c>
      <c r="AJ122" s="14">
        <v>93.181818181818173</v>
      </c>
      <c r="AK122" s="14">
        <v>0</v>
      </c>
      <c r="AL122" s="5" t="s">
        <v>620</v>
      </c>
      <c r="AM122" s="22">
        <v>88</v>
      </c>
      <c r="AN122" s="22">
        <v>467</v>
      </c>
      <c r="AO122">
        <f>AM122/AN122</f>
        <v>0.18843683083511778</v>
      </c>
    </row>
    <row r="123" spans="1:41">
      <c r="A123" t="s">
        <v>266</v>
      </c>
      <c r="B123" t="s">
        <v>276</v>
      </c>
      <c r="C123">
        <v>19</v>
      </c>
      <c r="D123" t="s">
        <v>34</v>
      </c>
      <c r="E123">
        <v>6</v>
      </c>
      <c r="F123">
        <v>3</v>
      </c>
      <c r="G123" s="1">
        <f t="shared" si="14"/>
        <v>75</v>
      </c>
      <c r="H123">
        <v>216</v>
      </c>
      <c r="I123">
        <v>1991</v>
      </c>
      <c r="J123">
        <v>2009</v>
      </c>
      <c r="K123" s="1">
        <f t="shared" si="15"/>
        <v>18</v>
      </c>
      <c r="L123" t="s">
        <v>41</v>
      </c>
      <c r="M123" t="s">
        <v>44</v>
      </c>
      <c r="N123" s="2">
        <v>31</v>
      </c>
      <c r="O123" s="5">
        <v>37</v>
      </c>
      <c r="P123" s="5">
        <v>25</v>
      </c>
      <c r="Q123" s="5">
        <f t="shared" si="16"/>
        <v>62</v>
      </c>
      <c r="R123" s="4">
        <v>10</v>
      </c>
      <c r="S123" s="2">
        <v>24</v>
      </c>
      <c r="T123" s="5">
        <v>26</v>
      </c>
      <c r="U123" s="5">
        <v>15</v>
      </c>
      <c r="V123" s="5">
        <f t="shared" si="27"/>
        <v>41</v>
      </c>
      <c r="W123" s="4">
        <v>0</v>
      </c>
      <c r="X123">
        <f>O123/N123</f>
        <v>1.1935483870967742</v>
      </c>
      <c r="Y123">
        <f>T123/S123</f>
        <v>1.0833333333333333</v>
      </c>
      <c r="Z123">
        <f>X123-Y123</f>
        <v>0.11021505376344098</v>
      </c>
      <c r="AA123">
        <f>P123/N123</f>
        <v>0.80645161290322576</v>
      </c>
      <c r="AB123">
        <f>U123/S123</f>
        <v>0.625</v>
      </c>
      <c r="AC123">
        <f>AA123-AB123</f>
        <v>0.18145161290322576</v>
      </c>
      <c r="AD123">
        <f>Q123/N123</f>
        <v>2</v>
      </c>
      <c r="AE123">
        <f>V123/S123</f>
        <v>1.7083333333333333</v>
      </c>
      <c r="AF123">
        <f>AD123-AE123</f>
        <v>0.29166666666666674</v>
      </c>
      <c r="AG123">
        <v>0</v>
      </c>
      <c r="AH123" s="14">
        <v>23.624217118997912</v>
      </c>
      <c r="AI123" s="14">
        <v>24.65135699373695</v>
      </c>
      <c r="AJ123" s="14">
        <v>48.275574112734859</v>
      </c>
      <c r="AK123" s="14">
        <v>67.277661795407099</v>
      </c>
      <c r="AL123" s="5" t="s">
        <v>634</v>
      </c>
    </row>
    <row r="124" spans="1:41">
      <c r="A124" t="s">
        <v>498</v>
      </c>
      <c r="B124" t="s">
        <v>503</v>
      </c>
      <c r="C124">
        <v>7</v>
      </c>
      <c r="D124" t="s">
        <v>34</v>
      </c>
      <c r="E124">
        <v>5</v>
      </c>
      <c r="F124">
        <v>10</v>
      </c>
      <c r="G124" s="1">
        <f t="shared" si="14"/>
        <v>70</v>
      </c>
      <c r="H124">
        <v>175</v>
      </c>
      <c r="I124">
        <v>1999</v>
      </c>
      <c r="J124">
        <v>2018</v>
      </c>
      <c r="K124" s="1">
        <f t="shared" si="15"/>
        <v>19</v>
      </c>
      <c r="L124" t="s">
        <v>42</v>
      </c>
      <c r="M124" t="s">
        <v>44</v>
      </c>
      <c r="N124" s="2">
        <v>54</v>
      </c>
      <c r="O124" s="5">
        <v>5</v>
      </c>
      <c r="P124" s="5">
        <v>29</v>
      </c>
      <c r="Q124" s="5">
        <f t="shared" si="16"/>
        <v>34</v>
      </c>
      <c r="R124" s="4">
        <v>34</v>
      </c>
      <c r="V124" s="5">
        <f t="shared" si="27"/>
        <v>0</v>
      </c>
      <c r="AG124">
        <v>0</v>
      </c>
      <c r="AH124" s="14">
        <v>6.0740740740740744</v>
      </c>
      <c r="AI124" s="14">
        <v>54.666666666666671</v>
      </c>
      <c r="AJ124" s="14">
        <v>60.740740740740748</v>
      </c>
      <c r="AK124" s="14">
        <v>18.222222222222221</v>
      </c>
      <c r="AL124" s="5" t="s">
        <v>622</v>
      </c>
      <c r="AM124" s="22">
        <v>86</v>
      </c>
      <c r="AN124" s="22">
        <v>719</v>
      </c>
      <c r="AO124">
        <f>AM124/AN124</f>
        <v>0.11961057023643949</v>
      </c>
    </row>
    <row r="125" spans="1:41">
      <c r="A125" t="s">
        <v>266</v>
      </c>
      <c r="B125" t="s">
        <v>275</v>
      </c>
      <c r="C125">
        <v>2</v>
      </c>
      <c r="D125" t="s">
        <v>38</v>
      </c>
      <c r="E125">
        <v>6</v>
      </c>
      <c r="F125">
        <v>1</v>
      </c>
      <c r="G125" s="1">
        <f t="shared" si="14"/>
        <v>73</v>
      </c>
      <c r="H125">
        <v>181</v>
      </c>
      <c r="I125">
        <v>2001</v>
      </c>
      <c r="J125">
        <v>2019</v>
      </c>
      <c r="K125" s="1">
        <f t="shared" si="15"/>
        <v>18</v>
      </c>
      <c r="L125" t="s">
        <v>41</v>
      </c>
      <c r="M125" t="s">
        <v>44</v>
      </c>
      <c r="N125" s="2">
        <f>45+7+18+10+18</f>
        <v>98</v>
      </c>
      <c r="O125" s="3">
        <f>22+2+4+6+6</f>
        <v>40</v>
      </c>
      <c r="P125" s="3">
        <f>16+3+10+1+5</f>
        <v>35</v>
      </c>
      <c r="Q125" s="5">
        <f t="shared" si="16"/>
        <v>75</v>
      </c>
      <c r="R125" s="4">
        <f>10+2+2</f>
        <v>14</v>
      </c>
      <c r="S125" s="2">
        <f>38+6+6+7+13+1</f>
        <v>71</v>
      </c>
      <c r="T125" s="3">
        <f>25+7+4+6</f>
        <v>42</v>
      </c>
      <c r="U125" s="3">
        <f>30+4+1+6+11</f>
        <v>52</v>
      </c>
      <c r="V125" s="5">
        <f t="shared" si="27"/>
        <v>94</v>
      </c>
      <c r="W125" s="4">
        <f>16+4+2+4</f>
        <v>26</v>
      </c>
      <c r="X125">
        <f t="shared" ref="X125:X137" si="29">O125/N125</f>
        <v>0.40816326530612246</v>
      </c>
      <c r="Y125">
        <f t="shared" ref="Y125:Y137" si="30">T125/S125</f>
        <v>0.59154929577464788</v>
      </c>
      <c r="Z125">
        <f t="shared" ref="Z125:Z137" si="31">X125-Y125</f>
        <v>-0.18338603046852542</v>
      </c>
      <c r="AA125">
        <f t="shared" ref="AA125:AA137" si="32">P125/N125</f>
        <v>0.35714285714285715</v>
      </c>
      <c r="AB125">
        <f t="shared" ref="AB125:AB137" si="33">U125/S125</f>
        <v>0.73239436619718312</v>
      </c>
      <c r="AC125">
        <f t="shared" ref="AC125:AC137" si="34">AA125-AB125</f>
        <v>-0.37525150905432597</v>
      </c>
      <c r="AD125">
        <f t="shared" ref="AD125:AD137" si="35">Q125/N125</f>
        <v>0.76530612244897955</v>
      </c>
      <c r="AE125">
        <f t="shared" ref="AE125:AE137" si="36">V125/S125</f>
        <v>1.323943661971831</v>
      </c>
      <c r="AF125">
        <f t="shared" ref="AF125:AF137" si="37">AD125-AE125</f>
        <v>-0.55863753952285145</v>
      </c>
      <c r="AG125">
        <v>0</v>
      </c>
      <c r="AH125" s="14">
        <v>28.941176470588232</v>
      </c>
      <c r="AI125" s="14">
        <v>19.294117647058822</v>
      </c>
      <c r="AJ125" s="14">
        <v>48.235294117647058</v>
      </c>
      <c r="AK125" s="14">
        <v>19.294117647058822</v>
      </c>
      <c r="AL125" s="3" t="s">
        <v>615</v>
      </c>
    </row>
    <row r="126" spans="1:41">
      <c r="A126" t="s">
        <v>234</v>
      </c>
      <c r="B126" t="s">
        <v>243</v>
      </c>
      <c r="C126">
        <v>12</v>
      </c>
      <c r="D126" t="s">
        <v>37</v>
      </c>
      <c r="E126">
        <v>6</v>
      </c>
      <c r="F126">
        <v>2</v>
      </c>
      <c r="G126" s="1">
        <f t="shared" si="14"/>
        <v>74</v>
      </c>
      <c r="H126">
        <v>179</v>
      </c>
      <c r="I126">
        <v>1999</v>
      </c>
      <c r="J126">
        <v>2017</v>
      </c>
      <c r="K126" s="1">
        <f t="shared" si="15"/>
        <v>18</v>
      </c>
      <c r="L126" t="s">
        <v>41</v>
      </c>
      <c r="M126" t="s">
        <v>43</v>
      </c>
      <c r="N126" s="2">
        <v>52</v>
      </c>
      <c r="O126" s="5">
        <v>9</v>
      </c>
      <c r="P126" s="5">
        <v>15</v>
      </c>
      <c r="Q126" s="5">
        <f t="shared" si="16"/>
        <v>24</v>
      </c>
      <c r="R126" s="4">
        <v>16</v>
      </c>
      <c r="S126" s="2">
        <v>18</v>
      </c>
      <c r="T126" s="5">
        <v>9</v>
      </c>
      <c r="U126" s="5">
        <v>21</v>
      </c>
      <c r="V126" s="5">
        <f t="shared" si="27"/>
        <v>30</v>
      </c>
      <c r="W126" s="4">
        <v>14</v>
      </c>
      <c r="X126">
        <f t="shared" si="29"/>
        <v>0.17307692307692307</v>
      </c>
      <c r="Y126">
        <f t="shared" si="30"/>
        <v>0.5</v>
      </c>
      <c r="Z126">
        <f t="shared" si="31"/>
        <v>-0.32692307692307693</v>
      </c>
      <c r="AA126">
        <f t="shared" si="32"/>
        <v>0.28846153846153844</v>
      </c>
      <c r="AB126">
        <f t="shared" si="33"/>
        <v>1.1666666666666667</v>
      </c>
      <c r="AC126">
        <f t="shared" si="34"/>
        <v>-0.8782051282051283</v>
      </c>
      <c r="AD126">
        <f t="shared" si="35"/>
        <v>0.46153846153846156</v>
      </c>
      <c r="AE126">
        <f t="shared" si="36"/>
        <v>1.6666666666666667</v>
      </c>
      <c r="AF126">
        <f t="shared" si="37"/>
        <v>-1.2051282051282053</v>
      </c>
      <c r="AG126">
        <v>0</v>
      </c>
      <c r="AH126" s="14">
        <v>16.96551724137931</v>
      </c>
      <c r="AI126" s="14">
        <v>31.103448275862068</v>
      </c>
      <c r="AJ126" s="14">
        <v>48.068965517241381</v>
      </c>
      <c r="AK126" s="14">
        <v>16.96551724137931</v>
      </c>
      <c r="AL126" s="3" t="s">
        <v>607</v>
      </c>
    </row>
    <row r="127" spans="1:41">
      <c r="A127" t="s">
        <v>204</v>
      </c>
      <c r="B127" t="s">
        <v>212</v>
      </c>
      <c r="C127">
        <v>62</v>
      </c>
      <c r="D127" t="s">
        <v>35</v>
      </c>
      <c r="E127">
        <v>6</v>
      </c>
      <c r="F127">
        <v>0</v>
      </c>
      <c r="G127" s="1">
        <f t="shared" si="14"/>
        <v>72</v>
      </c>
      <c r="H127">
        <v>201</v>
      </c>
      <c r="I127">
        <v>1987</v>
      </c>
      <c r="J127">
        <v>2005</v>
      </c>
      <c r="K127" s="1">
        <f t="shared" si="15"/>
        <v>18</v>
      </c>
      <c r="L127" t="s">
        <v>42</v>
      </c>
      <c r="M127" t="s">
        <v>43</v>
      </c>
      <c r="N127" s="2">
        <v>76</v>
      </c>
      <c r="O127" s="5">
        <v>15</v>
      </c>
      <c r="P127" s="5">
        <v>21</v>
      </c>
      <c r="Q127" s="5">
        <f t="shared" si="16"/>
        <v>36</v>
      </c>
      <c r="R127" s="4">
        <v>99</v>
      </c>
      <c r="S127" s="2">
        <v>39</v>
      </c>
      <c r="T127" s="5">
        <v>12</v>
      </c>
      <c r="U127" s="5">
        <v>41</v>
      </c>
      <c r="V127" s="5">
        <f t="shared" si="27"/>
        <v>53</v>
      </c>
      <c r="W127" s="4">
        <v>94</v>
      </c>
      <c r="X127">
        <f t="shared" si="29"/>
        <v>0.19736842105263158</v>
      </c>
      <c r="Y127">
        <f t="shared" si="30"/>
        <v>0.30769230769230771</v>
      </c>
      <c r="Z127">
        <f t="shared" si="31"/>
        <v>-0.11032388663967613</v>
      </c>
      <c r="AA127">
        <f t="shared" si="32"/>
        <v>0.27631578947368424</v>
      </c>
      <c r="AB127">
        <f t="shared" si="33"/>
        <v>1.0512820512820513</v>
      </c>
      <c r="AC127">
        <f t="shared" si="34"/>
        <v>-0.77496626180836703</v>
      </c>
      <c r="AD127">
        <f t="shared" si="35"/>
        <v>0.47368421052631576</v>
      </c>
      <c r="AE127">
        <f t="shared" si="36"/>
        <v>1.358974358974359</v>
      </c>
      <c r="AF127">
        <f t="shared" si="37"/>
        <v>-0.88529014844804332</v>
      </c>
      <c r="AG127">
        <v>0</v>
      </c>
      <c r="AH127" s="14">
        <v>12.482939632545932</v>
      </c>
      <c r="AI127" s="14">
        <v>41.86089238845144</v>
      </c>
      <c r="AJ127" s="14">
        <v>54.343832020997375</v>
      </c>
      <c r="AK127" s="14">
        <v>58.755905511811022</v>
      </c>
      <c r="AL127" s="5" t="s">
        <v>614</v>
      </c>
      <c r="AM127" s="22">
        <v>84</v>
      </c>
      <c r="AN127" s="22">
        <v>497</v>
      </c>
      <c r="AO127">
        <f>AM127/AN127</f>
        <v>0.16901408450704225</v>
      </c>
    </row>
    <row r="128" spans="1:41">
      <c r="A128" t="s">
        <v>234</v>
      </c>
      <c r="B128" t="s">
        <v>248</v>
      </c>
      <c r="C128">
        <v>2</v>
      </c>
      <c r="D128" t="s">
        <v>66</v>
      </c>
      <c r="E128">
        <v>6</v>
      </c>
      <c r="F128">
        <v>2</v>
      </c>
      <c r="G128" s="1">
        <f t="shared" si="14"/>
        <v>74</v>
      </c>
      <c r="H128">
        <v>195</v>
      </c>
      <c r="I128">
        <v>2000</v>
      </c>
      <c r="J128">
        <v>2018</v>
      </c>
      <c r="K128" s="1">
        <f t="shared" si="15"/>
        <v>18</v>
      </c>
      <c r="L128" t="s">
        <v>41</v>
      </c>
      <c r="M128" t="s">
        <v>44</v>
      </c>
      <c r="N128" s="2">
        <v>60</v>
      </c>
      <c r="O128" s="5">
        <v>46</v>
      </c>
      <c r="P128" s="5">
        <v>41</v>
      </c>
      <c r="Q128" s="5">
        <f t="shared" si="16"/>
        <v>87</v>
      </c>
      <c r="R128" s="4">
        <v>79</v>
      </c>
      <c r="S128" s="2">
        <v>59</v>
      </c>
      <c r="T128" s="5">
        <v>38</v>
      </c>
      <c r="U128" s="5">
        <v>37</v>
      </c>
      <c r="V128" s="5">
        <f t="shared" si="27"/>
        <v>75</v>
      </c>
      <c r="W128" s="4">
        <v>80</v>
      </c>
      <c r="X128">
        <f t="shared" si="29"/>
        <v>0.76666666666666672</v>
      </c>
      <c r="Y128">
        <f t="shared" si="30"/>
        <v>0.64406779661016944</v>
      </c>
      <c r="Z128">
        <f t="shared" si="31"/>
        <v>0.12259887005649728</v>
      </c>
      <c r="AA128">
        <f t="shared" si="32"/>
        <v>0.68333333333333335</v>
      </c>
      <c r="AB128">
        <f t="shared" si="33"/>
        <v>0.6271186440677966</v>
      </c>
      <c r="AC128">
        <f t="shared" si="34"/>
        <v>5.6214689265536744E-2</v>
      </c>
      <c r="AD128">
        <f t="shared" si="35"/>
        <v>1.45</v>
      </c>
      <c r="AE128">
        <f t="shared" si="36"/>
        <v>1.271186440677966</v>
      </c>
      <c r="AF128">
        <f t="shared" si="37"/>
        <v>0.17881355932203391</v>
      </c>
      <c r="AG128">
        <v>0</v>
      </c>
      <c r="AH128" s="14">
        <v>23.883495145631066</v>
      </c>
      <c r="AI128" s="14">
        <v>23.883495145631066</v>
      </c>
      <c r="AJ128" s="14">
        <v>47.766990291262132</v>
      </c>
      <c r="AK128" s="14">
        <v>63.689320388349515</v>
      </c>
      <c r="AL128" s="3" t="s">
        <v>600</v>
      </c>
    </row>
    <row r="129" spans="1:41">
      <c r="A129" t="s">
        <v>354</v>
      </c>
      <c r="B129" t="s">
        <v>398</v>
      </c>
      <c r="C129">
        <v>38</v>
      </c>
      <c r="D129" t="s">
        <v>119</v>
      </c>
      <c r="E129">
        <v>6</v>
      </c>
      <c r="F129">
        <v>1</v>
      </c>
      <c r="G129" s="1">
        <f t="shared" si="14"/>
        <v>73</v>
      </c>
      <c r="H129">
        <v>201</v>
      </c>
      <c r="I129">
        <v>1990</v>
      </c>
      <c r="J129">
        <v>2008</v>
      </c>
      <c r="K129" s="1">
        <f t="shared" si="15"/>
        <v>18</v>
      </c>
      <c r="L129" t="s">
        <v>42</v>
      </c>
      <c r="M129" t="s">
        <v>44</v>
      </c>
      <c r="N129" s="2">
        <f>5+35+6+6</f>
        <v>52</v>
      </c>
      <c r="O129" s="3">
        <f>2+2+1</f>
        <v>5</v>
      </c>
      <c r="P129" s="3">
        <f>1+6+1+4</f>
        <v>12</v>
      </c>
      <c r="Q129" s="5">
        <f t="shared" si="16"/>
        <v>17</v>
      </c>
      <c r="R129" s="4">
        <f>4+10+4+4</f>
        <v>22</v>
      </c>
      <c r="S129" s="2">
        <f>33+5+3+6+6</f>
        <v>53</v>
      </c>
      <c r="T129" s="3">
        <f>14+1+0+0+1</f>
        <v>16</v>
      </c>
      <c r="U129" s="3">
        <f>16+1+1+0+1</f>
        <v>19</v>
      </c>
      <c r="V129" s="5">
        <f t="shared" si="27"/>
        <v>35</v>
      </c>
      <c r="W129" s="4">
        <f>28+2+2</f>
        <v>32</v>
      </c>
      <c r="X129">
        <f t="shared" si="29"/>
        <v>9.6153846153846159E-2</v>
      </c>
      <c r="Y129">
        <f t="shared" si="30"/>
        <v>0.30188679245283018</v>
      </c>
      <c r="Z129">
        <f t="shared" si="31"/>
        <v>-0.20573294629898403</v>
      </c>
      <c r="AA129">
        <f t="shared" si="32"/>
        <v>0.23076923076923078</v>
      </c>
      <c r="AB129">
        <f t="shared" si="33"/>
        <v>0.35849056603773582</v>
      </c>
      <c r="AC129">
        <f t="shared" si="34"/>
        <v>-0.12772133526850504</v>
      </c>
      <c r="AD129">
        <f t="shared" si="35"/>
        <v>0.32692307692307693</v>
      </c>
      <c r="AE129">
        <f t="shared" si="36"/>
        <v>0.660377358490566</v>
      </c>
      <c r="AF129">
        <f t="shared" si="37"/>
        <v>-0.33345428156748907</v>
      </c>
      <c r="AG129">
        <v>0</v>
      </c>
      <c r="AH129" s="14">
        <v>14.04109589041096</v>
      </c>
      <c r="AI129" s="14">
        <v>37.770547945205479</v>
      </c>
      <c r="AJ129" s="14">
        <v>51.811643835616444</v>
      </c>
      <c r="AK129" s="14">
        <v>29.767123287671232</v>
      </c>
      <c r="AL129" s="3" t="s">
        <v>628</v>
      </c>
      <c r="AM129" s="22">
        <v>81</v>
      </c>
      <c r="AN129" s="22">
        <v>953</v>
      </c>
      <c r="AO129">
        <f t="shared" ref="AO129:AO131" si="38">AM129/AN129</f>
        <v>8.4994753410283314E-2</v>
      </c>
    </row>
    <row r="130" spans="1:41">
      <c r="A130" t="s">
        <v>283</v>
      </c>
      <c r="B130" t="s">
        <v>294</v>
      </c>
      <c r="C130">
        <v>43</v>
      </c>
      <c r="D130" t="s">
        <v>35</v>
      </c>
      <c r="E130">
        <v>6</v>
      </c>
      <c r="F130">
        <v>0</v>
      </c>
      <c r="G130" s="1">
        <f t="shared" ref="G130:G193" si="39">E130*12+F130</f>
        <v>72</v>
      </c>
      <c r="H130">
        <v>210</v>
      </c>
      <c r="I130">
        <v>1989</v>
      </c>
      <c r="J130">
        <v>2007</v>
      </c>
      <c r="K130" s="1">
        <f t="shared" ref="K130:K193" si="40">J130-I130</f>
        <v>18</v>
      </c>
      <c r="L130" t="s">
        <v>42</v>
      </c>
      <c r="M130" t="s">
        <v>43</v>
      </c>
      <c r="N130" s="2">
        <v>68</v>
      </c>
      <c r="O130" s="5">
        <v>15</v>
      </c>
      <c r="P130" s="5">
        <v>41</v>
      </c>
      <c r="Q130" s="5">
        <f t="shared" ref="Q130:Q193" si="41">O130+P130</f>
        <v>56</v>
      </c>
      <c r="R130" s="4">
        <v>89</v>
      </c>
      <c r="S130" s="2">
        <v>52</v>
      </c>
      <c r="T130" s="5">
        <v>5</v>
      </c>
      <c r="U130" s="5">
        <v>7</v>
      </c>
      <c r="V130" s="5">
        <v>12</v>
      </c>
      <c r="W130" s="4">
        <v>70</v>
      </c>
      <c r="X130">
        <f t="shared" si="29"/>
        <v>0.22058823529411764</v>
      </c>
      <c r="Y130">
        <f t="shared" si="30"/>
        <v>9.6153846153846159E-2</v>
      </c>
      <c r="Z130">
        <f t="shared" si="31"/>
        <v>0.12443438914027148</v>
      </c>
      <c r="AA130">
        <f t="shared" si="32"/>
        <v>0.6029411764705882</v>
      </c>
      <c r="AB130">
        <f t="shared" si="33"/>
        <v>0.13461538461538461</v>
      </c>
      <c r="AC130">
        <f t="shared" si="34"/>
        <v>0.46832579185520362</v>
      </c>
      <c r="AD130">
        <f t="shared" si="35"/>
        <v>0.82352941176470584</v>
      </c>
      <c r="AE130">
        <f t="shared" si="36"/>
        <v>0.23076923076923078</v>
      </c>
      <c r="AF130">
        <f t="shared" si="37"/>
        <v>0.59276018099547501</v>
      </c>
      <c r="AG130">
        <v>0</v>
      </c>
      <c r="AH130" s="14">
        <v>12.330827067669173</v>
      </c>
      <c r="AI130" s="14">
        <v>38.595488721804514</v>
      </c>
      <c r="AJ130" s="14">
        <v>50.926315789473684</v>
      </c>
      <c r="AK130" s="14">
        <v>91.494736842105269</v>
      </c>
      <c r="AL130" s="3" t="s">
        <v>600</v>
      </c>
      <c r="AM130" s="22">
        <v>76</v>
      </c>
      <c r="AN130" s="22">
        <v>497</v>
      </c>
      <c r="AO130">
        <f t="shared" si="38"/>
        <v>0.15291750503018109</v>
      </c>
    </row>
    <row r="131" spans="1:41">
      <c r="A131" s="6" t="s">
        <v>49</v>
      </c>
      <c r="B131" t="s">
        <v>50</v>
      </c>
      <c r="C131">
        <v>64</v>
      </c>
      <c r="D131" t="s">
        <v>35</v>
      </c>
      <c r="E131">
        <v>5</v>
      </c>
      <c r="F131">
        <v>10</v>
      </c>
      <c r="G131" s="1">
        <f t="shared" si="39"/>
        <v>70</v>
      </c>
      <c r="H131">
        <v>190</v>
      </c>
      <c r="I131">
        <v>1991</v>
      </c>
      <c r="J131">
        <v>2009</v>
      </c>
      <c r="K131" s="1">
        <f t="shared" si="40"/>
        <v>18</v>
      </c>
      <c r="L131" t="s">
        <v>42</v>
      </c>
      <c r="M131" t="s">
        <v>43</v>
      </c>
      <c r="N131" s="2">
        <v>68</v>
      </c>
      <c r="O131" s="3">
        <v>12</v>
      </c>
      <c r="P131" s="3">
        <v>40</v>
      </c>
      <c r="Q131" s="3">
        <f t="shared" si="41"/>
        <v>52</v>
      </c>
      <c r="R131" s="4">
        <v>31</v>
      </c>
      <c r="S131" s="2">
        <v>64</v>
      </c>
      <c r="T131" s="3">
        <v>9</v>
      </c>
      <c r="U131" s="3">
        <v>34</v>
      </c>
      <c r="V131" s="3">
        <f t="shared" ref="V131:V194" si="42">T131+U131</f>
        <v>43</v>
      </c>
      <c r="W131" s="4">
        <v>32</v>
      </c>
      <c r="X131">
        <f t="shared" si="29"/>
        <v>0.17647058823529413</v>
      </c>
      <c r="Y131">
        <f t="shared" si="30"/>
        <v>0.140625</v>
      </c>
      <c r="Z131">
        <f t="shared" si="31"/>
        <v>3.5845588235294129E-2</v>
      </c>
      <c r="AA131">
        <f t="shared" si="32"/>
        <v>0.58823529411764708</v>
      </c>
      <c r="AB131">
        <f t="shared" si="33"/>
        <v>0.53125</v>
      </c>
      <c r="AC131">
        <f t="shared" si="34"/>
        <v>5.6985294117647078E-2</v>
      </c>
      <c r="AD131">
        <f t="shared" si="35"/>
        <v>0.76470588235294112</v>
      </c>
      <c r="AE131">
        <f t="shared" si="36"/>
        <v>0.671875</v>
      </c>
      <c r="AF131">
        <f t="shared" si="37"/>
        <v>9.2830882352941124E-2</v>
      </c>
      <c r="AG131">
        <v>0</v>
      </c>
      <c r="AH131" s="14">
        <v>12.1301775147929</v>
      </c>
      <c r="AI131" s="14">
        <v>38.654832347140037</v>
      </c>
      <c r="AJ131" s="14">
        <v>50.785009861932934</v>
      </c>
      <c r="AK131" s="14">
        <v>27.333333333333332</v>
      </c>
      <c r="AL131" s="3" t="s">
        <v>599</v>
      </c>
      <c r="AM131" s="22">
        <v>69</v>
      </c>
      <c r="AN131" s="22">
        <v>717</v>
      </c>
      <c r="AO131">
        <f t="shared" si="38"/>
        <v>9.6234309623430964E-2</v>
      </c>
    </row>
    <row r="132" spans="1:41">
      <c r="A132" t="s">
        <v>188</v>
      </c>
      <c r="B132" t="s">
        <v>191</v>
      </c>
      <c r="C132">
        <v>6</v>
      </c>
      <c r="D132" t="s">
        <v>35</v>
      </c>
      <c r="E132">
        <v>6</v>
      </c>
      <c r="F132">
        <v>1</v>
      </c>
      <c r="G132" s="1">
        <f t="shared" si="39"/>
        <v>73</v>
      </c>
      <c r="H132">
        <v>202</v>
      </c>
      <c r="I132">
        <v>1987</v>
      </c>
      <c r="J132">
        <v>2006</v>
      </c>
      <c r="K132" s="1">
        <f t="shared" si="40"/>
        <v>19</v>
      </c>
      <c r="L132" t="s">
        <v>41</v>
      </c>
      <c r="M132" t="s">
        <v>44</v>
      </c>
      <c r="N132" s="2">
        <v>58</v>
      </c>
      <c r="O132" s="5">
        <v>44</v>
      </c>
      <c r="P132" s="5">
        <v>72</v>
      </c>
      <c r="Q132" s="5">
        <f t="shared" si="41"/>
        <v>116</v>
      </c>
      <c r="R132" s="4">
        <v>92</v>
      </c>
      <c r="S132" s="2">
        <v>75</v>
      </c>
      <c r="T132" s="5">
        <v>25</v>
      </c>
      <c r="U132" s="5">
        <v>55</v>
      </c>
      <c r="V132" s="5">
        <f t="shared" si="42"/>
        <v>80</v>
      </c>
      <c r="W132" s="4">
        <v>31</v>
      </c>
      <c r="X132">
        <f t="shared" si="29"/>
        <v>0.75862068965517238</v>
      </c>
      <c r="Y132">
        <f t="shared" si="30"/>
        <v>0.33333333333333331</v>
      </c>
      <c r="Z132">
        <f t="shared" si="31"/>
        <v>0.42528735632183906</v>
      </c>
      <c r="AA132">
        <f t="shared" si="32"/>
        <v>1.2413793103448276</v>
      </c>
      <c r="AB132">
        <f t="shared" si="33"/>
        <v>0.73333333333333328</v>
      </c>
      <c r="AC132">
        <f t="shared" si="34"/>
        <v>0.50804597701149434</v>
      </c>
      <c r="AD132">
        <f t="shared" si="35"/>
        <v>2</v>
      </c>
      <c r="AE132">
        <f t="shared" si="36"/>
        <v>1.0666666666666667</v>
      </c>
      <c r="AF132">
        <f t="shared" si="37"/>
        <v>0.93333333333333335</v>
      </c>
      <c r="AG132">
        <v>0</v>
      </c>
      <c r="AH132" s="14">
        <v>18.53913043478261</v>
      </c>
      <c r="AI132" s="14">
        <v>28.929192546583852</v>
      </c>
      <c r="AJ132" s="14">
        <v>47.468322981366462</v>
      </c>
      <c r="AK132" s="14">
        <v>40.643478260869564</v>
      </c>
      <c r="AL132" s="3" t="s">
        <v>614</v>
      </c>
    </row>
    <row r="133" spans="1:41">
      <c r="A133" s="6" t="s">
        <v>87</v>
      </c>
      <c r="B133" t="s">
        <v>97</v>
      </c>
      <c r="C133">
        <v>60</v>
      </c>
      <c r="D133" t="s">
        <v>85</v>
      </c>
      <c r="E133">
        <v>5</v>
      </c>
      <c r="F133">
        <v>10</v>
      </c>
      <c r="G133" s="1">
        <f t="shared" si="39"/>
        <v>70</v>
      </c>
      <c r="H133">
        <v>182</v>
      </c>
      <c r="I133">
        <v>1990</v>
      </c>
      <c r="J133">
        <v>2009</v>
      </c>
      <c r="K133" s="1">
        <f t="shared" si="40"/>
        <v>19</v>
      </c>
      <c r="L133" t="s">
        <v>41</v>
      </c>
      <c r="M133" t="s">
        <v>44</v>
      </c>
      <c r="N133" s="2">
        <f>48+1+48+7</f>
        <v>104</v>
      </c>
      <c r="O133" s="3">
        <f>7+7+7+1</f>
        <v>22</v>
      </c>
      <c r="P133" s="3">
        <f>8+1+8+4</f>
        <v>21</v>
      </c>
      <c r="Q133" s="5">
        <f t="shared" si="41"/>
        <v>43</v>
      </c>
      <c r="R133" s="4">
        <f>46</f>
        <v>46</v>
      </c>
      <c r="S133" s="2">
        <v>46</v>
      </c>
      <c r="T133" s="5">
        <v>50</v>
      </c>
      <c r="U133" s="5">
        <v>39</v>
      </c>
      <c r="V133" s="3">
        <f t="shared" si="42"/>
        <v>89</v>
      </c>
      <c r="W133" s="4">
        <v>32</v>
      </c>
      <c r="X133">
        <f t="shared" si="29"/>
        <v>0.21153846153846154</v>
      </c>
      <c r="Y133">
        <f t="shared" si="30"/>
        <v>1.0869565217391304</v>
      </c>
      <c r="Z133">
        <f t="shared" si="31"/>
        <v>-0.87541806020066881</v>
      </c>
      <c r="AA133">
        <f t="shared" si="32"/>
        <v>0.20192307692307693</v>
      </c>
      <c r="AB133">
        <f t="shared" si="33"/>
        <v>0.84782608695652173</v>
      </c>
      <c r="AC133">
        <f t="shared" si="34"/>
        <v>-0.64590301003344486</v>
      </c>
      <c r="AD133">
        <f t="shared" si="35"/>
        <v>0.41346153846153844</v>
      </c>
      <c r="AE133">
        <f t="shared" si="36"/>
        <v>1.9347826086956521</v>
      </c>
      <c r="AF133">
        <f t="shared" si="37"/>
        <v>-1.5213210702341136</v>
      </c>
      <c r="AG133">
        <v>0</v>
      </c>
      <c r="AH133" s="14">
        <v>23.406427221172024</v>
      </c>
      <c r="AI133" s="14">
        <v>24.026465028355389</v>
      </c>
      <c r="AJ133" s="14">
        <v>47.432892249527413</v>
      </c>
      <c r="AK133" s="14">
        <v>31.001890359168243</v>
      </c>
      <c r="AL133" s="5" t="s">
        <v>36</v>
      </c>
    </row>
    <row r="134" spans="1:41">
      <c r="A134" t="s">
        <v>354</v>
      </c>
      <c r="B134" t="s">
        <v>351</v>
      </c>
      <c r="C134">
        <v>3</v>
      </c>
      <c r="D134" t="s">
        <v>35</v>
      </c>
      <c r="E134">
        <v>6</v>
      </c>
      <c r="F134">
        <v>1</v>
      </c>
      <c r="G134" s="1">
        <f t="shared" si="39"/>
        <v>73</v>
      </c>
      <c r="H134">
        <v>190</v>
      </c>
      <c r="I134">
        <v>1989</v>
      </c>
      <c r="J134">
        <v>2007</v>
      </c>
      <c r="K134" s="1">
        <f t="shared" si="40"/>
        <v>18</v>
      </c>
      <c r="L134" t="s">
        <v>41</v>
      </c>
      <c r="M134" t="s">
        <v>43</v>
      </c>
      <c r="N134" s="2">
        <v>59</v>
      </c>
      <c r="O134" s="5">
        <v>69</v>
      </c>
      <c r="P134" s="5">
        <v>57</v>
      </c>
      <c r="Q134" s="5">
        <f t="shared" si="41"/>
        <v>126</v>
      </c>
      <c r="R134" s="4">
        <v>85</v>
      </c>
      <c r="S134" s="2">
        <v>57</v>
      </c>
      <c r="T134" s="5">
        <v>36</v>
      </c>
      <c r="U134" s="5">
        <v>36</v>
      </c>
      <c r="V134" s="5">
        <f t="shared" si="42"/>
        <v>72</v>
      </c>
      <c r="W134" s="4">
        <v>32</v>
      </c>
      <c r="X134">
        <f t="shared" si="29"/>
        <v>1.1694915254237288</v>
      </c>
      <c r="Y134">
        <f t="shared" si="30"/>
        <v>0.63157894736842102</v>
      </c>
      <c r="Z134">
        <f t="shared" si="31"/>
        <v>0.53791257805530779</v>
      </c>
      <c r="AA134">
        <f t="shared" si="32"/>
        <v>0.96610169491525422</v>
      </c>
      <c r="AB134">
        <f t="shared" si="33"/>
        <v>0.63157894736842102</v>
      </c>
      <c r="AC134">
        <f t="shared" si="34"/>
        <v>0.3345227475468332</v>
      </c>
      <c r="AD134">
        <f t="shared" si="35"/>
        <v>2.1355932203389831</v>
      </c>
      <c r="AE134">
        <f t="shared" si="36"/>
        <v>1.263157894736842</v>
      </c>
      <c r="AF134">
        <f t="shared" si="37"/>
        <v>0.8724353256021411</v>
      </c>
      <c r="AG134">
        <v>0</v>
      </c>
      <c r="AH134" s="14">
        <v>19.209370424597367</v>
      </c>
      <c r="AI134" s="14">
        <v>28.093704245973647</v>
      </c>
      <c r="AJ134" s="14">
        <v>47.303074670571014</v>
      </c>
      <c r="AK134" s="14">
        <v>37.578330893118597</v>
      </c>
      <c r="AL134" s="5" t="s">
        <v>602</v>
      </c>
    </row>
    <row r="135" spans="1:41">
      <c r="A135" s="6" t="s">
        <v>69</v>
      </c>
      <c r="B135" t="s">
        <v>74</v>
      </c>
      <c r="C135">
        <v>24</v>
      </c>
      <c r="D135" t="s">
        <v>65</v>
      </c>
      <c r="E135">
        <v>6</v>
      </c>
      <c r="F135">
        <v>1</v>
      </c>
      <c r="G135" s="1">
        <f t="shared" si="39"/>
        <v>73</v>
      </c>
      <c r="H135">
        <v>205</v>
      </c>
      <c r="I135">
        <v>1990</v>
      </c>
      <c r="J135">
        <v>2009</v>
      </c>
      <c r="K135" s="1">
        <f t="shared" si="40"/>
        <v>19</v>
      </c>
      <c r="L135" t="s">
        <v>41</v>
      </c>
      <c r="M135" t="s">
        <v>44</v>
      </c>
      <c r="N135" s="2">
        <f>45+2+5+45+6</f>
        <v>103</v>
      </c>
      <c r="O135" s="3">
        <f>5+2+5+5+2</f>
        <v>19</v>
      </c>
      <c r="P135" s="3">
        <f>5+5+5</f>
        <v>15</v>
      </c>
      <c r="Q135" s="3">
        <f t="shared" si="41"/>
        <v>34</v>
      </c>
      <c r="R135" s="4">
        <f>20</f>
        <v>20</v>
      </c>
      <c r="S135" s="2">
        <v>49</v>
      </c>
      <c r="T135" s="5">
        <v>17</v>
      </c>
      <c r="U135" s="5">
        <v>38</v>
      </c>
      <c r="V135" s="3">
        <f t="shared" si="42"/>
        <v>55</v>
      </c>
      <c r="W135" s="4">
        <v>40</v>
      </c>
      <c r="X135">
        <f t="shared" si="29"/>
        <v>0.18446601941747573</v>
      </c>
      <c r="Y135">
        <f t="shared" si="30"/>
        <v>0.34693877551020408</v>
      </c>
      <c r="Z135">
        <f t="shared" si="31"/>
        <v>-0.16247275609272835</v>
      </c>
      <c r="AA135">
        <f t="shared" si="32"/>
        <v>0.14563106796116504</v>
      </c>
      <c r="AB135">
        <f t="shared" si="33"/>
        <v>0.77551020408163263</v>
      </c>
      <c r="AC135">
        <f t="shared" si="34"/>
        <v>-0.62987913612046764</v>
      </c>
      <c r="AD135">
        <f t="shared" si="35"/>
        <v>0.3300970873786408</v>
      </c>
      <c r="AE135">
        <f t="shared" si="36"/>
        <v>1.1224489795918366</v>
      </c>
      <c r="AF135">
        <f t="shared" si="37"/>
        <v>-0.7923518922131958</v>
      </c>
      <c r="AG135">
        <v>0</v>
      </c>
      <c r="AH135" s="14">
        <v>16.806611570247931</v>
      </c>
      <c r="AI135" s="14">
        <v>29.818181818181817</v>
      </c>
      <c r="AJ135" s="14">
        <v>46.624793388429751</v>
      </c>
      <c r="AK135" s="14">
        <v>12.198347107438016</v>
      </c>
      <c r="AL135" s="5" t="s">
        <v>605</v>
      </c>
    </row>
    <row r="136" spans="1:41">
      <c r="A136" t="s">
        <v>220</v>
      </c>
      <c r="B136" t="s">
        <v>225</v>
      </c>
      <c r="C136">
        <v>24</v>
      </c>
      <c r="D136" t="s">
        <v>35</v>
      </c>
      <c r="E136">
        <v>5</v>
      </c>
      <c r="F136">
        <v>10</v>
      </c>
      <c r="G136" s="1">
        <f t="shared" si="39"/>
        <v>70</v>
      </c>
      <c r="H136">
        <v>175</v>
      </c>
      <c r="I136">
        <v>1997</v>
      </c>
      <c r="J136">
        <v>2015</v>
      </c>
      <c r="K136" s="1">
        <f t="shared" si="40"/>
        <v>18</v>
      </c>
      <c r="L136" t="s">
        <v>41</v>
      </c>
      <c r="M136" t="s">
        <v>43</v>
      </c>
      <c r="N136" s="2">
        <f>1+5+3+60</f>
        <v>69</v>
      </c>
      <c r="O136" s="3">
        <f>5+1+29</f>
        <v>35</v>
      </c>
      <c r="P136" s="3">
        <f>1+1+39</f>
        <v>41</v>
      </c>
      <c r="Q136" s="5">
        <f t="shared" si="41"/>
        <v>76</v>
      </c>
      <c r="R136" s="4">
        <f>36</f>
        <v>36</v>
      </c>
      <c r="S136" s="2">
        <f>75</f>
        <v>75</v>
      </c>
      <c r="T136" s="5">
        <v>31</v>
      </c>
      <c r="U136" s="5">
        <v>48</v>
      </c>
      <c r="V136" s="5">
        <f t="shared" si="42"/>
        <v>79</v>
      </c>
      <c r="W136" s="4">
        <v>28</v>
      </c>
      <c r="X136">
        <f t="shared" si="29"/>
        <v>0.50724637681159424</v>
      </c>
      <c r="Y136">
        <f t="shared" si="30"/>
        <v>0.41333333333333333</v>
      </c>
      <c r="Z136">
        <f t="shared" si="31"/>
        <v>9.3913043478260905E-2</v>
      </c>
      <c r="AA136">
        <f t="shared" si="32"/>
        <v>0.59420289855072461</v>
      </c>
      <c r="AB136">
        <f t="shared" si="33"/>
        <v>0.64</v>
      </c>
      <c r="AC136">
        <f t="shared" si="34"/>
        <v>-4.5797101449275401E-2</v>
      </c>
      <c r="AD136">
        <f t="shared" si="35"/>
        <v>1.1014492753623188</v>
      </c>
      <c r="AE136">
        <f t="shared" si="36"/>
        <v>1.0533333333333332</v>
      </c>
      <c r="AF136">
        <f t="shared" si="37"/>
        <v>4.8115942028985614E-2</v>
      </c>
      <c r="AG136">
        <v>0</v>
      </c>
      <c r="AH136" s="14">
        <v>21.629921259842519</v>
      </c>
      <c r="AI136" s="14">
        <v>24.858267716535433</v>
      </c>
      <c r="AJ136" s="14">
        <v>46.488188976377948</v>
      </c>
      <c r="AK136" s="14">
        <v>44.874015748031496</v>
      </c>
      <c r="AL136" s="5" t="s">
        <v>600</v>
      </c>
    </row>
    <row r="137" spans="1:41">
      <c r="A137" t="s">
        <v>234</v>
      </c>
      <c r="B137" t="s">
        <v>247</v>
      </c>
      <c r="C137">
        <v>2</v>
      </c>
      <c r="D137" t="s">
        <v>35</v>
      </c>
      <c r="E137">
        <v>6</v>
      </c>
      <c r="F137">
        <v>4</v>
      </c>
      <c r="G137" s="1">
        <f t="shared" si="39"/>
        <v>76</v>
      </c>
      <c r="H137">
        <v>220</v>
      </c>
      <c r="I137">
        <v>1988</v>
      </c>
      <c r="J137">
        <v>2006</v>
      </c>
      <c r="K137" s="1">
        <f t="shared" si="40"/>
        <v>18</v>
      </c>
      <c r="L137" t="s">
        <v>41</v>
      </c>
      <c r="M137" t="s">
        <v>44</v>
      </c>
      <c r="N137" s="2">
        <v>68</v>
      </c>
      <c r="O137" s="5">
        <v>28</v>
      </c>
      <c r="P137" s="5">
        <v>40</v>
      </c>
      <c r="Q137" s="5">
        <f t="shared" si="41"/>
        <v>68</v>
      </c>
      <c r="R137" s="4">
        <v>69</v>
      </c>
      <c r="S137" s="2">
        <v>66</v>
      </c>
      <c r="T137" s="5">
        <v>9</v>
      </c>
      <c r="U137" s="5">
        <v>19</v>
      </c>
      <c r="V137" s="5">
        <f t="shared" si="42"/>
        <v>28</v>
      </c>
      <c r="W137" s="4">
        <v>29</v>
      </c>
      <c r="X137">
        <f t="shared" si="29"/>
        <v>0.41176470588235292</v>
      </c>
      <c r="Y137">
        <f t="shared" si="30"/>
        <v>0.13636363636363635</v>
      </c>
      <c r="Z137">
        <f t="shared" si="31"/>
        <v>0.27540106951871657</v>
      </c>
      <c r="AA137">
        <f t="shared" si="32"/>
        <v>0.58823529411764708</v>
      </c>
      <c r="AB137">
        <f t="shared" si="33"/>
        <v>0.2878787878787879</v>
      </c>
      <c r="AC137">
        <f t="shared" si="34"/>
        <v>0.30035650623885918</v>
      </c>
      <c r="AD137">
        <f t="shared" si="35"/>
        <v>1</v>
      </c>
      <c r="AE137">
        <f t="shared" si="36"/>
        <v>0.42424242424242425</v>
      </c>
      <c r="AF137">
        <f t="shared" si="37"/>
        <v>0.57575757575757569</v>
      </c>
      <c r="AG137">
        <v>0</v>
      </c>
      <c r="AH137" s="14">
        <v>19.737417943107221</v>
      </c>
      <c r="AI137" s="14">
        <v>26.645514223194748</v>
      </c>
      <c r="AJ137" s="14">
        <v>46.38293216630197</v>
      </c>
      <c r="AK137" s="14">
        <v>40.282275711159741</v>
      </c>
      <c r="AL137" s="5" t="s">
        <v>600</v>
      </c>
    </row>
    <row r="138" spans="1:41">
      <c r="A138" t="s">
        <v>498</v>
      </c>
      <c r="B138" t="s">
        <v>504</v>
      </c>
      <c r="C138">
        <v>15</v>
      </c>
      <c r="D138" t="s">
        <v>34</v>
      </c>
      <c r="E138">
        <v>6</v>
      </c>
      <c r="F138">
        <v>1</v>
      </c>
      <c r="G138" s="1">
        <f t="shared" si="39"/>
        <v>73</v>
      </c>
      <c r="H138">
        <v>218</v>
      </c>
      <c r="I138">
        <v>1993</v>
      </c>
      <c r="J138">
        <v>2011</v>
      </c>
      <c r="K138" s="1">
        <f t="shared" si="40"/>
        <v>18</v>
      </c>
      <c r="L138" t="s">
        <v>41</v>
      </c>
      <c r="M138" t="s">
        <v>44</v>
      </c>
      <c r="N138" s="2">
        <f>21+35+6</f>
        <v>62</v>
      </c>
      <c r="O138" s="3">
        <f>3+12+4</f>
        <v>19</v>
      </c>
      <c r="P138" s="3">
        <f>12+23+9</f>
        <v>44</v>
      </c>
      <c r="Q138" s="5">
        <f t="shared" si="41"/>
        <v>63</v>
      </c>
      <c r="R138" s="4">
        <f>48+38+6</f>
        <v>92</v>
      </c>
      <c r="S138" s="2">
        <f>29+17+1</f>
        <v>47</v>
      </c>
      <c r="T138" s="5">
        <v>15</v>
      </c>
      <c r="U138" s="5">
        <v>16</v>
      </c>
      <c r="V138" s="5">
        <f t="shared" si="42"/>
        <v>31</v>
      </c>
      <c r="W138" s="4">
        <f>32+47</f>
        <v>79</v>
      </c>
      <c r="AG138">
        <v>0</v>
      </c>
      <c r="AH138" s="14">
        <v>18.620087336244541</v>
      </c>
      <c r="AI138" s="14">
        <v>27.751091703056769</v>
      </c>
      <c r="AJ138" s="14">
        <v>46.37117903930131</v>
      </c>
      <c r="AK138" s="14">
        <v>35.807860262008731</v>
      </c>
      <c r="AL138" s="3" t="s">
        <v>608</v>
      </c>
    </row>
    <row r="139" spans="1:41">
      <c r="A139" t="s">
        <v>556</v>
      </c>
      <c r="B139" t="s">
        <v>563</v>
      </c>
      <c r="C139">
        <v>82</v>
      </c>
      <c r="D139" t="s">
        <v>35</v>
      </c>
      <c r="E139">
        <v>6</v>
      </c>
      <c r="F139">
        <v>0</v>
      </c>
      <c r="G139" s="1">
        <f t="shared" si="39"/>
        <v>72</v>
      </c>
      <c r="H139">
        <v>197</v>
      </c>
      <c r="I139">
        <v>1990</v>
      </c>
      <c r="J139">
        <v>2008</v>
      </c>
      <c r="K139" s="1">
        <f t="shared" si="40"/>
        <v>18</v>
      </c>
      <c r="L139" t="s">
        <v>41</v>
      </c>
      <c r="M139" t="s">
        <v>44</v>
      </c>
      <c r="N139" s="2">
        <v>66</v>
      </c>
      <c r="O139" s="5">
        <v>20</v>
      </c>
      <c r="P139" s="5">
        <v>24</v>
      </c>
      <c r="Q139" s="5">
        <f t="shared" si="41"/>
        <v>44</v>
      </c>
      <c r="R139" s="4">
        <v>28</v>
      </c>
      <c r="S139" s="2">
        <v>62</v>
      </c>
      <c r="T139" s="5">
        <v>23</v>
      </c>
      <c r="U139" s="5">
        <v>21</v>
      </c>
      <c r="V139" s="5">
        <f t="shared" si="42"/>
        <v>44</v>
      </c>
      <c r="W139" s="4">
        <v>20</v>
      </c>
      <c r="AG139">
        <v>0</v>
      </c>
      <c r="AH139" s="14">
        <v>22.291262135922331</v>
      </c>
      <c r="AI139" s="14">
        <v>24.016181229773466</v>
      </c>
      <c r="AJ139" s="14">
        <v>46.307443365695796</v>
      </c>
      <c r="AK139" s="14">
        <v>25.475728155339809</v>
      </c>
      <c r="AL139" s="3" t="s">
        <v>600</v>
      </c>
    </row>
    <row r="140" spans="1:41">
      <c r="A140" t="s">
        <v>539</v>
      </c>
      <c r="B140" t="s">
        <v>551</v>
      </c>
      <c r="C140">
        <v>9</v>
      </c>
      <c r="D140" t="s">
        <v>119</v>
      </c>
      <c r="E140">
        <v>6</v>
      </c>
      <c r="F140">
        <v>0</v>
      </c>
      <c r="G140" s="1">
        <f t="shared" si="39"/>
        <v>72</v>
      </c>
      <c r="H140">
        <v>210</v>
      </c>
      <c r="I140">
        <v>1996</v>
      </c>
      <c r="J140">
        <v>2015</v>
      </c>
      <c r="K140" s="1">
        <f t="shared" si="40"/>
        <v>19</v>
      </c>
      <c r="L140" t="s">
        <v>41</v>
      </c>
      <c r="M140" t="s">
        <v>44</v>
      </c>
      <c r="N140" s="2">
        <f>14+6+61</f>
        <v>81</v>
      </c>
      <c r="O140" s="3">
        <f>4+2+44</f>
        <v>50</v>
      </c>
      <c r="P140" s="3">
        <f>6+4+46</f>
        <v>56</v>
      </c>
      <c r="Q140" s="5">
        <f t="shared" si="41"/>
        <v>106</v>
      </c>
      <c r="R140" s="4">
        <f>10+2+59</f>
        <v>71</v>
      </c>
      <c r="S140" s="2">
        <f>66+7+4</f>
        <v>77</v>
      </c>
      <c r="T140" s="5">
        <v>18</v>
      </c>
      <c r="U140" s="5">
        <v>21</v>
      </c>
      <c r="V140" s="5">
        <f t="shared" si="42"/>
        <v>39</v>
      </c>
      <c r="W140" s="4">
        <v>62</v>
      </c>
      <c r="AG140">
        <v>0</v>
      </c>
      <c r="AH140" s="14">
        <v>22.672811059907833</v>
      </c>
      <c r="AI140" s="14">
        <v>23.428571428571427</v>
      </c>
      <c r="AJ140" s="14">
        <v>46.10138248847926</v>
      </c>
      <c r="AK140" s="14">
        <v>48.368663594470043</v>
      </c>
      <c r="AL140" s="5" t="s">
        <v>614</v>
      </c>
    </row>
    <row r="141" spans="1:41">
      <c r="A141" t="s">
        <v>283</v>
      </c>
      <c r="B141" t="s">
        <v>293</v>
      </c>
      <c r="C141">
        <v>61</v>
      </c>
      <c r="D141" t="s">
        <v>35</v>
      </c>
      <c r="E141">
        <v>6</v>
      </c>
      <c r="F141">
        <v>2</v>
      </c>
      <c r="G141" s="1">
        <f t="shared" si="39"/>
        <v>74</v>
      </c>
      <c r="H141">
        <v>185</v>
      </c>
      <c r="I141">
        <v>1988</v>
      </c>
      <c r="J141">
        <v>2007</v>
      </c>
      <c r="K141" s="1">
        <f t="shared" si="40"/>
        <v>19</v>
      </c>
      <c r="L141" t="s">
        <v>41</v>
      </c>
      <c r="M141" t="s">
        <v>43</v>
      </c>
      <c r="N141" s="2">
        <v>66</v>
      </c>
      <c r="O141" s="5">
        <v>23</v>
      </c>
      <c r="P141" s="5">
        <v>26</v>
      </c>
      <c r="Q141" s="5">
        <f t="shared" si="41"/>
        <v>49</v>
      </c>
      <c r="R141" s="4">
        <v>112</v>
      </c>
      <c r="S141" s="2">
        <v>49</v>
      </c>
      <c r="T141" s="5">
        <v>24</v>
      </c>
      <c r="U141" s="5">
        <v>19</v>
      </c>
      <c r="V141" s="5">
        <f t="shared" si="42"/>
        <v>43</v>
      </c>
      <c r="W141" s="4">
        <v>127</v>
      </c>
      <c r="X141">
        <f>O141/N141</f>
        <v>0.34848484848484851</v>
      </c>
      <c r="Y141">
        <f>T141/S141</f>
        <v>0.48979591836734693</v>
      </c>
      <c r="Z141">
        <f>X141-Y141</f>
        <v>-0.14131106988249842</v>
      </c>
      <c r="AA141">
        <f>P141/N141</f>
        <v>0.39393939393939392</v>
      </c>
      <c r="AB141">
        <f>U141/S141</f>
        <v>0.38775510204081631</v>
      </c>
      <c r="AC141">
        <f>AA141-AB141</f>
        <v>6.1842918985776096E-3</v>
      </c>
      <c r="AD141">
        <f>Q141/N141</f>
        <v>0.74242424242424243</v>
      </c>
      <c r="AE141">
        <f>V141/S141</f>
        <v>0.87755102040816324</v>
      </c>
      <c r="AF141">
        <f>AD141-AE141</f>
        <v>-0.13512677798392081</v>
      </c>
      <c r="AG141">
        <v>0</v>
      </c>
      <c r="AH141" s="14">
        <v>23.523809523809522</v>
      </c>
      <c r="AI141" s="14">
        <v>22.476190476190474</v>
      </c>
      <c r="AJ141" s="14">
        <v>46</v>
      </c>
      <c r="AK141" s="14">
        <v>101.80952380952381</v>
      </c>
      <c r="AL141" s="3" t="s">
        <v>600</v>
      </c>
    </row>
    <row r="142" spans="1:41">
      <c r="A142" t="s">
        <v>576</v>
      </c>
      <c r="B142" t="s">
        <v>590</v>
      </c>
      <c r="C142">
        <v>47</v>
      </c>
      <c r="D142" t="s">
        <v>35</v>
      </c>
      <c r="E142">
        <v>6</v>
      </c>
      <c r="F142">
        <v>0</v>
      </c>
      <c r="G142" s="1">
        <f t="shared" si="39"/>
        <v>72</v>
      </c>
      <c r="H142">
        <v>197</v>
      </c>
      <c r="I142">
        <v>1992</v>
      </c>
      <c r="J142">
        <v>2010</v>
      </c>
      <c r="K142" s="1">
        <f t="shared" si="40"/>
        <v>18</v>
      </c>
      <c r="L142" t="s">
        <v>41</v>
      </c>
      <c r="M142" t="s">
        <v>43</v>
      </c>
      <c r="N142" s="2">
        <v>65</v>
      </c>
      <c r="O142" s="5">
        <v>37</v>
      </c>
      <c r="P142" s="5">
        <v>42</v>
      </c>
      <c r="Q142" s="5">
        <f t="shared" si="41"/>
        <v>79</v>
      </c>
      <c r="R142" s="4">
        <v>54</v>
      </c>
      <c r="S142" s="2">
        <v>54</v>
      </c>
      <c r="T142" s="5">
        <v>17</v>
      </c>
      <c r="U142" s="5">
        <v>29</v>
      </c>
      <c r="V142" s="5">
        <f t="shared" si="42"/>
        <v>46</v>
      </c>
      <c r="W142" s="4">
        <v>16</v>
      </c>
      <c r="AG142">
        <v>0</v>
      </c>
      <c r="AH142" s="14">
        <v>21.741127348643005</v>
      </c>
      <c r="AI142" s="14">
        <v>24.137787056367429</v>
      </c>
      <c r="AJ142" s="14">
        <v>45.878914405010434</v>
      </c>
      <c r="AK142" s="14">
        <v>23.281837160751564</v>
      </c>
      <c r="AL142" s="3" t="s">
        <v>600</v>
      </c>
    </row>
    <row r="143" spans="1:41">
      <c r="A143" t="s">
        <v>510</v>
      </c>
      <c r="B143" t="s">
        <v>516</v>
      </c>
      <c r="C143">
        <v>53</v>
      </c>
      <c r="D143" t="s">
        <v>65</v>
      </c>
      <c r="E143">
        <v>6</v>
      </c>
      <c r="F143">
        <v>1</v>
      </c>
      <c r="G143" s="1">
        <f t="shared" si="39"/>
        <v>73</v>
      </c>
      <c r="H143">
        <v>189</v>
      </c>
      <c r="I143">
        <v>1993</v>
      </c>
      <c r="J143">
        <v>2011</v>
      </c>
      <c r="K143" s="1">
        <f t="shared" si="40"/>
        <v>18</v>
      </c>
      <c r="L143" t="s">
        <v>41</v>
      </c>
      <c r="M143" t="s">
        <v>44</v>
      </c>
      <c r="N143" s="2">
        <v>14</v>
      </c>
      <c r="O143" s="5">
        <v>1</v>
      </c>
      <c r="P143" s="5">
        <v>3</v>
      </c>
      <c r="Q143" s="5">
        <f t="shared" si="41"/>
        <v>4</v>
      </c>
      <c r="R143" s="4">
        <v>2</v>
      </c>
      <c r="V143" s="5">
        <f t="shared" si="42"/>
        <v>0</v>
      </c>
      <c r="AG143">
        <v>0</v>
      </c>
      <c r="AH143" s="14">
        <v>20.5</v>
      </c>
      <c r="AI143" s="14">
        <v>25.129032258064516</v>
      </c>
      <c r="AJ143" s="14">
        <v>45.629032258064512</v>
      </c>
      <c r="AK143" s="14">
        <v>12.344086021505376</v>
      </c>
      <c r="AL143" s="3" t="s">
        <v>606</v>
      </c>
    </row>
    <row r="144" spans="1:41">
      <c r="A144" t="s">
        <v>461</v>
      </c>
      <c r="B144" t="s">
        <v>466</v>
      </c>
      <c r="C144">
        <v>6</v>
      </c>
      <c r="D144" t="s">
        <v>35</v>
      </c>
      <c r="E144">
        <v>5</v>
      </c>
      <c r="F144">
        <v>11</v>
      </c>
      <c r="G144" s="1">
        <f t="shared" si="39"/>
        <v>71</v>
      </c>
      <c r="H144">
        <v>200</v>
      </c>
      <c r="I144">
        <v>1989</v>
      </c>
      <c r="J144">
        <v>2007</v>
      </c>
      <c r="K144" s="1">
        <f t="shared" si="40"/>
        <v>18</v>
      </c>
      <c r="L144" t="s">
        <v>41</v>
      </c>
      <c r="M144" t="s">
        <v>43</v>
      </c>
      <c r="N144" s="2">
        <v>59</v>
      </c>
      <c r="O144" s="5">
        <v>35</v>
      </c>
      <c r="P144" s="5">
        <v>83</v>
      </c>
      <c r="Q144" s="5">
        <f t="shared" si="41"/>
        <v>118</v>
      </c>
      <c r="R144" s="4">
        <v>36</v>
      </c>
      <c r="S144" s="2">
        <v>56</v>
      </c>
      <c r="T144" s="5">
        <v>11</v>
      </c>
      <c r="U144" s="5">
        <v>35</v>
      </c>
      <c r="V144" s="5">
        <f t="shared" si="42"/>
        <v>46</v>
      </c>
      <c r="W144" s="4">
        <v>60</v>
      </c>
      <c r="AG144">
        <v>0</v>
      </c>
      <c r="AH144" s="14">
        <v>16.076448828606658</v>
      </c>
      <c r="AI144" s="14">
        <v>29.321824907521581</v>
      </c>
      <c r="AJ144" s="14">
        <v>45.398273736128239</v>
      </c>
      <c r="AK144" s="14">
        <v>37.410604192355116</v>
      </c>
      <c r="AL144" s="3" t="s">
        <v>600</v>
      </c>
    </row>
    <row r="145" spans="1:41">
      <c r="A145" s="6" t="s">
        <v>102</v>
      </c>
      <c r="B145" t="s">
        <v>117</v>
      </c>
      <c r="C145">
        <v>105</v>
      </c>
      <c r="D145" t="s">
        <v>34</v>
      </c>
      <c r="E145">
        <v>6</v>
      </c>
      <c r="F145">
        <v>1</v>
      </c>
      <c r="G145" s="1">
        <f t="shared" si="39"/>
        <v>73</v>
      </c>
      <c r="H145">
        <v>191</v>
      </c>
      <c r="I145">
        <v>1986</v>
      </c>
      <c r="J145">
        <v>2005</v>
      </c>
      <c r="K145" s="1">
        <f t="shared" si="40"/>
        <v>19</v>
      </c>
      <c r="L145" t="s">
        <v>42</v>
      </c>
      <c r="M145" t="s">
        <v>44</v>
      </c>
      <c r="N145" s="2">
        <v>66</v>
      </c>
      <c r="O145" s="5">
        <v>25</v>
      </c>
      <c r="P145" s="5">
        <v>59</v>
      </c>
      <c r="Q145" s="5">
        <f t="shared" si="41"/>
        <v>84</v>
      </c>
      <c r="R145" s="4">
        <v>109</v>
      </c>
      <c r="S145" s="2">
        <v>34</v>
      </c>
      <c r="T145" s="5">
        <v>14</v>
      </c>
      <c r="U145" s="5">
        <v>40</v>
      </c>
      <c r="V145" s="5">
        <f t="shared" si="42"/>
        <v>54</v>
      </c>
      <c r="W145" s="4">
        <v>52</v>
      </c>
      <c r="X145">
        <f>O145/N145</f>
        <v>0.37878787878787878</v>
      </c>
      <c r="Y145">
        <f>T145/S145</f>
        <v>0.41176470588235292</v>
      </c>
      <c r="Z145">
        <f>X145-Y145</f>
        <v>-3.2976827094474137E-2</v>
      </c>
      <c r="AA145">
        <f>P145/N145</f>
        <v>0.89393939393939392</v>
      </c>
      <c r="AB145">
        <f>U145/S145</f>
        <v>1.1764705882352942</v>
      </c>
      <c r="AC145">
        <f>AA145-AB145</f>
        <v>-0.28253119429590023</v>
      </c>
      <c r="AD145">
        <f>Q145/N145</f>
        <v>1.2727272727272727</v>
      </c>
      <c r="AE145">
        <f>V145/S145</f>
        <v>1.588235294117647</v>
      </c>
      <c r="AF145">
        <f>AD145-AE145</f>
        <v>-0.31550802139037426</v>
      </c>
      <c r="AG145">
        <v>0</v>
      </c>
      <c r="AH145" s="14">
        <v>8.4827586206896548</v>
      </c>
      <c r="AI145" s="14">
        <v>39.762931034482754</v>
      </c>
      <c r="AJ145" s="14">
        <v>48.245689655172413</v>
      </c>
      <c r="AK145" s="14">
        <v>48.422413793103445</v>
      </c>
      <c r="AL145" s="5" t="s">
        <v>612</v>
      </c>
      <c r="AM145" s="22">
        <v>69</v>
      </c>
      <c r="AN145" s="22">
        <v>1033</v>
      </c>
      <c r="AO145">
        <f t="shared" ref="AO145:AO146" si="43">AM145/AN145</f>
        <v>6.6795740561471445E-2</v>
      </c>
    </row>
    <row r="146" spans="1:41">
      <c r="A146" s="6" t="s">
        <v>148</v>
      </c>
      <c r="B146" t="s">
        <v>158</v>
      </c>
      <c r="C146">
        <v>29</v>
      </c>
      <c r="D146" t="s">
        <v>35</v>
      </c>
      <c r="E146">
        <v>6</v>
      </c>
      <c r="F146">
        <v>1</v>
      </c>
      <c r="G146" s="1">
        <f t="shared" si="39"/>
        <v>73</v>
      </c>
      <c r="H146">
        <v>210</v>
      </c>
      <c r="I146">
        <v>1985</v>
      </c>
      <c r="J146">
        <v>2004</v>
      </c>
      <c r="K146" s="1">
        <f t="shared" si="40"/>
        <v>19</v>
      </c>
      <c r="L146" t="s">
        <v>42</v>
      </c>
      <c r="M146" t="s">
        <v>43</v>
      </c>
      <c r="N146" s="2">
        <v>59</v>
      </c>
      <c r="O146" s="5">
        <v>14</v>
      </c>
      <c r="P146" s="5">
        <v>25</v>
      </c>
      <c r="Q146" s="5">
        <f t="shared" si="41"/>
        <v>39</v>
      </c>
      <c r="R146" s="4">
        <v>92</v>
      </c>
      <c r="S146" s="2">
        <v>79</v>
      </c>
      <c r="T146" s="5">
        <v>6</v>
      </c>
      <c r="U146" s="5">
        <v>36</v>
      </c>
      <c r="V146" s="5">
        <f t="shared" si="42"/>
        <v>42</v>
      </c>
      <c r="W146" s="4">
        <v>72</v>
      </c>
      <c r="X146">
        <f>O146/N146</f>
        <v>0.23728813559322035</v>
      </c>
      <c r="Y146">
        <f>T146/S146</f>
        <v>7.5949367088607597E-2</v>
      </c>
      <c r="Z146">
        <f>X146-Y146</f>
        <v>0.16133876850461276</v>
      </c>
      <c r="AA146">
        <f>P146/N146</f>
        <v>0.42372881355932202</v>
      </c>
      <c r="AB146">
        <f>U146/S146</f>
        <v>0.45569620253164556</v>
      </c>
      <c r="AC146">
        <f>AA146-AB146</f>
        <v>-3.196738897232354E-2</v>
      </c>
      <c r="AD146">
        <f>Q146/N146</f>
        <v>0.66101694915254239</v>
      </c>
      <c r="AE146">
        <f>V146/S146</f>
        <v>0.53164556962025311</v>
      </c>
      <c r="AF146">
        <f>AD146-AE146</f>
        <v>0.12937137953228928</v>
      </c>
      <c r="AG146">
        <v>0</v>
      </c>
      <c r="AH146" s="14">
        <v>14.294464075382804</v>
      </c>
      <c r="AI146" s="14">
        <v>33.418138987043584</v>
      </c>
      <c r="AJ146" s="14">
        <v>47.712603062426389</v>
      </c>
      <c r="AK146" s="14">
        <v>55.632508833922266</v>
      </c>
      <c r="AL146" s="5" t="s">
        <v>599</v>
      </c>
      <c r="AM146" s="22">
        <v>67</v>
      </c>
      <c r="AN146" s="22">
        <v>766</v>
      </c>
      <c r="AO146">
        <f t="shared" si="43"/>
        <v>8.7467362924281991E-2</v>
      </c>
    </row>
    <row r="147" spans="1:41">
      <c r="A147" t="s">
        <v>525</v>
      </c>
      <c r="B147" t="s">
        <v>534</v>
      </c>
      <c r="C147">
        <v>50</v>
      </c>
      <c r="D147" t="s">
        <v>35</v>
      </c>
      <c r="E147">
        <v>6</v>
      </c>
      <c r="F147">
        <v>3</v>
      </c>
      <c r="G147" s="1">
        <f t="shared" si="39"/>
        <v>75</v>
      </c>
      <c r="H147">
        <v>231</v>
      </c>
      <c r="I147">
        <v>1988</v>
      </c>
      <c r="J147">
        <v>2006</v>
      </c>
      <c r="K147" s="1">
        <f t="shared" si="40"/>
        <v>18</v>
      </c>
      <c r="L147" t="s">
        <v>41</v>
      </c>
      <c r="M147" t="s">
        <v>44</v>
      </c>
      <c r="N147" s="2">
        <v>62</v>
      </c>
      <c r="O147" s="5">
        <v>9</v>
      </c>
      <c r="P147" s="5">
        <v>10</v>
      </c>
      <c r="Q147" s="5">
        <f t="shared" si="41"/>
        <v>19</v>
      </c>
      <c r="R147" s="4">
        <v>149</v>
      </c>
      <c r="S147" s="2">
        <v>51</v>
      </c>
      <c r="T147" s="5">
        <v>9</v>
      </c>
      <c r="U147" s="5">
        <v>14</v>
      </c>
      <c r="V147" s="5">
        <f t="shared" si="42"/>
        <v>23</v>
      </c>
      <c r="W147" s="4">
        <v>102</v>
      </c>
      <c r="AG147">
        <v>0</v>
      </c>
      <c r="AH147" s="14">
        <v>17.763676148796499</v>
      </c>
      <c r="AI147" s="14">
        <v>27.542669584245079</v>
      </c>
      <c r="AJ147" s="14">
        <v>45.306345733041582</v>
      </c>
      <c r="AK147" s="14">
        <v>99.225382932166312</v>
      </c>
      <c r="AL147" s="3" t="s">
        <v>599</v>
      </c>
    </row>
    <row r="148" spans="1:41">
      <c r="A148" s="6" t="s">
        <v>49</v>
      </c>
      <c r="B148" t="s">
        <v>54</v>
      </c>
      <c r="C148">
        <v>202</v>
      </c>
      <c r="D148" t="s">
        <v>65</v>
      </c>
      <c r="E148">
        <v>5</v>
      </c>
      <c r="F148">
        <v>10</v>
      </c>
      <c r="G148" s="1">
        <f t="shared" si="39"/>
        <v>70</v>
      </c>
      <c r="H148">
        <v>181</v>
      </c>
      <c r="I148">
        <v>1994</v>
      </c>
      <c r="J148">
        <v>2013</v>
      </c>
      <c r="K148" s="1">
        <f t="shared" si="40"/>
        <v>19</v>
      </c>
      <c r="L148" t="s">
        <v>41</v>
      </c>
      <c r="M148" t="s">
        <v>44</v>
      </c>
      <c r="N148" s="2">
        <f>7+42</f>
        <v>49</v>
      </c>
      <c r="O148" s="3">
        <f>24</f>
        <v>24</v>
      </c>
      <c r="P148" s="3">
        <v>31</v>
      </c>
      <c r="Q148" s="3">
        <f t="shared" si="41"/>
        <v>55</v>
      </c>
      <c r="R148" s="4">
        <v>54</v>
      </c>
      <c r="S148" s="2">
        <v>48</v>
      </c>
      <c r="T148" s="3">
        <v>28</v>
      </c>
      <c r="U148" s="3">
        <v>18</v>
      </c>
      <c r="V148" s="3">
        <f t="shared" si="42"/>
        <v>46</v>
      </c>
      <c r="W148" s="4">
        <v>79</v>
      </c>
      <c r="X148">
        <f>O148/N148</f>
        <v>0.48979591836734693</v>
      </c>
      <c r="Y148">
        <f>T148/S148</f>
        <v>0.58333333333333337</v>
      </c>
      <c r="Z148">
        <f>X148-Y148</f>
        <v>-9.3537414965986443E-2</v>
      </c>
      <c r="AA148">
        <f>P148/N148</f>
        <v>0.63265306122448983</v>
      </c>
      <c r="AB148">
        <f>U148/S148</f>
        <v>0.375</v>
      </c>
      <c r="AC148">
        <f>AA148-AB148</f>
        <v>0.25765306122448983</v>
      </c>
      <c r="AD148">
        <f>Q148/N148</f>
        <v>1.1224489795918366</v>
      </c>
      <c r="AE148">
        <f>V148/S148</f>
        <v>0.95833333333333337</v>
      </c>
      <c r="AF148">
        <f>AD148-AE148</f>
        <v>0.16411564625850328</v>
      </c>
      <c r="AG148">
        <v>0</v>
      </c>
      <c r="AH148" s="14">
        <v>21.085714285714285</v>
      </c>
      <c r="AI148" s="14">
        <v>24.209523809523809</v>
      </c>
      <c r="AJ148" s="14">
        <v>45.295238095238098</v>
      </c>
      <c r="AK148" s="14">
        <v>35.923809523809524</v>
      </c>
      <c r="AL148" s="5" t="s">
        <v>65</v>
      </c>
    </row>
    <row r="149" spans="1:41">
      <c r="A149" t="s">
        <v>576</v>
      </c>
      <c r="B149" t="s">
        <v>578</v>
      </c>
      <c r="C149">
        <v>13</v>
      </c>
      <c r="D149" t="s">
        <v>34</v>
      </c>
      <c r="E149">
        <v>6</v>
      </c>
      <c r="F149">
        <v>0</v>
      </c>
      <c r="G149" s="1">
        <f t="shared" si="39"/>
        <v>72</v>
      </c>
      <c r="H149">
        <v>210</v>
      </c>
      <c r="I149">
        <v>1984</v>
      </c>
      <c r="J149">
        <v>2003</v>
      </c>
      <c r="K149" s="1">
        <f t="shared" si="40"/>
        <v>19</v>
      </c>
      <c r="L149" t="s">
        <v>41</v>
      </c>
      <c r="M149" t="s">
        <v>43</v>
      </c>
      <c r="N149" s="2">
        <v>65</v>
      </c>
      <c r="O149" s="5">
        <v>36</v>
      </c>
      <c r="P149" s="5">
        <v>44</v>
      </c>
      <c r="Q149" s="5">
        <f t="shared" si="41"/>
        <v>80</v>
      </c>
      <c r="R149" s="4">
        <v>99</v>
      </c>
      <c r="S149" s="2">
        <v>70</v>
      </c>
      <c r="T149" s="5">
        <v>42</v>
      </c>
      <c r="U149" s="5">
        <v>35</v>
      </c>
      <c r="V149" s="5">
        <f t="shared" si="42"/>
        <v>77</v>
      </c>
      <c r="W149" s="4">
        <v>66</v>
      </c>
      <c r="AG149">
        <v>0</v>
      </c>
      <c r="AH149" s="14">
        <v>20.571929824561405</v>
      </c>
      <c r="AI149" s="14">
        <v>24.671929824561403</v>
      </c>
      <c r="AJ149" s="14">
        <v>45.243859649122811</v>
      </c>
      <c r="AK149" s="14">
        <v>49.343859649122805</v>
      </c>
      <c r="AL149" s="3" t="s">
        <v>600</v>
      </c>
    </row>
    <row r="150" spans="1:41">
      <c r="A150" s="6" t="s">
        <v>121</v>
      </c>
      <c r="B150" t="s">
        <v>132</v>
      </c>
      <c r="C150">
        <v>14</v>
      </c>
      <c r="D150" t="s">
        <v>34</v>
      </c>
      <c r="E150">
        <v>6</v>
      </c>
      <c r="F150">
        <v>0</v>
      </c>
      <c r="G150" s="1">
        <f t="shared" si="39"/>
        <v>72</v>
      </c>
      <c r="H150">
        <v>206</v>
      </c>
      <c r="I150">
        <v>1989</v>
      </c>
      <c r="J150">
        <v>2007</v>
      </c>
      <c r="K150" s="1">
        <f t="shared" si="40"/>
        <v>18</v>
      </c>
      <c r="L150" t="s">
        <v>42</v>
      </c>
      <c r="M150" t="s">
        <v>43</v>
      </c>
      <c r="N150" s="2">
        <v>64</v>
      </c>
      <c r="O150" s="5">
        <v>14</v>
      </c>
      <c r="P150" s="5">
        <v>31</v>
      </c>
      <c r="Q150" s="5">
        <f t="shared" si="41"/>
        <v>45</v>
      </c>
      <c r="R150" s="4">
        <v>64</v>
      </c>
      <c r="S150" s="2">
        <v>41</v>
      </c>
      <c r="T150" s="5">
        <v>10</v>
      </c>
      <c r="U150" s="5">
        <v>13</v>
      </c>
      <c r="V150" s="5">
        <f t="shared" si="42"/>
        <v>23</v>
      </c>
      <c r="W150" s="4">
        <v>21</v>
      </c>
      <c r="X150">
        <f>O150/N150</f>
        <v>0.21875</v>
      </c>
      <c r="Y150">
        <f>T150/S150</f>
        <v>0.24390243902439024</v>
      </c>
      <c r="Z150">
        <f>X150-Y150</f>
        <v>-2.5152439024390238E-2</v>
      </c>
      <c r="AA150">
        <f>P150/N150</f>
        <v>0.484375</v>
      </c>
      <c r="AB150">
        <f>U150/S150</f>
        <v>0.31707317073170732</v>
      </c>
      <c r="AC150">
        <f>AA150-AB150</f>
        <v>0.16730182926829268</v>
      </c>
      <c r="AD150">
        <f>Q150/N150</f>
        <v>0.703125</v>
      </c>
      <c r="AE150">
        <f>V150/S150</f>
        <v>0.56097560975609762</v>
      </c>
      <c r="AF150">
        <f>AD150-AE150</f>
        <v>0.14214939024390238</v>
      </c>
      <c r="AG150">
        <v>0</v>
      </c>
      <c r="AH150" s="14">
        <v>10.462519936204146</v>
      </c>
      <c r="AI150" s="14">
        <v>37.141945773524718</v>
      </c>
      <c r="AJ150" s="14">
        <v>47.604465709728863</v>
      </c>
      <c r="AK150" s="14">
        <v>49.435406698564591</v>
      </c>
      <c r="AL150" s="3" t="s">
        <v>608</v>
      </c>
      <c r="AM150" s="22">
        <v>65</v>
      </c>
      <c r="AN150" s="22">
        <v>776</v>
      </c>
      <c r="AO150">
        <f>AM150/AN150</f>
        <v>8.3762886597938138E-2</v>
      </c>
    </row>
    <row r="151" spans="1:41">
      <c r="A151" t="s">
        <v>510</v>
      </c>
      <c r="B151" t="s">
        <v>523</v>
      </c>
      <c r="C151">
        <v>18</v>
      </c>
      <c r="D151" t="s">
        <v>34</v>
      </c>
      <c r="E151">
        <v>6</v>
      </c>
      <c r="F151">
        <v>4</v>
      </c>
      <c r="G151" s="1">
        <f t="shared" si="39"/>
        <v>76</v>
      </c>
      <c r="H151">
        <v>222</v>
      </c>
      <c r="I151">
        <v>1996</v>
      </c>
      <c r="J151">
        <v>2014</v>
      </c>
      <c r="K151" s="1">
        <f t="shared" si="40"/>
        <v>18</v>
      </c>
      <c r="L151" t="s">
        <v>41</v>
      </c>
      <c r="M151" t="s">
        <v>43</v>
      </c>
      <c r="N151" s="2">
        <f>26+7+61</f>
        <v>94</v>
      </c>
      <c r="O151" s="3">
        <f>13+29</f>
        <v>42</v>
      </c>
      <c r="P151" s="3">
        <f>19+3+35</f>
        <v>57</v>
      </c>
      <c r="Q151" s="5">
        <f t="shared" si="41"/>
        <v>99</v>
      </c>
      <c r="R151" s="4">
        <f>36+14+70</f>
        <v>120</v>
      </c>
      <c r="S151" s="2">
        <f>56+38+6</f>
        <v>100</v>
      </c>
      <c r="T151" s="5">
        <v>16</v>
      </c>
      <c r="U151" s="5">
        <v>24</v>
      </c>
      <c r="V151" s="5">
        <f t="shared" si="42"/>
        <v>40</v>
      </c>
      <c r="W151" s="4">
        <f>32+24+4</f>
        <v>60</v>
      </c>
      <c r="AG151">
        <v>0</v>
      </c>
      <c r="AH151" s="14">
        <v>17.783132530120483</v>
      </c>
      <c r="AI151" s="14">
        <v>27.168674698795179</v>
      </c>
      <c r="AJ151" s="14">
        <v>44.951807228915662</v>
      </c>
      <c r="AK151" s="14">
        <v>17.289156626506024</v>
      </c>
      <c r="AL151" s="5" t="s">
        <v>608</v>
      </c>
    </row>
    <row r="152" spans="1:41">
      <c r="A152" t="s">
        <v>188</v>
      </c>
      <c r="B152" t="s">
        <v>189</v>
      </c>
      <c r="C152">
        <v>9</v>
      </c>
      <c r="D152" t="s">
        <v>35</v>
      </c>
      <c r="E152">
        <v>6</v>
      </c>
      <c r="F152">
        <v>1</v>
      </c>
      <c r="G152" s="1">
        <f t="shared" si="39"/>
        <v>73</v>
      </c>
      <c r="H152">
        <v>212</v>
      </c>
      <c r="I152">
        <v>1989</v>
      </c>
      <c r="J152">
        <v>2008</v>
      </c>
      <c r="K152" s="1">
        <f t="shared" si="40"/>
        <v>19</v>
      </c>
      <c r="L152" t="s">
        <v>41</v>
      </c>
      <c r="M152" t="s">
        <v>44</v>
      </c>
      <c r="N152" s="2">
        <v>69</v>
      </c>
      <c r="O152" s="5">
        <v>22</v>
      </c>
      <c r="P152" s="5">
        <v>39</v>
      </c>
      <c r="Q152" s="5">
        <f t="shared" si="41"/>
        <v>61</v>
      </c>
      <c r="R152" s="4">
        <v>24</v>
      </c>
      <c r="S152" s="2">
        <v>55</v>
      </c>
      <c r="T152" s="5">
        <v>7</v>
      </c>
      <c r="U152" s="5">
        <v>19</v>
      </c>
      <c r="V152" s="5">
        <f t="shared" si="42"/>
        <v>26</v>
      </c>
      <c r="W152" s="4">
        <v>8</v>
      </c>
      <c r="X152">
        <f>O152/N152</f>
        <v>0.3188405797101449</v>
      </c>
      <c r="Y152">
        <f>T152/S152</f>
        <v>0.12727272727272726</v>
      </c>
      <c r="Z152">
        <f>X152-Y152</f>
        <v>0.19156785243741764</v>
      </c>
      <c r="AA152">
        <f>P152/N152</f>
        <v>0.56521739130434778</v>
      </c>
      <c r="AB152">
        <f>U152/S152</f>
        <v>0.34545454545454546</v>
      </c>
      <c r="AC152">
        <f>AA152-AB152</f>
        <v>0.21976284584980232</v>
      </c>
      <c r="AD152">
        <f>Q152/N152</f>
        <v>0.88405797101449279</v>
      </c>
      <c r="AE152">
        <f>V152/S152</f>
        <v>0.47272727272727272</v>
      </c>
      <c r="AF152">
        <f>AD152-AE152</f>
        <v>0.41133069828722008</v>
      </c>
      <c r="AG152">
        <v>0</v>
      </c>
      <c r="AH152" s="14">
        <v>14.772058823529413</v>
      </c>
      <c r="AI152" s="14">
        <v>30.147058823529413</v>
      </c>
      <c r="AJ152" s="14">
        <v>44.919117647058826</v>
      </c>
      <c r="AK152" s="14">
        <v>22.007352941176471</v>
      </c>
      <c r="AL152" s="5" t="s">
        <v>600</v>
      </c>
    </row>
    <row r="153" spans="1:41">
      <c r="A153" t="s">
        <v>283</v>
      </c>
      <c r="B153" t="s">
        <v>298</v>
      </c>
      <c r="C153">
        <v>20</v>
      </c>
      <c r="D153" t="s">
        <v>35</v>
      </c>
      <c r="E153">
        <v>6</v>
      </c>
      <c r="F153">
        <v>2</v>
      </c>
      <c r="G153" s="1">
        <f t="shared" si="39"/>
        <v>74</v>
      </c>
      <c r="H153">
        <v>185</v>
      </c>
      <c r="I153">
        <v>1985</v>
      </c>
      <c r="J153">
        <v>2004</v>
      </c>
      <c r="K153" s="1">
        <f t="shared" si="40"/>
        <v>19</v>
      </c>
      <c r="L153" t="s">
        <v>41</v>
      </c>
      <c r="M153" t="s">
        <v>43</v>
      </c>
      <c r="N153" s="2">
        <v>59</v>
      </c>
      <c r="O153" s="5">
        <v>43</v>
      </c>
      <c r="P153" s="5">
        <v>69</v>
      </c>
      <c r="Q153" s="5">
        <f t="shared" si="41"/>
        <v>112</v>
      </c>
      <c r="R153" s="4">
        <v>110</v>
      </c>
      <c r="S153" s="2">
        <v>59</v>
      </c>
      <c r="T153" s="5">
        <v>16</v>
      </c>
      <c r="U153" s="5">
        <v>36</v>
      </c>
      <c r="V153" s="5">
        <f t="shared" si="42"/>
        <v>52</v>
      </c>
      <c r="W153" s="4">
        <v>27</v>
      </c>
      <c r="X153">
        <f>O153/N153</f>
        <v>0.72881355932203384</v>
      </c>
      <c r="Y153">
        <f>T153/S153</f>
        <v>0.2711864406779661</v>
      </c>
      <c r="Z153">
        <f>X153-Y153</f>
        <v>0.45762711864406774</v>
      </c>
      <c r="AA153">
        <f>P153/N153</f>
        <v>1.1694915254237288</v>
      </c>
      <c r="AB153">
        <f>U153/S153</f>
        <v>0.61016949152542377</v>
      </c>
      <c r="AC153">
        <f>AA153-AB153</f>
        <v>0.55932203389830504</v>
      </c>
      <c r="AD153">
        <f>Q153/N153</f>
        <v>1.8983050847457628</v>
      </c>
      <c r="AE153">
        <f>V153/S153</f>
        <v>0.88135593220338981</v>
      </c>
      <c r="AF153">
        <f>AD153-AE153</f>
        <v>1.0169491525423728</v>
      </c>
      <c r="AG153">
        <v>0</v>
      </c>
      <c r="AH153" s="14">
        <v>16.365180467091292</v>
      </c>
      <c r="AI153" s="14">
        <v>28.290870488322717</v>
      </c>
      <c r="AJ153" s="14">
        <v>44.65605095541401</v>
      </c>
      <c r="AK153" s="14">
        <v>27.855626326963904</v>
      </c>
      <c r="AL153" s="5" t="s">
        <v>602</v>
      </c>
    </row>
    <row r="154" spans="1:41">
      <c r="A154" t="s">
        <v>539</v>
      </c>
      <c r="B154" t="s">
        <v>549</v>
      </c>
      <c r="C154">
        <v>171</v>
      </c>
      <c r="D154" t="s">
        <v>34</v>
      </c>
      <c r="E154">
        <v>5</v>
      </c>
      <c r="F154">
        <v>11</v>
      </c>
      <c r="G154" s="1">
        <f t="shared" si="39"/>
        <v>71</v>
      </c>
      <c r="H154">
        <v>185</v>
      </c>
      <c r="I154">
        <v>1995</v>
      </c>
      <c r="J154">
        <v>2014</v>
      </c>
      <c r="K154" s="1">
        <f t="shared" si="40"/>
        <v>19</v>
      </c>
      <c r="L154" t="s">
        <v>41</v>
      </c>
      <c r="M154" t="s">
        <v>43</v>
      </c>
      <c r="N154" s="2">
        <v>65</v>
      </c>
      <c r="O154" s="5">
        <v>11</v>
      </c>
      <c r="P154" s="5">
        <v>24</v>
      </c>
      <c r="Q154" s="5">
        <f t="shared" si="41"/>
        <v>35</v>
      </c>
      <c r="R154" s="4">
        <v>30</v>
      </c>
      <c r="S154" s="2">
        <f>67+26+7</f>
        <v>100</v>
      </c>
      <c r="T154" s="5">
        <v>13</v>
      </c>
      <c r="U154" s="5">
        <v>20</v>
      </c>
      <c r="V154" s="5">
        <f t="shared" si="42"/>
        <v>33</v>
      </c>
      <c r="W154" s="4">
        <v>38</v>
      </c>
      <c r="AG154">
        <v>0</v>
      </c>
      <c r="AH154" s="14">
        <v>14.815126050420169</v>
      </c>
      <c r="AI154" s="14">
        <v>29.630252100840337</v>
      </c>
      <c r="AJ154" s="14">
        <v>44.445378151260506</v>
      </c>
      <c r="AK154" s="14">
        <v>37.210084033613448</v>
      </c>
      <c r="AL154" s="5" t="s">
        <v>600</v>
      </c>
    </row>
    <row r="155" spans="1:41">
      <c r="A155" t="s">
        <v>430</v>
      </c>
      <c r="B155" t="s">
        <v>434</v>
      </c>
      <c r="C155">
        <v>93</v>
      </c>
      <c r="D155" t="s">
        <v>65</v>
      </c>
      <c r="E155">
        <v>6</v>
      </c>
      <c r="F155">
        <v>0</v>
      </c>
      <c r="G155" s="1">
        <f t="shared" si="39"/>
        <v>72</v>
      </c>
      <c r="H155">
        <v>197</v>
      </c>
      <c r="I155">
        <v>1992</v>
      </c>
      <c r="J155">
        <v>2012</v>
      </c>
      <c r="K155" s="1">
        <f t="shared" si="40"/>
        <v>20</v>
      </c>
      <c r="L155" t="s">
        <v>42</v>
      </c>
      <c r="M155" t="s">
        <v>44</v>
      </c>
      <c r="N155" s="2">
        <v>41</v>
      </c>
      <c r="O155" s="5">
        <v>3</v>
      </c>
      <c r="P155" s="5">
        <v>4</v>
      </c>
      <c r="Q155" s="5">
        <f t="shared" si="41"/>
        <v>7</v>
      </c>
      <c r="R155" s="4">
        <v>16</v>
      </c>
      <c r="U155" s="5"/>
      <c r="V155" s="5">
        <f t="shared" si="42"/>
        <v>0</v>
      </c>
      <c r="AG155">
        <v>0</v>
      </c>
      <c r="AH155" s="14">
        <v>11.647727272727272</v>
      </c>
      <c r="AI155" s="14">
        <v>33.545454545454547</v>
      </c>
      <c r="AJ155" s="14">
        <v>45.193181818181813</v>
      </c>
      <c r="AK155" s="14">
        <v>25.625</v>
      </c>
      <c r="AL155" s="3" t="s">
        <v>605</v>
      </c>
      <c r="AM155" s="22">
        <v>61</v>
      </c>
      <c r="AN155" s="22">
        <v>425</v>
      </c>
      <c r="AO155">
        <f t="shared" ref="AO155:AO157" si="44">AM155/AN155</f>
        <v>0.14352941176470588</v>
      </c>
    </row>
    <row r="156" spans="1:41">
      <c r="A156" t="s">
        <v>251</v>
      </c>
      <c r="B156" t="s">
        <v>265</v>
      </c>
      <c r="C156">
        <v>8</v>
      </c>
      <c r="D156" t="s">
        <v>34</v>
      </c>
      <c r="E156">
        <v>6</v>
      </c>
      <c r="F156">
        <v>2</v>
      </c>
      <c r="G156" s="1">
        <f t="shared" si="39"/>
        <v>74</v>
      </c>
      <c r="H156">
        <v>212</v>
      </c>
      <c r="I156">
        <v>1997</v>
      </c>
      <c r="J156">
        <v>2015</v>
      </c>
      <c r="K156" s="1">
        <f t="shared" si="40"/>
        <v>18</v>
      </c>
      <c r="L156" t="s">
        <v>42</v>
      </c>
      <c r="M156" t="s">
        <v>44</v>
      </c>
      <c r="N156" s="2">
        <v>40</v>
      </c>
      <c r="O156" s="5">
        <v>10</v>
      </c>
      <c r="P156" s="5">
        <v>17</v>
      </c>
      <c r="Q156" s="5">
        <f t="shared" si="41"/>
        <v>27</v>
      </c>
      <c r="R156" s="4">
        <v>10</v>
      </c>
      <c r="S156" s="2">
        <f>51+35+6</f>
        <v>92</v>
      </c>
      <c r="T156" s="5">
        <v>14</v>
      </c>
      <c r="U156" s="5">
        <v>38</v>
      </c>
      <c r="V156" s="5">
        <f t="shared" si="42"/>
        <v>52</v>
      </c>
      <c r="W156" s="4">
        <v>59</v>
      </c>
      <c r="X156">
        <f>O156/N156</f>
        <v>0.25</v>
      </c>
      <c r="Y156">
        <f>T156/S156</f>
        <v>0.15217391304347827</v>
      </c>
      <c r="Z156">
        <f>X156-Y156</f>
        <v>9.7826086956521729E-2</v>
      </c>
      <c r="AA156">
        <f>P156/N156</f>
        <v>0.42499999999999999</v>
      </c>
      <c r="AB156">
        <f>U156/S156</f>
        <v>0.41304347826086957</v>
      </c>
      <c r="AC156">
        <f>AA156-AB156</f>
        <v>1.1956521739130421E-2</v>
      </c>
      <c r="AD156">
        <f>Q156/N156</f>
        <v>0.67500000000000004</v>
      </c>
      <c r="AE156">
        <f>V156/S156</f>
        <v>0.56521739130434778</v>
      </c>
      <c r="AF156">
        <f>AD156-AE156</f>
        <v>0.10978260869565226</v>
      </c>
      <c r="AG156">
        <v>0</v>
      </c>
      <c r="AH156" s="14">
        <v>14.038910505836576</v>
      </c>
      <c r="AI156" s="14">
        <v>30.311284046692606</v>
      </c>
      <c r="AJ156" s="14">
        <v>44.350194552529182</v>
      </c>
      <c r="AK156" s="14">
        <v>17.229571984435797</v>
      </c>
      <c r="AL156" s="3" t="s">
        <v>622</v>
      </c>
      <c r="AM156" s="22">
        <v>53</v>
      </c>
      <c r="AN156" s="22">
        <v>476</v>
      </c>
      <c r="AO156">
        <f t="shared" si="44"/>
        <v>0.11134453781512606</v>
      </c>
    </row>
    <row r="157" spans="1:41">
      <c r="A157" t="s">
        <v>234</v>
      </c>
      <c r="B157" t="s">
        <v>241</v>
      </c>
      <c r="C157">
        <v>9</v>
      </c>
      <c r="D157" t="s">
        <v>35</v>
      </c>
      <c r="E157">
        <v>6</v>
      </c>
      <c r="F157">
        <v>6</v>
      </c>
      <c r="G157" s="1">
        <f t="shared" si="39"/>
        <v>78</v>
      </c>
      <c r="H157">
        <v>229</v>
      </c>
      <c r="I157">
        <v>1993</v>
      </c>
      <c r="J157">
        <v>2011</v>
      </c>
      <c r="K157" s="1">
        <f t="shared" si="40"/>
        <v>18</v>
      </c>
      <c r="L157" t="s">
        <v>42</v>
      </c>
      <c r="M157" t="s">
        <v>43</v>
      </c>
      <c r="N157" s="2">
        <v>67</v>
      </c>
      <c r="O157" s="5">
        <v>12</v>
      </c>
      <c r="P157" s="5">
        <v>46</v>
      </c>
      <c r="Q157" s="5">
        <f t="shared" si="41"/>
        <v>58</v>
      </c>
      <c r="R157" s="4">
        <v>77</v>
      </c>
      <c r="S157" s="2">
        <v>64</v>
      </c>
      <c r="T157" s="5">
        <v>3</v>
      </c>
      <c r="U157" s="5">
        <v>13</v>
      </c>
      <c r="V157" s="5">
        <f t="shared" si="42"/>
        <v>16</v>
      </c>
      <c r="W157" s="4">
        <v>36</v>
      </c>
      <c r="X157">
        <f>O157/N157</f>
        <v>0.17910447761194029</v>
      </c>
      <c r="Y157">
        <f>T157/S157</f>
        <v>4.6875E-2</v>
      </c>
      <c r="Z157">
        <f>X157-Y157</f>
        <v>0.13222947761194029</v>
      </c>
      <c r="AA157">
        <f>P157/N157</f>
        <v>0.68656716417910446</v>
      </c>
      <c r="AB157">
        <f>U157/S157</f>
        <v>0.203125</v>
      </c>
      <c r="AC157">
        <f>AA157-AB157</f>
        <v>0.48344216417910446</v>
      </c>
      <c r="AD157">
        <f>Q157/N157</f>
        <v>0.86567164179104472</v>
      </c>
      <c r="AE157">
        <f>V157/S157</f>
        <v>0.25</v>
      </c>
      <c r="AF157">
        <f>AD157-AE157</f>
        <v>0.61567164179104472</v>
      </c>
      <c r="AG157">
        <v>0</v>
      </c>
      <c r="AH157" s="14">
        <v>14.186311787072244</v>
      </c>
      <c r="AI157" s="14">
        <v>29.775665399239543</v>
      </c>
      <c r="AJ157" s="14">
        <v>43.961977186311785</v>
      </c>
      <c r="AK157" s="14">
        <v>53.159695817490494</v>
      </c>
      <c r="AL157" s="3" t="s">
        <v>600</v>
      </c>
      <c r="AM157" s="22">
        <v>52</v>
      </c>
      <c r="AN157" s="22">
        <v>880</v>
      </c>
      <c r="AO157">
        <f t="shared" si="44"/>
        <v>5.909090909090909E-2</v>
      </c>
    </row>
    <row r="158" spans="1:41">
      <c r="A158" s="6" t="s">
        <v>148</v>
      </c>
      <c r="B158" t="s">
        <v>162</v>
      </c>
      <c r="C158">
        <v>87</v>
      </c>
      <c r="D158" t="s">
        <v>64</v>
      </c>
      <c r="E158">
        <v>6</v>
      </c>
      <c r="F158">
        <v>1</v>
      </c>
      <c r="G158" s="1">
        <f t="shared" si="39"/>
        <v>73</v>
      </c>
      <c r="H158">
        <v>186</v>
      </c>
      <c r="I158">
        <v>1984</v>
      </c>
      <c r="J158">
        <v>2002</v>
      </c>
      <c r="K158" s="1">
        <f t="shared" si="40"/>
        <v>18</v>
      </c>
      <c r="L158" t="s">
        <v>41</v>
      </c>
      <c r="M158" t="s">
        <v>44</v>
      </c>
      <c r="N158" s="2">
        <v>63</v>
      </c>
      <c r="O158" s="5">
        <v>21</v>
      </c>
      <c r="P158" s="5">
        <v>41</v>
      </c>
      <c r="Q158" s="5">
        <f t="shared" si="41"/>
        <v>62</v>
      </c>
      <c r="R158" s="4">
        <v>8</v>
      </c>
      <c r="S158" s="2">
        <v>45</v>
      </c>
      <c r="T158" s="5">
        <v>22</v>
      </c>
      <c r="U158" s="5">
        <v>22</v>
      </c>
      <c r="V158" s="5">
        <f t="shared" si="42"/>
        <v>44</v>
      </c>
      <c r="W158" s="4">
        <v>8</v>
      </c>
      <c r="X158">
        <f>O158/N158</f>
        <v>0.33333333333333331</v>
      </c>
      <c r="Y158">
        <f>T158/S158</f>
        <v>0.48888888888888887</v>
      </c>
      <c r="Z158">
        <f>X158-Y158</f>
        <v>-0.15555555555555556</v>
      </c>
      <c r="AA158">
        <f>P158/N158</f>
        <v>0.65079365079365081</v>
      </c>
      <c r="AB158">
        <f>U158/S158</f>
        <v>0.48888888888888887</v>
      </c>
      <c r="AC158">
        <f>AA158-AB158</f>
        <v>0.16190476190476194</v>
      </c>
      <c r="AD158">
        <f>Q158/N158</f>
        <v>0.98412698412698407</v>
      </c>
      <c r="AE158">
        <f>V158/S158</f>
        <v>0.97777777777777775</v>
      </c>
      <c r="AF158">
        <f>AD158-AE158</f>
        <v>6.3492063492063266E-3</v>
      </c>
      <c r="AG158">
        <v>0</v>
      </c>
      <c r="AH158" s="14">
        <v>15.536842105263158</v>
      </c>
      <c r="AI158" s="14">
        <v>28.38830409356725</v>
      </c>
      <c r="AJ158" s="14">
        <v>43.925146198830411</v>
      </c>
      <c r="AK158" s="14">
        <v>15.345029239766081</v>
      </c>
      <c r="AL158" s="5" t="s">
        <v>605</v>
      </c>
    </row>
    <row r="159" spans="1:41">
      <c r="A159" t="s">
        <v>430</v>
      </c>
      <c r="B159" t="s">
        <v>436</v>
      </c>
      <c r="C159">
        <v>54</v>
      </c>
      <c r="D159" t="s">
        <v>35</v>
      </c>
      <c r="E159">
        <v>6</v>
      </c>
      <c r="F159">
        <v>1</v>
      </c>
      <c r="G159" s="1">
        <f t="shared" si="39"/>
        <v>73</v>
      </c>
      <c r="H159">
        <v>192</v>
      </c>
      <c r="I159">
        <v>1983</v>
      </c>
      <c r="J159">
        <v>2002</v>
      </c>
      <c r="K159" s="1">
        <f t="shared" si="40"/>
        <v>19</v>
      </c>
      <c r="L159" t="s">
        <v>42</v>
      </c>
      <c r="M159" t="s">
        <v>44</v>
      </c>
      <c r="N159" s="2">
        <v>41</v>
      </c>
      <c r="O159" s="5">
        <v>3</v>
      </c>
      <c r="P159" s="5">
        <v>12</v>
      </c>
      <c r="Q159" s="5">
        <f t="shared" si="41"/>
        <v>15</v>
      </c>
      <c r="R159" s="4">
        <v>18</v>
      </c>
      <c r="S159" s="2">
        <v>60</v>
      </c>
      <c r="T159" s="5">
        <v>18</v>
      </c>
      <c r="U159" s="5">
        <v>64</v>
      </c>
      <c r="V159" s="5">
        <f t="shared" si="42"/>
        <v>82</v>
      </c>
      <c r="W159" s="4">
        <v>61</v>
      </c>
      <c r="AG159">
        <v>0</v>
      </c>
      <c r="AH159" s="14">
        <v>7.3867151956323926</v>
      </c>
      <c r="AI159" s="14">
        <v>36.560509554140125</v>
      </c>
      <c r="AJ159" s="14">
        <v>43.947224749772516</v>
      </c>
      <c r="AK159" s="14">
        <v>46.036396724294811</v>
      </c>
      <c r="AL159" s="3" t="s">
        <v>601</v>
      </c>
      <c r="AM159" s="22">
        <v>51</v>
      </c>
      <c r="AN159" s="22">
        <v>590</v>
      </c>
      <c r="AO159">
        <f>AM159/AN159</f>
        <v>8.6440677966101692E-2</v>
      </c>
    </row>
    <row r="160" spans="1:41">
      <c r="A160" t="s">
        <v>445</v>
      </c>
      <c r="B160" t="s">
        <v>458</v>
      </c>
      <c r="C160">
        <v>59</v>
      </c>
      <c r="D160" t="s">
        <v>34</v>
      </c>
      <c r="E160">
        <v>5</v>
      </c>
      <c r="F160">
        <v>11</v>
      </c>
      <c r="G160" s="1">
        <f t="shared" si="39"/>
        <v>71</v>
      </c>
      <c r="H160">
        <v>183</v>
      </c>
      <c r="I160">
        <v>1992</v>
      </c>
      <c r="J160">
        <v>2010</v>
      </c>
      <c r="K160" s="1">
        <f t="shared" si="40"/>
        <v>18</v>
      </c>
      <c r="L160" t="s">
        <v>41</v>
      </c>
      <c r="M160" t="s">
        <v>44</v>
      </c>
      <c r="N160" s="2">
        <f>22+38+7+7</f>
        <v>74</v>
      </c>
      <c r="O160" s="3">
        <f>11+18+2+4</f>
        <v>35</v>
      </c>
      <c r="P160" s="3">
        <f>7+17+3</f>
        <v>27</v>
      </c>
      <c r="Q160" s="5">
        <f t="shared" si="41"/>
        <v>62</v>
      </c>
      <c r="R160" s="4">
        <f>23+24+2+2</f>
        <v>51</v>
      </c>
      <c r="S160" s="2">
        <f>36+12+16+7</f>
        <v>71</v>
      </c>
      <c r="T160" s="3">
        <f>11+8+2+1</f>
        <v>22</v>
      </c>
      <c r="U160" s="3">
        <f>4+6+6+5</f>
        <v>21</v>
      </c>
      <c r="V160" s="5">
        <f t="shared" si="42"/>
        <v>43</v>
      </c>
      <c r="W160" s="4">
        <f>55+8</f>
        <v>63</v>
      </c>
      <c r="AG160">
        <v>0</v>
      </c>
      <c r="AH160" s="14">
        <v>23.672055427251731</v>
      </c>
      <c r="AI160" s="14">
        <v>19.695150115473439</v>
      </c>
      <c r="AJ160" s="14">
        <v>43.367205542725173</v>
      </c>
      <c r="AK160" s="14">
        <v>30.300230946882216</v>
      </c>
      <c r="AL160" s="5" t="s">
        <v>608</v>
      </c>
    </row>
    <row r="161" spans="1:41">
      <c r="A161" t="s">
        <v>283</v>
      </c>
      <c r="B161" t="s">
        <v>285</v>
      </c>
      <c r="C161">
        <v>162</v>
      </c>
      <c r="D161" t="s">
        <v>65</v>
      </c>
      <c r="E161">
        <v>5</v>
      </c>
      <c r="F161">
        <v>10</v>
      </c>
      <c r="G161" s="1">
        <f t="shared" si="39"/>
        <v>70</v>
      </c>
      <c r="H161">
        <v>175</v>
      </c>
      <c r="I161">
        <v>1998</v>
      </c>
      <c r="J161">
        <v>2016</v>
      </c>
      <c r="K161" s="1">
        <f t="shared" si="40"/>
        <v>18</v>
      </c>
      <c r="L161" t="s">
        <v>41</v>
      </c>
      <c r="M161" t="s">
        <v>44</v>
      </c>
      <c r="N161" s="2">
        <v>50</v>
      </c>
      <c r="O161" s="5">
        <v>9</v>
      </c>
      <c r="P161" s="5">
        <v>10</v>
      </c>
      <c r="Q161" s="5">
        <f t="shared" si="41"/>
        <v>19</v>
      </c>
      <c r="R161" s="4">
        <v>8</v>
      </c>
      <c r="S161" s="2">
        <v>50</v>
      </c>
      <c r="T161" s="5">
        <v>19</v>
      </c>
      <c r="U161" s="5">
        <v>31</v>
      </c>
      <c r="V161" s="5">
        <f t="shared" si="42"/>
        <v>50</v>
      </c>
      <c r="W161" s="4">
        <v>30</v>
      </c>
      <c r="X161">
        <f>O161/N161</f>
        <v>0.18</v>
      </c>
      <c r="Y161">
        <f>T161/S161</f>
        <v>0.38</v>
      </c>
      <c r="Z161">
        <f>X161-Y161</f>
        <v>-0.2</v>
      </c>
      <c r="AA161">
        <f>P161/N161</f>
        <v>0.2</v>
      </c>
      <c r="AB161">
        <f>U161/S161</f>
        <v>0.62</v>
      </c>
      <c r="AC161">
        <f>AA161-AB161</f>
        <v>-0.42</v>
      </c>
      <c r="AD161">
        <f>Q161/N161</f>
        <v>0.38</v>
      </c>
      <c r="AE161">
        <f>V161/S161</f>
        <v>1</v>
      </c>
      <c r="AF161">
        <f>AD161-AE161</f>
        <v>-0.62</v>
      </c>
      <c r="AG161">
        <v>0</v>
      </c>
      <c r="AH161" s="14">
        <v>14.43661971830986</v>
      </c>
      <c r="AI161" s="14">
        <v>28.87323943661972</v>
      </c>
      <c r="AJ161" s="14">
        <v>43.309859154929576</v>
      </c>
      <c r="AK161" s="14">
        <v>15.014084507042254</v>
      </c>
      <c r="AL161" s="5" t="s">
        <v>606</v>
      </c>
    </row>
    <row r="162" spans="1:41">
      <c r="A162" s="6" t="s">
        <v>148</v>
      </c>
      <c r="B162" t="s">
        <v>150</v>
      </c>
      <c r="C162">
        <v>110</v>
      </c>
      <c r="D162" t="s">
        <v>35</v>
      </c>
      <c r="E162">
        <v>6</v>
      </c>
      <c r="F162">
        <v>2</v>
      </c>
      <c r="G162" s="1">
        <f t="shared" si="39"/>
        <v>74</v>
      </c>
      <c r="H162">
        <v>177</v>
      </c>
      <c r="I162">
        <v>1994</v>
      </c>
      <c r="J162">
        <v>2012</v>
      </c>
      <c r="K162" s="1">
        <f t="shared" si="40"/>
        <v>18</v>
      </c>
      <c r="L162" t="s">
        <v>41</v>
      </c>
      <c r="M162" t="s">
        <v>44</v>
      </c>
      <c r="N162" s="2">
        <v>63</v>
      </c>
      <c r="O162" s="5">
        <v>22</v>
      </c>
      <c r="P162" s="5">
        <v>15</v>
      </c>
      <c r="Q162" s="5">
        <f t="shared" si="41"/>
        <v>37</v>
      </c>
      <c r="R162" s="4">
        <v>22</v>
      </c>
      <c r="S162" s="2">
        <v>57</v>
      </c>
      <c r="T162" s="5">
        <v>11</v>
      </c>
      <c r="U162" s="5">
        <v>11</v>
      </c>
      <c r="V162" s="5">
        <f t="shared" si="42"/>
        <v>22</v>
      </c>
      <c r="W162" s="4">
        <v>21</v>
      </c>
      <c r="X162">
        <f>O162/N162</f>
        <v>0.34920634920634919</v>
      </c>
      <c r="Y162">
        <f>T162/S162</f>
        <v>0.19298245614035087</v>
      </c>
      <c r="Z162">
        <f>X162-Y162</f>
        <v>0.15622389306599832</v>
      </c>
      <c r="AA162">
        <f>P162/N162</f>
        <v>0.23809523809523808</v>
      </c>
      <c r="AB162">
        <f>U162/S162</f>
        <v>0.19298245614035087</v>
      </c>
      <c r="AC162">
        <f>AA162-AB162</f>
        <v>4.5112781954887216E-2</v>
      </c>
      <c r="AD162">
        <f>Q162/N162</f>
        <v>0.58730158730158732</v>
      </c>
      <c r="AE162">
        <f>V162/S162</f>
        <v>0.38596491228070173</v>
      </c>
      <c r="AF162">
        <f>AD162-AE162</f>
        <v>0.20133667502088559</v>
      </c>
      <c r="AG162">
        <v>0</v>
      </c>
      <c r="AH162" s="14">
        <v>23.776951672862452</v>
      </c>
      <c r="AI162" s="14">
        <v>19.509293680297397</v>
      </c>
      <c r="AJ162" s="14">
        <v>43.286245353159849</v>
      </c>
      <c r="AK162" s="14">
        <v>28.349442379182154</v>
      </c>
      <c r="AL162" s="3" t="s">
        <v>600</v>
      </c>
    </row>
    <row r="163" spans="1:41">
      <c r="A163" t="s">
        <v>413</v>
      </c>
      <c r="B163" t="s">
        <v>429</v>
      </c>
      <c r="C163">
        <v>177</v>
      </c>
      <c r="D163" t="s">
        <v>35</v>
      </c>
      <c r="E163">
        <v>5</v>
      </c>
      <c r="F163">
        <v>10</v>
      </c>
      <c r="G163" s="1">
        <f t="shared" si="39"/>
        <v>70</v>
      </c>
      <c r="H163">
        <v>188</v>
      </c>
      <c r="I163">
        <v>1988</v>
      </c>
      <c r="J163">
        <v>2006</v>
      </c>
      <c r="K163" s="1">
        <f t="shared" si="40"/>
        <v>18</v>
      </c>
      <c r="L163" t="s">
        <v>41</v>
      </c>
      <c r="M163" t="s">
        <v>44</v>
      </c>
      <c r="N163" s="2">
        <v>62</v>
      </c>
      <c r="O163" s="5">
        <v>18</v>
      </c>
      <c r="P163" s="5">
        <v>34</v>
      </c>
      <c r="Q163" s="5">
        <f t="shared" si="41"/>
        <v>52</v>
      </c>
      <c r="R163" s="4">
        <v>42</v>
      </c>
      <c r="S163" s="2">
        <v>41</v>
      </c>
      <c r="T163" s="5">
        <v>25</v>
      </c>
      <c r="U163" s="5">
        <v>47</v>
      </c>
      <c r="V163" s="5">
        <f t="shared" si="42"/>
        <v>72</v>
      </c>
      <c r="W163" s="4">
        <v>68</v>
      </c>
      <c r="AG163">
        <v>0</v>
      </c>
      <c r="AH163" s="14">
        <v>17.46422628951747</v>
      </c>
      <c r="AI163" s="14">
        <v>25.787021630615637</v>
      </c>
      <c r="AJ163" s="14">
        <v>43.25124792013311</v>
      </c>
      <c r="AK163" s="14">
        <v>40.386023294509151</v>
      </c>
      <c r="AL163" s="5" t="s">
        <v>614</v>
      </c>
    </row>
    <row r="164" spans="1:41">
      <c r="A164" t="s">
        <v>234</v>
      </c>
      <c r="B164" t="s">
        <v>236</v>
      </c>
      <c r="C164">
        <v>204</v>
      </c>
      <c r="D164" t="s">
        <v>34</v>
      </c>
      <c r="E164">
        <v>6</v>
      </c>
      <c r="F164">
        <v>0</v>
      </c>
      <c r="G164" s="1">
        <f t="shared" si="39"/>
        <v>72</v>
      </c>
      <c r="H164">
        <v>190</v>
      </c>
      <c r="I164">
        <v>1992</v>
      </c>
      <c r="J164">
        <v>2011</v>
      </c>
      <c r="K164" s="1">
        <f t="shared" si="40"/>
        <v>19</v>
      </c>
      <c r="L164" t="s">
        <v>41</v>
      </c>
      <c r="M164" t="s">
        <v>44</v>
      </c>
      <c r="N164" s="2">
        <v>54</v>
      </c>
      <c r="O164" s="5">
        <v>23</v>
      </c>
      <c r="P164" s="5">
        <v>44</v>
      </c>
      <c r="Q164" s="5">
        <f t="shared" si="41"/>
        <v>67</v>
      </c>
      <c r="R164" s="4">
        <v>8</v>
      </c>
      <c r="S164" s="2">
        <v>36</v>
      </c>
      <c r="T164" s="5">
        <v>11</v>
      </c>
      <c r="U164" s="5">
        <v>15</v>
      </c>
      <c r="V164" s="5">
        <f t="shared" si="42"/>
        <v>26</v>
      </c>
      <c r="W164" s="4">
        <v>38</v>
      </c>
      <c r="X164">
        <f>O164/N164</f>
        <v>0.42592592592592593</v>
      </c>
      <c r="Y164">
        <f>T164/S164</f>
        <v>0.30555555555555558</v>
      </c>
      <c r="Z164">
        <f>X164-Y164</f>
        <v>0.12037037037037035</v>
      </c>
      <c r="AA164">
        <f>P164/N164</f>
        <v>0.81481481481481477</v>
      </c>
      <c r="AB164">
        <f>U164/S164</f>
        <v>0.41666666666666669</v>
      </c>
      <c r="AC164">
        <f>AA164-AB164</f>
        <v>0.39814814814814808</v>
      </c>
      <c r="AD164">
        <f>Q164/N164</f>
        <v>1.2407407407407407</v>
      </c>
      <c r="AE164">
        <f>V164/S164</f>
        <v>0.72222222222222221</v>
      </c>
      <c r="AF164">
        <f>AD164-AE164</f>
        <v>0.51851851851851849</v>
      </c>
      <c r="AG164">
        <v>0</v>
      </c>
      <c r="AH164" s="14">
        <v>19.86159169550173</v>
      </c>
      <c r="AI164" s="14">
        <v>23.26643598615917</v>
      </c>
      <c r="AJ164" s="14">
        <v>43.128027681660903</v>
      </c>
      <c r="AK164" s="14">
        <v>33.48096885813149</v>
      </c>
      <c r="AL164" s="5" t="s">
        <v>608</v>
      </c>
    </row>
    <row r="165" spans="1:41">
      <c r="A165" s="6" t="s">
        <v>49</v>
      </c>
      <c r="B165" t="s">
        <v>56</v>
      </c>
      <c r="C165">
        <v>150</v>
      </c>
      <c r="D165" t="s">
        <v>35</v>
      </c>
      <c r="E165">
        <v>5</v>
      </c>
      <c r="F165">
        <v>10</v>
      </c>
      <c r="G165" s="1">
        <f t="shared" si="39"/>
        <v>70</v>
      </c>
      <c r="H165">
        <v>175</v>
      </c>
      <c r="I165">
        <v>1994</v>
      </c>
      <c r="J165">
        <v>2012</v>
      </c>
      <c r="K165" s="1">
        <f t="shared" si="40"/>
        <v>18</v>
      </c>
      <c r="L165" t="s">
        <v>41</v>
      </c>
      <c r="M165" t="s">
        <v>44</v>
      </c>
      <c r="N165" s="2">
        <v>51</v>
      </c>
      <c r="O165" s="3">
        <v>25</v>
      </c>
      <c r="P165" s="3">
        <v>44</v>
      </c>
      <c r="Q165" s="3">
        <f t="shared" si="41"/>
        <v>69</v>
      </c>
      <c r="R165" s="4">
        <v>24</v>
      </c>
      <c r="S165" s="2">
        <f>38+5</f>
        <v>43</v>
      </c>
      <c r="T165" s="3">
        <v>36</v>
      </c>
      <c r="U165" s="3">
        <v>72</v>
      </c>
      <c r="V165" s="3">
        <f t="shared" si="42"/>
        <v>108</v>
      </c>
      <c r="W165" s="4">
        <v>58</v>
      </c>
      <c r="X165">
        <f>O165/N165</f>
        <v>0.49019607843137253</v>
      </c>
      <c r="Y165">
        <f>T165/S165</f>
        <v>0.83720930232558144</v>
      </c>
      <c r="Z165">
        <f>X165-Y165</f>
        <v>-0.34701322389420891</v>
      </c>
      <c r="AA165">
        <f>P165/N165</f>
        <v>0.86274509803921573</v>
      </c>
      <c r="AB165">
        <f>U165/S165</f>
        <v>1.6744186046511629</v>
      </c>
      <c r="AC165">
        <f>AA165-AB165</f>
        <v>-0.81167350661194715</v>
      </c>
      <c r="AD165">
        <f>Q165/N165</f>
        <v>1.3529411764705883</v>
      </c>
      <c r="AE165">
        <f>V165/S165</f>
        <v>2.5116279069767442</v>
      </c>
      <c r="AF165">
        <f>AD165-AE165</f>
        <v>-1.1586867305061559</v>
      </c>
      <c r="AG165">
        <v>0</v>
      </c>
      <c r="AH165" s="14">
        <v>18.067796610169491</v>
      </c>
      <c r="AI165" s="14">
        <v>25.016949152542374</v>
      </c>
      <c r="AJ165" s="14">
        <v>43.084745762711862</v>
      </c>
      <c r="AK165" s="14">
        <v>37.988700564971751</v>
      </c>
      <c r="AL165" s="5" t="s">
        <v>602</v>
      </c>
    </row>
    <row r="166" spans="1:41">
      <c r="A166" t="s">
        <v>556</v>
      </c>
      <c r="B166" t="s">
        <v>571</v>
      </c>
      <c r="C166">
        <v>39</v>
      </c>
      <c r="D166" t="s">
        <v>65</v>
      </c>
      <c r="E166">
        <v>6</v>
      </c>
      <c r="F166">
        <v>1</v>
      </c>
      <c r="G166" s="1">
        <f t="shared" si="39"/>
        <v>73</v>
      </c>
      <c r="H166">
        <v>204</v>
      </c>
      <c r="I166">
        <v>1990</v>
      </c>
      <c r="J166">
        <v>2009</v>
      </c>
      <c r="K166" s="1">
        <f t="shared" si="40"/>
        <v>19</v>
      </c>
      <c r="L166" t="s">
        <v>41</v>
      </c>
      <c r="M166" t="s">
        <v>43</v>
      </c>
      <c r="N166" s="2">
        <f>16+30+16</f>
        <v>62</v>
      </c>
      <c r="O166" s="5">
        <v>20</v>
      </c>
      <c r="P166" s="5">
        <v>26</v>
      </c>
      <c r="Q166" s="5">
        <f t="shared" si="41"/>
        <v>46</v>
      </c>
      <c r="R166" s="4">
        <v>10</v>
      </c>
      <c r="S166" s="2">
        <v>40</v>
      </c>
      <c r="T166" s="5">
        <v>14</v>
      </c>
      <c r="U166" s="5">
        <v>17</v>
      </c>
      <c r="V166" s="5">
        <f t="shared" si="42"/>
        <v>31</v>
      </c>
      <c r="W166" s="4">
        <v>12</v>
      </c>
      <c r="AG166">
        <v>0</v>
      </c>
      <c r="AH166" s="14">
        <v>20.02325581395349</v>
      </c>
      <c r="AI166" s="14">
        <v>22.88372093023256</v>
      </c>
      <c r="AJ166" s="14">
        <v>42.906976744186046</v>
      </c>
      <c r="AK166" s="14">
        <v>24.472868217054263</v>
      </c>
      <c r="AL166" s="5" t="s">
        <v>65</v>
      </c>
    </row>
    <row r="167" spans="1:41">
      <c r="A167" s="6" t="s">
        <v>148</v>
      </c>
      <c r="B167" t="s">
        <v>157</v>
      </c>
      <c r="C167">
        <v>95</v>
      </c>
      <c r="D167" t="s">
        <v>38</v>
      </c>
      <c r="E167">
        <v>6</v>
      </c>
      <c r="F167">
        <v>0</v>
      </c>
      <c r="G167" s="1">
        <f t="shared" si="39"/>
        <v>72</v>
      </c>
      <c r="H167">
        <v>189</v>
      </c>
      <c r="I167">
        <v>1984</v>
      </c>
      <c r="J167">
        <v>2002</v>
      </c>
      <c r="K167" s="1">
        <f t="shared" si="40"/>
        <v>18</v>
      </c>
      <c r="L167" t="s">
        <v>41</v>
      </c>
      <c r="M167" t="s">
        <v>44</v>
      </c>
      <c r="N167" s="2">
        <v>49</v>
      </c>
      <c r="O167" s="5">
        <v>12</v>
      </c>
      <c r="P167" s="5">
        <v>22</v>
      </c>
      <c r="Q167" s="5">
        <f t="shared" si="41"/>
        <v>34</v>
      </c>
      <c r="R167" s="4">
        <v>16</v>
      </c>
      <c r="S167" s="2">
        <v>32</v>
      </c>
      <c r="T167" s="5">
        <v>18</v>
      </c>
      <c r="U167" s="5">
        <v>30</v>
      </c>
      <c r="V167" s="5">
        <f t="shared" si="42"/>
        <v>48</v>
      </c>
      <c r="W167" s="4">
        <v>4</v>
      </c>
      <c r="X167">
        <f>O167/N167</f>
        <v>0.24489795918367346</v>
      </c>
      <c r="Y167">
        <f>T167/S167</f>
        <v>0.5625</v>
      </c>
      <c r="Z167">
        <f>X167-Y167</f>
        <v>-0.31760204081632654</v>
      </c>
      <c r="AA167">
        <f>P167/N167</f>
        <v>0.44897959183673469</v>
      </c>
      <c r="AB167">
        <f>U167/S167</f>
        <v>0.9375</v>
      </c>
      <c r="AC167">
        <f>AA167-AB167</f>
        <v>-0.48852040816326531</v>
      </c>
      <c r="AD167">
        <f>Q167/N167</f>
        <v>0.69387755102040816</v>
      </c>
      <c r="AE167">
        <f>V167/S167</f>
        <v>1.5</v>
      </c>
      <c r="AF167">
        <f>AD167-AE167</f>
        <v>-0.80612244897959184</v>
      </c>
      <c r="AG167">
        <v>0</v>
      </c>
      <c r="AH167" s="14">
        <v>15.876416065911432</v>
      </c>
      <c r="AI167" s="14">
        <v>26.770339855818744</v>
      </c>
      <c r="AJ167" s="14">
        <v>42.646755921730175</v>
      </c>
      <c r="AK167" s="14">
        <v>26.854788877445934</v>
      </c>
      <c r="AL167" s="3" t="s">
        <v>38</v>
      </c>
    </row>
    <row r="168" spans="1:41">
      <c r="A168" t="s">
        <v>188</v>
      </c>
      <c r="B168" t="s">
        <v>199</v>
      </c>
      <c r="C168">
        <v>30</v>
      </c>
      <c r="D168" t="s">
        <v>34</v>
      </c>
      <c r="E168">
        <v>6</v>
      </c>
      <c r="F168">
        <v>3</v>
      </c>
      <c r="G168" s="1">
        <f t="shared" si="39"/>
        <v>75</v>
      </c>
      <c r="H168">
        <v>212</v>
      </c>
      <c r="I168">
        <v>1991</v>
      </c>
      <c r="J168">
        <v>2010</v>
      </c>
      <c r="K168" s="1">
        <f t="shared" si="40"/>
        <v>19</v>
      </c>
      <c r="L168" t="s">
        <v>41</v>
      </c>
      <c r="M168" t="s">
        <v>44</v>
      </c>
      <c r="N168" s="2">
        <v>49</v>
      </c>
      <c r="O168" s="5">
        <v>44</v>
      </c>
      <c r="P168" s="5">
        <v>44</v>
      </c>
      <c r="Q168" s="5">
        <f t="shared" si="41"/>
        <v>88</v>
      </c>
      <c r="R168" s="4">
        <v>38</v>
      </c>
      <c r="S168" s="2">
        <v>31</v>
      </c>
      <c r="T168" s="5">
        <v>45</v>
      </c>
      <c r="U168" s="5">
        <v>36</v>
      </c>
      <c r="V168" s="5">
        <f t="shared" si="42"/>
        <v>81</v>
      </c>
      <c r="W168" s="4">
        <v>0</v>
      </c>
      <c r="X168">
        <f>O168/N168</f>
        <v>0.89795918367346939</v>
      </c>
      <c r="Y168">
        <f>T168/S168</f>
        <v>1.4516129032258065</v>
      </c>
      <c r="Z168">
        <f>X168-Y168</f>
        <v>-0.55365371955233711</v>
      </c>
      <c r="AA168">
        <f>P168/N168</f>
        <v>0.89795918367346939</v>
      </c>
      <c r="AB168">
        <f>U168/S168</f>
        <v>1.1612903225806452</v>
      </c>
      <c r="AC168">
        <f>AA168-AB168</f>
        <v>-0.26333113890717585</v>
      </c>
      <c r="AD168">
        <f>Q168/N168</f>
        <v>1.7959183673469388</v>
      </c>
      <c r="AE168">
        <f>V168/S168</f>
        <v>2.6129032258064515</v>
      </c>
      <c r="AF168">
        <f>AD168-AE168</f>
        <v>-0.81698485845951274</v>
      </c>
      <c r="AG168">
        <v>0</v>
      </c>
      <c r="AH168" s="14">
        <v>21.362725450901802</v>
      </c>
      <c r="AI168" s="14">
        <v>21.034068136272545</v>
      </c>
      <c r="AJ168" s="14">
        <v>42.396793587174351</v>
      </c>
      <c r="AK168" s="14">
        <v>30.400801603206414</v>
      </c>
      <c r="AL168" s="3" t="s">
        <v>603</v>
      </c>
    </row>
    <row r="169" spans="1:41">
      <c r="A169" t="s">
        <v>251</v>
      </c>
      <c r="B169" t="s">
        <v>256</v>
      </c>
      <c r="C169">
        <v>28</v>
      </c>
      <c r="D169" t="s">
        <v>34</v>
      </c>
      <c r="E169">
        <v>6</v>
      </c>
      <c r="F169">
        <v>0</v>
      </c>
      <c r="G169" s="1">
        <f t="shared" si="39"/>
        <v>72</v>
      </c>
      <c r="H169">
        <v>208</v>
      </c>
      <c r="I169">
        <v>1987</v>
      </c>
      <c r="J169">
        <v>2006</v>
      </c>
      <c r="K169" s="1">
        <f t="shared" si="40"/>
        <v>19</v>
      </c>
      <c r="L169" t="s">
        <v>41</v>
      </c>
      <c r="M169" t="s">
        <v>44</v>
      </c>
      <c r="N169" s="2">
        <v>65</v>
      </c>
      <c r="O169" s="5">
        <v>24</v>
      </c>
      <c r="P169" s="5">
        <v>46</v>
      </c>
      <c r="Q169" s="5">
        <f t="shared" si="41"/>
        <v>70</v>
      </c>
      <c r="R169" s="4">
        <v>146</v>
      </c>
      <c r="S169" s="2">
        <v>69</v>
      </c>
      <c r="T169" s="5">
        <v>12</v>
      </c>
      <c r="U169" s="5">
        <v>29</v>
      </c>
      <c r="V169" s="5">
        <f t="shared" si="42"/>
        <v>41</v>
      </c>
      <c r="W169" s="4">
        <v>111</v>
      </c>
      <c r="X169">
        <f>O169/N169</f>
        <v>0.36923076923076925</v>
      </c>
      <c r="Y169">
        <f>T169/S169</f>
        <v>0.17391304347826086</v>
      </c>
      <c r="Z169">
        <f>X169-Y169</f>
        <v>0.19531772575250839</v>
      </c>
      <c r="AA169">
        <f>P169/N169</f>
        <v>0.70769230769230773</v>
      </c>
      <c r="AB169">
        <f>U169/S169</f>
        <v>0.42028985507246375</v>
      </c>
      <c r="AC169">
        <f>AA169-AB169</f>
        <v>0.28740245261984398</v>
      </c>
      <c r="AD169">
        <f>Q169/N169</f>
        <v>1.0769230769230769</v>
      </c>
      <c r="AE169">
        <f>V169/S169</f>
        <v>0.59420289855072461</v>
      </c>
      <c r="AF169">
        <f>AD169-AE169</f>
        <v>0.48272017837235226</v>
      </c>
      <c r="AG169">
        <v>0</v>
      </c>
      <c r="AH169" s="14">
        <v>17.871794871794872</v>
      </c>
      <c r="AI169" s="14">
        <v>24.37062937062937</v>
      </c>
      <c r="AJ169" s="14">
        <v>42.242424242424242</v>
      </c>
      <c r="AK169" s="14">
        <v>66.326340326340329</v>
      </c>
      <c r="AL169" s="5" t="s">
        <v>600</v>
      </c>
    </row>
    <row r="170" spans="1:41">
      <c r="A170" s="6" t="s">
        <v>121</v>
      </c>
      <c r="B170" t="s">
        <v>123</v>
      </c>
      <c r="C170">
        <v>72</v>
      </c>
      <c r="D170" t="s">
        <v>35</v>
      </c>
      <c r="E170">
        <v>6</v>
      </c>
      <c r="F170">
        <v>0</v>
      </c>
      <c r="G170" s="1">
        <f t="shared" si="39"/>
        <v>72</v>
      </c>
      <c r="H170">
        <v>180</v>
      </c>
      <c r="I170">
        <v>1997</v>
      </c>
      <c r="J170">
        <v>2015</v>
      </c>
      <c r="K170" s="1">
        <f t="shared" si="40"/>
        <v>18</v>
      </c>
      <c r="L170" t="s">
        <v>41</v>
      </c>
      <c r="M170" t="s">
        <v>44</v>
      </c>
      <c r="N170" s="2">
        <v>68</v>
      </c>
      <c r="O170" s="5">
        <v>13</v>
      </c>
      <c r="P170" s="5">
        <v>23</v>
      </c>
      <c r="Q170" s="5">
        <f t="shared" si="41"/>
        <v>36</v>
      </c>
      <c r="R170" s="4">
        <v>22</v>
      </c>
      <c r="S170" s="2">
        <v>32</v>
      </c>
      <c r="T170" s="5">
        <v>10</v>
      </c>
      <c r="U170" s="5">
        <v>18</v>
      </c>
      <c r="V170" s="5">
        <f t="shared" si="42"/>
        <v>28</v>
      </c>
      <c r="W170" s="4">
        <v>6</v>
      </c>
      <c r="X170">
        <f>O170/N170</f>
        <v>0.19117647058823528</v>
      </c>
      <c r="Y170">
        <f>T170/S170</f>
        <v>0.3125</v>
      </c>
      <c r="Z170">
        <f>X170-Y170</f>
        <v>-0.12132352941176472</v>
      </c>
      <c r="AA170">
        <f>P170/N170</f>
        <v>0.33823529411764708</v>
      </c>
      <c r="AB170">
        <f>U170/S170</f>
        <v>0.5625</v>
      </c>
      <c r="AC170">
        <f>AA170-AB170</f>
        <v>-0.22426470588235292</v>
      </c>
      <c r="AD170">
        <f>Q170/N170</f>
        <v>0.52941176470588236</v>
      </c>
      <c r="AE170">
        <f>V170/S170</f>
        <v>0.875</v>
      </c>
      <c r="AF170">
        <f>AD170-AE170</f>
        <v>-0.34558823529411764</v>
      </c>
      <c r="AG170">
        <v>0</v>
      </c>
      <c r="AH170" s="14">
        <v>18.923076923076923</v>
      </c>
      <c r="AI170" s="14">
        <v>23.128205128205128</v>
      </c>
      <c r="AJ170" s="14">
        <v>42.051282051282051</v>
      </c>
      <c r="AK170" s="14">
        <v>36.444444444444443</v>
      </c>
      <c r="AL170" s="5" t="s">
        <v>600</v>
      </c>
    </row>
    <row r="171" spans="1:41">
      <c r="A171" s="6" t="s">
        <v>121</v>
      </c>
      <c r="B171" t="s">
        <v>127</v>
      </c>
      <c r="C171">
        <v>77</v>
      </c>
      <c r="D171" t="s">
        <v>35</v>
      </c>
      <c r="E171">
        <v>6</v>
      </c>
      <c r="F171">
        <v>1</v>
      </c>
      <c r="G171" s="1">
        <f t="shared" si="39"/>
        <v>73</v>
      </c>
      <c r="H171">
        <v>196</v>
      </c>
      <c r="I171">
        <v>1989</v>
      </c>
      <c r="J171">
        <v>2007</v>
      </c>
      <c r="K171" s="1">
        <f t="shared" si="40"/>
        <v>18</v>
      </c>
      <c r="L171" t="s">
        <v>41</v>
      </c>
      <c r="M171" t="s">
        <v>44</v>
      </c>
      <c r="N171" s="2">
        <v>25</v>
      </c>
      <c r="O171" s="5">
        <v>18</v>
      </c>
      <c r="P171" s="5">
        <v>14</v>
      </c>
      <c r="Q171" s="5">
        <f t="shared" si="41"/>
        <v>32</v>
      </c>
      <c r="R171" s="4">
        <v>0</v>
      </c>
      <c r="S171" s="2">
        <v>43</v>
      </c>
      <c r="T171" s="5">
        <v>18</v>
      </c>
      <c r="U171" s="5">
        <v>34</v>
      </c>
      <c r="V171" s="5">
        <f t="shared" si="42"/>
        <v>52</v>
      </c>
      <c r="W171" s="4">
        <v>94</v>
      </c>
      <c r="X171">
        <f>O171/N171</f>
        <v>0.72</v>
      </c>
      <c r="Y171">
        <f>T171/S171</f>
        <v>0.41860465116279072</v>
      </c>
      <c r="Z171">
        <f>X171-Y171</f>
        <v>0.30139534883720925</v>
      </c>
      <c r="AA171">
        <f>P171/N171</f>
        <v>0.56000000000000005</v>
      </c>
      <c r="AB171">
        <f>U171/S171</f>
        <v>0.79069767441860461</v>
      </c>
      <c r="AC171">
        <f>AA171-AB171</f>
        <v>-0.23069767441860456</v>
      </c>
      <c r="AD171">
        <f>Q171/N171</f>
        <v>1.28</v>
      </c>
      <c r="AE171">
        <f>V171/S171</f>
        <v>1.2093023255813953</v>
      </c>
      <c r="AF171">
        <f>AD171-AE171</f>
        <v>7.069767441860475E-2</v>
      </c>
      <c r="AG171">
        <v>0</v>
      </c>
      <c r="AH171" s="14">
        <v>16.859813084112151</v>
      </c>
      <c r="AI171" s="14">
        <v>25.136448598130841</v>
      </c>
      <c r="AJ171" s="14">
        <v>41.996261682242995</v>
      </c>
      <c r="AK171" s="14">
        <v>48.280373831775705</v>
      </c>
      <c r="AL171" s="5" t="s">
        <v>612</v>
      </c>
    </row>
    <row r="172" spans="1:41">
      <c r="A172" t="s">
        <v>525</v>
      </c>
      <c r="B172" t="s">
        <v>527</v>
      </c>
      <c r="C172">
        <v>24</v>
      </c>
      <c r="D172" t="s">
        <v>65</v>
      </c>
      <c r="E172">
        <v>6</v>
      </c>
      <c r="F172">
        <v>0</v>
      </c>
      <c r="G172" s="1">
        <f t="shared" si="39"/>
        <v>72</v>
      </c>
      <c r="H172">
        <v>200</v>
      </c>
      <c r="I172">
        <v>1989</v>
      </c>
      <c r="J172">
        <v>2007</v>
      </c>
      <c r="K172" s="1">
        <f t="shared" si="40"/>
        <v>18</v>
      </c>
      <c r="L172" t="s">
        <v>41</v>
      </c>
      <c r="M172" t="s">
        <v>44</v>
      </c>
      <c r="N172" s="2">
        <f>2+7+18+6</f>
        <v>33</v>
      </c>
      <c r="O172" s="3">
        <f>2+5+1+6</f>
        <v>14</v>
      </c>
      <c r="P172" s="3">
        <f>1+4+2+1</f>
        <v>8</v>
      </c>
      <c r="Q172" s="5">
        <f t="shared" si="41"/>
        <v>22</v>
      </c>
      <c r="R172" s="4">
        <f>2+8+14+6</f>
        <v>30</v>
      </c>
      <c r="S172" s="2">
        <v>37</v>
      </c>
      <c r="T172" s="5">
        <v>17</v>
      </c>
      <c r="U172" s="5">
        <v>18</v>
      </c>
      <c r="V172" s="5">
        <f t="shared" si="42"/>
        <v>35</v>
      </c>
      <c r="W172" s="4">
        <v>44</v>
      </c>
      <c r="AG172">
        <v>0</v>
      </c>
      <c r="AH172" s="14">
        <v>16.755417956656345</v>
      </c>
      <c r="AI172" s="14">
        <v>25.006191950464395</v>
      </c>
      <c r="AJ172" s="14">
        <v>41.761609907120743</v>
      </c>
      <c r="AK172" s="14">
        <v>41.253869969040245</v>
      </c>
      <c r="AL172" s="3" t="s">
        <v>606</v>
      </c>
    </row>
    <row r="173" spans="1:41">
      <c r="A173" s="6" t="s">
        <v>135</v>
      </c>
      <c r="B173" t="s">
        <v>147</v>
      </c>
      <c r="C173">
        <v>26</v>
      </c>
      <c r="D173" t="s">
        <v>35</v>
      </c>
      <c r="E173">
        <v>5</v>
      </c>
      <c r="F173">
        <v>9</v>
      </c>
      <c r="G173" s="1">
        <f t="shared" si="39"/>
        <v>69</v>
      </c>
      <c r="H173">
        <v>161</v>
      </c>
      <c r="I173">
        <v>1989</v>
      </c>
      <c r="J173">
        <v>2008</v>
      </c>
      <c r="K173" s="1">
        <f t="shared" si="40"/>
        <v>19</v>
      </c>
      <c r="L173" t="s">
        <v>41</v>
      </c>
      <c r="M173" t="s">
        <v>44</v>
      </c>
      <c r="N173" s="2">
        <v>70</v>
      </c>
      <c r="O173" s="5">
        <v>43</v>
      </c>
      <c r="P173" s="5">
        <v>48</v>
      </c>
      <c r="Q173" s="5">
        <f t="shared" si="41"/>
        <v>91</v>
      </c>
      <c r="R173" s="4">
        <v>42</v>
      </c>
      <c r="S173" s="2">
        <v>71</v>
      </c>
      <c r="T173" s="5">
        <v>26</v>
      </c>
      <c r="U173" s="5">
        <v>24</v>
      </c>
      <c r="V173" s="5">
        <f t="shared" si="42"/>
        <v>50</v>
      </c>
      <c r="W173" s="4">
        <v>30</v>
      </c>
      <c r="X173">
        <f>O173/N173</f>
        <v>0.61428571428571432</v>
      </c>
      <c r="Y173">
        <f>T173/S173</f>
        <v>0.36619718309859156</v>
      </c>
      <c r="Z173">
        <f>X173-Y173</f>
        <v>0.24808853118712276</v>
      </c>
      <c r="AA173">
        <f>P173/N173</f>
        <v>0.68571428571428572</v>
      </c>
      <c r="AB173">
        <f>U173/S173</f>
        <v>0.3380281690140845</v>
      </c>
      <c r="AC173">
        <f>AA173-AB173</f>
        <v>0.34768611670020122</v>
      </c>
      <c r="AD173">
        <f>Q173/N173</f>
        <v>1.3</v>
      </c>
      <c r="AE173">
        <f>V173/S173</f>
        <v>0.70422535211267601</v>
      </c>
      <c r="AF173">
        <f>AD173-AE173</f>
        <v>0.59577464788732404</v>
      </c>
      <c r="AG173">
        <v>0</v>
      </c>
      <c r="AH173" s="14">
        <v>17.706194690265487</v>
      </c>
      <c r="AI173" s="14">
        <v>23.801769911504426</v>
      </c>
      <c r="AJ173" s="14">
        <v>41.507964601769913</v>
      </c>
      <c r="AK173" s="14">
        <v>27.865486725663715</v>
      </c>
      <c r="AL173" s="3" t="s">
        <v>599</v>
      </c>
    </row>
    <row r="174" spans="1:41">
      <c r="A174" t="s">
        <v>478</v>
      </c>
      <c r="B174" t="s">
        <v>494</v>
      </c>
      <c r="C174">
        <v>49</v>
      </c>
      <c r="D174" t="s">
        <v>65</v>
      </c>
      <c r="E174">
        <v>6</v>
      </c>
      <c r="F174">
        <v>3</v>
      </c>
      <c r="G174" s="1">
        <f t="shared" si="39"/>
        <v>75</v>
      </c>
      <c r="H174">
        <v>210</v>
      </c>
      <c r="I174">
        <v>1985</v>
      </c>
      <c r="J174">
        <v>2004</v>
      </c>
      <c r="K174" s="1">
        <f t="shared" si="40"/>
        <v>19</v>
      </c>
      <c r="L174" t="s">
        <v>41</v>
      </c>
      <c r="M174" t="s">
        <v>44</v>
      </c>
      <c r="N174" s="2">
        <f>24+27+24+8</f>
        <v>83</v>
      </c>
      <c r="O174" s="3">
        <f>26</f>
        <v>26</v>
      </c>
      <c r="P174" s="3">
        <v>28</v>
      </c>
      <c r="Q174" s="5">
        <f t="shared" si="41"/>
        <v>54</v>
      </c>
      <c r="R174" s="4">
        <f>8+8+4+30</f>
        <v>50</v>
      </c>
      <c r="S174" s="2">
        <v>32</v>
      </c>
      <c r="T174" s="5">
        <v>23</v>
      </c>
      <c r="U174" s="5">
        <v>21</v>
      </c>
      <c r="V174" s="5">
        <f t="shared" si="42"/>
        <v>44</v>
      </c>
      <c r="W174" s="4">
        <v>47</v>
      </c>
      <c r="AG174">
        <v>0</v>
      </c>
      <c r="AH174" s="14">
        <v>14.938613861386139</v>
      </c>
      <c r="AI174" s="14">
        <v>26.467326732673268</v>
      </c>
      <c r="AJ174" s="14">
        <v>41.405940594059409</v>
      </c>
      <c r="AK174" s="14">
        <v>29.552475247524754</v>
      </c>
      <c r="AL174" s="5" t="s">
        <v>605</v>
      </c>
    </row>
    <row r="175" spans="1:41">
      <c r="A175" s="6" t="s">
        <v>148</v>
      </c>
      <c r="B175" t="s">
        <v>165</v>
      </c>
      <c r="C175">
        <v>53</v>
      </c>
      <c r="D175" t="s">
        <v>37</v>
      </c>
      <c r="E175">
        <v>6</v>
      </c>
      <c r="F175">
        <v>0</v>
      </c>
      <c r="G175" s="1">
        <f t="shared" si="39"/>
        <v>72</v>
      </c>
      <c r="H175">
        <v>183</v>
      </c>
      <c r="I175">
        <v>1997</v>
      </c>
      <c r="J175">
        <v>2016</v>
      </c>
      <c r="K175" s="1">
        <f t="shared" si="40"/>
        <v>19</v>
      </c>
      <c r="L175" t="s">
        <v>42</v>
      </c>
      <c r="M175" t="s">
        <v>43</v>
      </c>
      <c r="N175" s="2">
        <v>65</v>
      </c>
      <c r="O175" s="5">
        <v>6</v>
      </c>
      <c r="P175" s="5">
        <v>18</v>
      </c>
      <c r="Q175" s="5">
        <f t="shared" si="41"/>
        <v>24</v>
      </c>
      <c r="R175" s="4">
        <v>52</v>
      </c>
      <c r="S175" s="2">
        <v>57</v>
      </c>
      <c r="T175" s="5">
        <v>9</v>
      </c>
      <c r="U175" s="5">
        <v>32</v>
      </c>
      <c r="V175" s="5">
        <f t="shared" si="42"/>
        <v>41</v>
      </c>
      <c r="W175" s="4">
        <v>136</v>
      </c>
      <c r="X175">
        <f>O175/N175</f>
        <v>9.2307692307692313E-2</v>
      </c>
      <c r="Y175">
        <f>T175/S175</f>
        <v>0.15789473684210525</v>
      </c>
      <c r="Z175">
        <f>X175-Y175</f>
        <v>-6.5587044534412942E-2</v>
      </c>
      <c r="AA175">
        <f>P175/N175</f>
        <v>0.27692307692307694</v>
      </c>
      <c r="AB175">
        <f>U175/S175</f>
        <v>0.56140350877192979</v>
      </c>
      <c r="AC175">
        <f>AA175-AB175</f>
        <v>-0.28448043184885285</v>
      </c>
      <c r="AD175">
        <f>Q175/N175</f>
        <v>0.36923076923076925</v>
      </c>
      <c r="AE175">
        <f>V175/S175</f>
        <v>0.7192982456140351</v>
      </c>
      <c r="AF175">
        <f>AD175-AE175</f>
        <v>-0.35006747638326585</v>
      </c>
      <c r="AG175">
        <v>0</v>
      </c>
      <c r="AH175" s="14">
        <v>12.058823529411764</v>
      </c>
      <c r="AI175" s="14">
        <v>31.352941176470587</v>
      </c>
      <c r="AJ175" s="14">
        <v>43.411764705882348</v>
      </c>
      <c r="AK175" s="14">
        <v>47.029411764705877</v>
      </c>
      <c r="AL175" s="3" t="s">
        <v>607</v>
      </c>
      <c r="AM175" s="22">
        <v>50</v>
      </c>
      <c r="AN175" s="22">
        <v>596</v>
      </c>
      <c r="AO175">
        <f t="shared" ref="AO175:AO176" si="45">AM175/AN175</f>
        <v>8.3892617449664433E-2</v>
      </c>
    </row>
    <row r="176" spans="1:41">
      <c r="A176" t="s">
        <v>478</v>
      </c>
      <c r="B176" t="s">
        <v>483</v>
      </c>
      <c r="C176">
        <v>6</v>
      </c>
      <c r="D176" t="s">
        <v>65</v>
      </c>
      <c r="E176">
        <v>6</v>
      </c>
      <c r="F176">
        <v>2</v>
      </c>
      <c r="G176" s="1">
        <f t="shared" si="39"/>
        <v>74</v>
      </c>
      <c r="H176">
        <v>200</v>
      </c>
      <c r="I176">
        <v>1991</v>
      </c>
      <c r="J176">
        <v>2009</v>
      </c>
      <c r="K176" s="1">
        <f t="shared" si="40"/>
        <v>18</v>
      </c>
      <c r="L176" t="s">
        <v>42</v>
      </c>
      <c r="M176" t="s">
        <v>44</v>
      </c>
      <c r="N176" s="2">
        <f>39+47+6</f>
        <v>92</v>
      </c>
      <c r="O176" s="5">
        <v>10</v>
      </c>
      <c r="P176" s="5">
        <v>36</v>
      </c>
      <c r="Q176" s="5">
        <f t="shared" si="41"/>
        <v>46</v>
      </c>
      <c r="R176" s="4">
        <v>72</v>
      </c>
      <c r="S176" s="2">
        <f>12+7+27</f>
        <v>46</v>
      </c>
      <c r="T176" s="3">
        <f>7</f>
        <v>7</v>
      </c>
      <c r="U176" s="5">
        <v>12</v>
      </c>
      <c r="V176" s="5">
        <f t="shared" si="42"/>
        <v>19</v>
      </c>
      <c r="W176" s="4">
        <f>57+16+10</f>
        <v>83</v>
      </c>
      <c r="AG176">
        <v>0</v>
      </c>
      <c r="AH176" s="14">
        <v>14.229411764705883</v>
      </c>
      <c r="AI176" s="14">
        <v>27.132352941176471</v>
      </c>
      <c r="AJ176" s="14">
        <v>41.361764705882351</v>
      </c>
      <c r="AK176" s="14">
        <v>50.405882352941177</v>
      </c>
      <c r="AL176" s="5" t="s">
        <v>606</v>
      </c>
      <c r="AM176" s="22">
        <v>50</v>
      </c>
      <c r="AN176" s="22">
        <v>258</v>
      </c>
      <c r="AO176">
        <f t="shared" si="45"/>
        <v>0.19379844961240311</v>
      </c>
    </row>
    <row r="177" spans="1:41">
      <c r="A177" t="s">
        <v>283</v>
      </c>
      <c r="B177" t="s">
        <v>392</v>
      </c>
      <c r="C177">
        <v>1</v>
      </c>
      <c r="D177" t="s">
        <v>34</v>
      </c>
      <c r="E177">
        <v>5</v>
      </c>
      <c r="F177">
        <v>10</v>
      </c>
      <c r="G177" s="1">
        <f t="shared" si="39"/>
        <v>70</v>
      </c>
      <c r="H177">
        <v>168</v>
      </c>
      <c r="I177">
        <v>2001</v>
      </c>
      <c r="J177">
        <v>2019</v>
      </c>
      <c r="K177" s="1">
        <f t="shared" si="40"/>
        <v>18</v>
      </c>
      <c r="L177" t="s">
        <v>41</v>
      </c>
      <c r="M177" t="s">
        <v>44</v>
      </c>
      <c r="N177" s="2">
        <f>24+4+7+7+50</f>
        <v>92</v>
      </c>
      <c r="O177" s="3">
        <f>12+9+34</f>
        <v>55</v>
      </c>
      <c r="P177" s="3">
        <f>36+4+11+3+78</f>
        <v>132</v>
      </c>
      <c r="Q177" s="5">
        <f t="shared" si="41"/>
        <v>187</v>
      </c>
      <c r="R177" s="4">
        <f>40</f>
        <v>40</v>
      </c>
      <c r="S177" s="2">
        <f>36+24+27+7+6</f>
        <v>100</v>
      </c>
      <c r="T177" s="3">
        <f>27+13+21+5+5</f>
        <v>71</v>
      </c>
      <c r="U177" s="3">
        <f>41+35+33+7+10</f>
        <v>126</v>
      </c>
      <c r="V177" s="5">
        <f t="shared" si="42"/>
        <v>197</v>
      </c>
      <c r="W177" s="4">
        <f>6+10+10+2+2</f>
        <v>30</v>
      </c>
      <c r="X177">
        <f t="shared" ref="X177:X182" si="46">O177/N177</f>
        <v>0.59782608695652173</v>
      </c>
      <c r="Y177">
        <f t="shared" ref="Y177:Y182" si="47">T177/S177</f>
        <v>0.71</v>
      </c>
      <c r="Z177">
        <f t="shared" ref="Z177:Z182" si="48">X177-Y177</f>
        <v>-0.11217391304347823</v>
      </c>
      <c r="AA177">
        <f t="shared" ref="AA177:AA182" si="49">P177/N177</f>
        <v>1.4347826086956521</v>
      </c>
      <c r="AB177">
        <f t="shared" ref="AB177:AB182" si="50">U177/S177</f>
        <v>1.26</v>
      </c>
      <c r="AC177">
        <f t="shared" ref="AC177:AC182" si="51">AA177-AB177</f>
        <v>0.1747826086956521</v>
      </c>
      <c r="AD177">
        <f t="shared" ref="AD177:AD182" si="52">Q177/N177</f>
        <v>2.0326086956521738</v>
      </c>
      <c r="AE177">
        <f t="shared" ref="AE177:AE182" si="53">V177/S177</f>
        <v>1.97</v>
      </c>
      <c r="AF177">
        <f t="shared" ref="AF177:AF182" si="54">AD177-AE177</f>
        <v>6.2608695652173862E-2</v>
      </c>
      <c r="AG177">
        <v>0</v>
      </c>
      <c r="AH177" s="14">
        <v>16.399999999999999</v>
      </c>
      <c r="AI177" s="14">
        <v>24.599999999999998</v>
      </c>
      <c r="AJ177" s="14">
        <v>41</v>
      </c>
      <c r="AK177" s="14">
        <v>16.399999999999999</v>
      </c>
      <c r="AL177" s="5" t="s">
        <v>608</v>
      </c>
    </row>
    <row r="178" spans="1:41">
      <c r="A178" t="s">
        <v>204</v>
      </c>
      <c r="B178" t="s">
        <v>211</v>
      </c>
      <c r="C178">
        <v>113</v>
      </c>
      <c r="D178" t="s">
        <v>34</v>
      </c>
      <c r="E178">
        <v>6</v>
      </c>
      <c r="F178">
        <v>1</v>
      </c>
      <c r="G178" s="1">
        <f t="shared" si="39"/>
        <v>73</v>
      </c>
      <c r="H178">
        <v>195</v>
      </c>
      <c r="I178">
        <v>1995</v>
      </c>
      <c r="J178">
        <v>2014</v>
      </c>
      <c r="K178" s="1">
        <f t="shared" si="40"/>
        <v>19</v>
      </c>
      <c r="L178" t="s">
        <v>41</v>
      </c>
      <c r="M178" t="s">
        <v>43</v>
      </c>
      <c r="N178" s="2">
        <v>36</v>
      </c>
      <c r="O178" s="5">
        <v>23</v>
      </c>
      <c r="P178" s="5">
        <v>43</v>
      </c>
      <c r="Q178" s="5">
        <f t="shared" si="41"/>
        <v>66</v>
      </c>
      <c r="R178" s="4">
        <v>2</v>
      </c>
      <c r="S178" s="2">
        <v>24</v>
      </c>
      <c r="T178" s="5">
        <v>9</v>
      </c>
      <c r="U178" s="5">
        <v>15</v>
      </c>
      <c r="V178" s="5">
        <f t="shared" si="42"/>
        <v>24</v>
      </c>
      <c r="W178" s="4">
        <v>0</v>
      </c>
      <c r="X178">
        <f t="shared" si="46"/>
        <v>0.63888888888888884</v>
      </c>
      <c r="Y178">
        <f t="shared" si="47"/>
        <v>0.375</v>
      </c>
      <c r="Z178">
        <f t="shared" si="48"/>
        <v>0.26388888888888884</v>
      </c>
      <c r="AA178">
        <f t="shared" si="49"/>
        <v>1.1944444444444444</v>
      </c>
      <c r="AB178">
        <f t="shared" si="50"/>
        <v>0.625</v>
      </c>
      <c r="AC178">
        <f t="shared" si="51"/>
        <v>0.56944444444444442</v>
      </c>
      <c r="AD178">
        <f t="shared" si="52"/>
        <v>1.8333333333333333</v>
      </c>
      <c r="AE178">
        <f t="shared" si="53"/>
        <v>1</v>
      </c>
      <c r="AF178">
        <f t="shared" si="54"/>
        <v>0.83333333333333326</v>
      </c>
      <c r="AG178">
        <v>0</v>
      </c>
      <c r="AH178" s="14">
        <v>17.571428571428569</v>
      </c>
      <c r="AI178" s="14">
        <v>23.428571428571427</v>
      </c>
      <c r="AJ178" s="14">
        <v>41</v>
      </c>
      <c r="AK178" s="14">
        <v>23.428571428571427</v>
      </c>
      <c r="AL178" s="5" t="s">
        <v>631</v>
      </c>
    </row>
    <row r="179" spans="1:41">
      <c r="A179" t="s">
        <v>354</v>
      </c>
      <c r="B179" t="s">
        <v>350</v>
      </c>
      <c r="C179">
        <v>98</v>
      </c>
      <c r="D179" t="s">
        <v>34</v>
      </c>
      <c r="E179">
        <v>6</v>
      </c>
      <c r="F179">
        <v>1</v>
      </c>
      <c r="G179" s="1">
        <f t="shared" si="39"/>
        <v>73</v>
      </c>
      <c r="H179">
        <v>208</v>
      </c>
      <c r="I179">
        <v>1989</v>
      </c>
      <c r="J179">
        <v>2009</v>
      </c>
      <c r="K179" s="1">
        <f t="shared" si="40"/>
        <v>20</v>
      </c>
      <c r="L179" t="s">
        <v>41</v>
      </c>
      <c r="M179" t="s">
        <v>43</v>
      </c>
      <c r="N179" s="2">
        <v>54</v>
      </c>
      <c r="O179" s="5">
        <v>28</v>
      </c>
      <c r="P179" s="5">
        <v>48</v>
      </c>
      <c r="Q179" s="5">
        <f t="shared" si="41"/>
        <v>76</v>
      </c>
      <c r="R179" s="4">
        <v>108</v>
      </c>
      <c r="S179" s="2">
        <v>58</v>
      </c>
      <c r="T179" s="5">
        <v>13</v>
      </c>
      <c r="U179" s="5">
        <v>10</v>
      </c>
      <c r="V179" s="5">
        <f t="shared" si="42"/>
        <v>23</v>
      </c>
      <c r="W179" s="4">
        <v>90</v>
      </c>
      <c r="X179">
        <f t="shared" si="46"/>
        <v>0.51851851851851849</v>
      </c>
      <c r="Y179">
        <f t="shared" si="47"/>
        <v>0.22413793103448276</v>
      </c>
      <c r="Z179">
        <f t="shared" si="48"/>
        <v>0.29438058748403573</v>
      </c>
      <c r="AA179">
        <f t="shared" si="49"/>
        <v>0.88888888888888884</v>
      </c>
      <c r="AB179">
        <f t="shared" si="50"/>
        <v>0.17241379310344829</v>
      </c>
      <c r="AC179">
        <f t="shared" si="51"/>
        <v>0.71647509578544055</v>
      </c>
      <c r="AD179">
        <f t="shared" si="52"/>
        <v>1.4074074074074074</v>
      </c>
      <c r="AE179">
        <f t="shared" si="53"/>
        <v>0.39655172413793105</v>
      </c>
      <c r="AF179">
        <f t="shared" si="54"/>
        <v>1.0108556832694764</v>
      </c>
      <c r="AG179">
        <v>0</v>
      </c>
      <c r="AH179" s="14">
        <v>19.530179445350733</v>
      </c>
      <c r="AI179" s="14">
        <v>21.402936378466556</v>
      </c>
      <c r="AJ179" s="14">
        <v>40.933115823817289</v>
      </c>
      <c r="AK179" s="14">
        <v>32.104404567699838</v>
      </c>
      <c r="AL179" s="3" t="s">
        <v>608</v>
      </c>
    </row>
    <row r="180" spans="1:41">
      <c r="A180" s="6" t="s">
        <v>17</v>
      </c>
      <c r="B180" t="s">
        <v>68</v>
      </c>
      <c r="C180">
        <v>28</v>
      </c>
      <c r="D180" t="s">
        <v>34</v>
      </c>
      <c r="E180">
        <v>6</v>
      </c>
      <c r="F180">
        <v>3</v>
      </c>
      <c r="G180" s="1">
        <f t="shared" si="39"/>
        <v>75</v>
      </c>
      <c r="H180">
        <v>200</v>
      </c>
      <c r="I180">
        <v>1992</v>
      </c>
      <c r="J180">
        <v>2010</v>
      </c>
      <c r="K180" s="1">
        <f t="shared" si="40"/>
        <v>18</v>
      </c>
      <c r="L180" t="s">
        <v>41</v>
      </c>
      <c r="M180" t="s">
        <v>43</v>
      </c>
      <c r="N180" s="2">
        <v>46</v>
      </c>
      <c r="O180" s="3">
        <v>22</v>
      </c>
      <c r="P180" s="5">
        <v>42</v>
      </c>
      <c r="Q180" s="3">
        <f t="shared" si="41"/>
        <v>64</v>
      </c>
      <c r="R180" s="4">
        <v>52</v>
      </c>
      <c r="S180" s="2">
        <v>26</v>
      </c>
      <c r="T180" s="5">
        <v>20</v>
      </c>
      <c r="U180" s="5">
        <v>28</v>
      </c>
      <c r="V180" s="3">
        <f t="shared" si="42"/>
        <v>48</v>
      </c>
      <c r="W180" s="4">
        <v>4</v>
      </c>
      <c r="X180">
        <f t="shared" si="46"/>
        <v>0.47826086956521741</v>
      </c>
      <c r="Y180">
        <f t="shared" si="47"/>
        <v>0.76923076923076927</v>
      </c>
      <c r="Z180">
        <f t="shared" si="48"/>
        <v>-0.29096989966555187</v>
      </c>
      <c r="AA180">
        <f t="shared" si="49"/>
        <v>0.91304347826086951</v>
      </c>
      <c r="AB180">
        <f t="shared" si="50"/>
        <v>1.0769230769230769</v>
      </c>
      <c r="AC180">
        <f t="shared" si="51"/>
        <v>-0.16387959866220736</v>
      </c>
      <c r="AD180">
        <f t="shared" si="52"/>
        <v>1.3913043478260869</v>
      </c>
      <c r="AE180">
        <f t="shared" si="53"/>
        <v>1.8461538461538463</v>
      </c>
      <c r="AF180">
        <f t="shared" si="54"/>
        <v>-0.45484949832775934</v>
      </c>
      <c r="AG180">
        <v>0</v>
      </c>
      <c r="AH180" s="14">
        <v>15.26679462571977</v>
      </c>
      <c r="AI180" s="14">
        <v>25.497120921305186</v>
      </c>
      <c r="AJ180" s="14">
        <v>40.763915547024958</v>
      </c>
      <c r="AK180" s="14">
        <v>30.218809980806142</v>
      </c>
      <c r="AL180" s="5" t="s">
        <v>632</v>
      </c>
    </row>
    <row r="181" spans="1:41">
      <c r="A181" t="s">
        <v>251</v>
      </c>
      <c r="B181" t="s">
        <v>264</v>
      </c>
      <c r="C181">
        <v>14</v>
      </c>
      <c r="D181" t="s">
        <v>65</v>
      </c>
      <c r="E181">
        <v>6</v>
      </c>
      <c r="F181">
        <v>2</v>
      </c>
      <c r="G181" s="1">
        <f t="shared" si="39"/>
        <v>74</v>
      </c>
      <c r="H181">
        <v>197</v>
      </c>
      <c r="I181">
        <v>1994</v>
      </c>
      <c r="J181">
        <v>2013</v>
      </c>
      <c r="K181" s="1">
        <f t="shared" si="40"/>
        <v>19</v>
      </c>
      <c r="L181" t="s">
        <v>41</v>
      </c>
      <c r="M181" t="s">
        <v>44</v>
      </c>
      <c r="N181" s="2">
        <v>46</v>
      </c>
      <c r="O181" s="5">
        <v>14</v>
      </c>
      <c r="P181" s="5">
        <v>18</v>
      </c>
      <c r="Q181" s="5">
        <f t="shared" si="41"/>
        <v>32</v>
      </c>
      <c r="R181" s="4">
        <v>14</v>
      </c>
      <c r="S181" s="2">
        <v>1</v>
      </c>
      <c r="T181" s="5">
        <v>0</v>
      </c>
      <c r="U181" s="5">
        <v>0</v>
      </c>
      <c r="V181" s="5">
        <f t="shared" si="42"/>
        <v>0</v>
      </c>
      <c r="W181" s="4">
        <v>0</v>
      </c>
      <c r="X181">
        <f t="shared" si="46"/>
        <v>0.30434782608695654</v>
      </c>
      <c r="Y181">
        <f t="shared" si="47"/>
        <v>0</v>
      </c>
      <c r="Z181">
        <f t="shared" si="48"/>
        <v>0.30434782608695654</v>
      </c>
      <c r="AA181">
        <f t="shared" si="49"/>
        <v>0.39130434782608697</v>
      </c>
      <c r="AB181">
        <f t="shared" si="50"/>
        <v>0</v>
      </c>
      <c r="AC181">
        <f t="shared" si="51"/>
        <v>0.39130434782608697</v>
      </c>
      <c r="AD181">
        <f t="shared" si="52"/>
        <v>0.69565217391304346</v>
      </c>
      <c r="AE181">
        <f t="shared" si="53"/>
        <v>0</v>
      </c>
      <c r="AF181">
        <f t="shared" si="54"/>
        <v>0.69565217391304346</v>
      </c>
      <c r="AG181">
        <v>0</v>
      </c>
      <c r="AH181" s="14">
        <v>8.0264550264550252</v>
      </c>
      <c r="AI181" s="14">
        <v>32.322751322751323</v>
      </c>
      <c r="AJ181" s="14">
        <v>40.349206349206348</v>
      </c>
      <c r="AK181" s="14">
        <v>15.835978835978835</v>
      </c>
      <c r="AL181" s="3" t="s">
        <v>606</v>
      </c>
    </row>
    <row r="182" spans="1:41">
      <c r="A182" s="6" t="s">
        <v>17</v>
      </c>
      <c r="B182" t="s">
        <v>27</v>
      </c>
      <c r="C182">
        <v>116</v>
      </c>
      <c r="D182" t="s">
        <v>35</v>
      </c>
      <c r="E182">
        <v>6</v>
      </c>
      <c r="F182">
        <v>1</v>
      </c>
      <c r="G182" s="1">
        <f t="shared" si="39"/>
        <v>73</v>
      </c>
      <c r="H182">
        <v>188</v>
      </c>
      <c r="I182">
        <v>1995</v>
      </c>
      <c r="J182">
        <v>2014</v>
      </c>
      <c r="K182" s="1">
        <f t="shared" si="40"/>
        <v>19</v>
      </c>
      <c r="L182" t="s">
        <v>41</v>
      </c>
      <c r="M182" t="s">
        <v>44</v>
      </c>
      <c r="N182" s="2">
        <v>57</v>
      </c>
      <c r="O182" s="5">
        <v>29</v>
      </c>
      <c r="P182" s="5">
        <v>33</v>
      </c>
      <c r="Q182" s="3">
        <f t="shared" si="41"/>
        <v>62</v>
      </c>
      <c r="R182" s="4">
        <v>8</v>
      </c>
      <c r="S182" s="2">
        <f>43+6+4+4</f>
        <v>57</v>
      </c>
      <c r="T182" s="5">
        <v>27</v>
      </c>
      <c r="U182" s="5">
        <v>41</v>
      </c>
      <c r="V182" s="3">
        <f t="shared" si="42"/>
        <v>68</v>
      </c>
      <c r="W182" s="4">
        <v>6</v>
      </c>
      <c r="X182">
        <f t="shared" si="46"/>
        <v>0.50877192982456143</v>
      </c>
      <c r="Y182">
        <f t="shared" si="47"/>
        <v>0.47368421052631576</v>
      </c>
      <c r="Z182">
        <f t="shared" si="48"/>
        <v>3.5087719298245668E-2</v>
      </c>
      <c r="AA182">
        <f t="shared" si="49"/>
        <v>0.57894736842105265</v>
      </c>
      <c r="AB182">
        <f t="shared" si="50"/>
        <v>0.7192982456140351</v>
      </c>
      <c r="AC182">
        <f t="shared" si="51"/>
        <v>-0.14035087719298245</v>
      </c>
      <c r="AD182">
        <f t="shared" si="52"/>
        <v>1.0877192982456141</v>
      </c>
      <c r="AE182">
        <f t="shared" si="53"/>
        <v>1.1929824561403508</v>
      </c>
      <c r="AF182">
        <f t="shared" si="54"/>
        <v>-0.10526315789473673</v>
      </c>
      <c r="AG182">
        <v>0</v>
      </c>
      <c r="AH182" s="14">
        <v>13.890710382513662</v>
      </c>
      <c r="AI182" s="14">
        <v>26.437158469945356</v>
      </c>
      <c r="AJ182" s="14">
        <v>40.327868852459019</v>
      </c>
      <c r="AK182" s="14">
        <v>17.027322404371585</v>
      </c>
      <c r="AL182" s="3" t="s">
        <v>602</v>
      </c>
    </row>
    <row r="183" spans="1:41">
      <c r="A183" t="s">
        <v>556</v>
      </c>
      <c r="B183" t="s">
        <v>566</v>
      </c>
      <c r="C183">
        <v>205</v>
      </c>
      <c r="D183" t="s">
        <v>37</v>
      </c>
      <c r="E183">
        <v>5</v>
      </c>
      <c r="F183">
        <v>11</v>
      </c>
      <c r="G183" s="1">
        <f t="shared" si="39"/>
        <v>71</v>
      </c>
      <c r="H183">
        <v>186</v>
      </c>
      <c r="I183">
        <v>1995</v>
      </c>
      <c r="J183">
        <v>2014</v>
      </c>
      <c r="K183" s="1">
        <f t="shared" si="40"/>
        <v>19</v>
      </c>
      <c r="L183" t="s">
        <v>41</v>
      </c>
      <c r="M183" t="s">
        <v>43</v>
      </c>
      <c r="N183" s="2">
        <f>11+5+5+8+37+7</f>
        <v>73</v>
      </c>
      <c r="O183" s="3">
        <f>3+1+3+1+4+5</f>
        <v>17</v>
      </c>
      <c r="P183" s="3">
        <f>5+2+1+3+10</f>
        <v>21</v>
      </c>
      <c r="Q183" s="5">
        <f t="shared" si="41"/>
        <v>38</v>
      </c>
      <c r="R183" s="4">
        <f>2+10+12</f>
        <v>24</v>
      </c>
      <c r="S183" s="2">
        <f>25+5+5+9+22+14+4</f>
        <v>84</v>
      </c>
      <c r="T183" s="5">
        <f>6+1+3+2+9+10</f>
        <v>31</v>
      </c>
      <c r="U183" s="5">
        <f>5+2+2+1+7+16</f>
        <v>33</v>
      </c>
      <c r="V183" s="5">
        <f t="shared" si="42"/>
        <v>64</v>
      </c>
      <c r="W183" s="4">
        <f>2+2+18+6</f>
        <v>28</v>
      </c>
      <c r="AG183">
        <v>0</v>
      </c>
      <c r="AH183" s="14">
        <v>18.658682634730539</v>
      </c>
      <c r="AI183" s="14">
        <v>21.604790419161677</v>
      </c>
      <c r="AJ183" s="14">
        <v>40.263473053892213</v>
      </c>
      <c r="AK183" s="14">
        <v>17.676646706586826</v>
      </c>
      <c r="AL183" s="3" t="s">
        <v>607</v>
      </c>
    </row>
    <row r="184" spans="1:41">
      <c r="A184" t="s">
        <v>169</v>
      </c>
      <c r="B184" t="s">
        <v>185</v>
      </c>
      <c r="C184">
        <v>13</v>
      </c>
      <c r="D184" t="s">
        <v>37</v>
      </c>
      <c r="E184">
        <v>6</v>
      </c>
      <c r="F184">
        <v>0</v>
      </c>
      <c r="G184" s="1">
        <f t="shared" si="39"/>
        <v>72</v>
      </c>
      <c r="H184">
        <v>197</v>
      </c>
      <c r="I184">
        <v>1996</v>
      </c>
      <c r="J184">
        <v>2014</v>
      </c>
      <c r="K184" s="1">
        <f t="shared" si="40"/>
        <v>18</v>
      </c>
      <c r="L184" t="s">
        <v>41</v>
      </c>
      <c r="M184" t="s">
        <v>44</v>
      </c>
      <c r="N184" s="2">
        <f>25+7+4+24+1+24+8+5</f>
        <v>98</v>
      </c>
      <c r="O184" s="3">
        <f>17+8+3+14+2+1+1</f>
        <v>46</v>
      </c>
      <c r="P184" s="3">
        <f>10+2+1+11+1+2+1</f>
        <v>28</v>
      </c>
      <c r="Q184" s="5">
        <f t="shared" si="41"/>
        <v>74</v>
      </c>
      <c r="R184" s="4">
        <f>18+4+4+26+2+6+2</f>
        <v>62</v>
      </c>
      <c r="S184" s="2">
        <f>16+6+4+5+32+3+5+1</f>
        <v>72</v>
      </c>
      <c r="T184" s="3">
        <f>3+1+2+20+3+1</f>
        <v>30</v>
      </c>
      <c r="U184" s="3">
        <f>4+1+12+2</f>
        <v>19</v>
      </c>
      <c r="V184" s="5">
        <f t="shared" si="42"/>
        <v>49</v>
      </c>
      <c r="W184" s="4">
        <f>6+2+6+2+49+2</f>
        <v>67</v>
      </c>
      <c r="X184">
        <f>O184/N184</f>
        <v>0.46938775510204084</v>
      </c>
      <c r="Y184">
        <f>T184/S184</f>
        <v>0.41666666666666669</v>
      </c>
      <c r="Z184">
        <f>X184-Y184</f>
        <v>5.2721088435374153E-2</v>
      </c>
      <c r="AA184">
        <f>P184/N184</f>
        <v>0.2857142857142857</v>
      </c>
      <c r="AB184">
        <f>U184/S184</f>
        <v>0.2638888888888889</v>
      </c>
      <c r="AC184">
        <f>AA184-AB184</f>
        <v>2.1825396825396803E-2</v>
      </c>
      <c r="AD184">
        <f>Q184/N184</f>
        <v>0.75510204081632648</v>
      </c>
      <c r="AE184">
        <f>V184/S184</f>
        <v>0.68055555555555558</v>
      </c>
      <c r="AF184">
        <f>AD184-AE184</f>
        <v>7.4546485260770901E-2</v>
      </c>
      <c r="AG184">
        <v>0</v>
      </c>
      <c r="AH184" s="14">
        <v>20.5</v>
      </c>
      <c r="AI184" s="14">
        <v>19.68</v>
      </c>
      <c r="AJ184" s="14">
        <v>40.18</v>
      </c>
      <c r="AK184" s="14">
        <v>20.91</v>
      </c>
      <c r="AL184" s="5" t="s">
        <v>618</v>
      </c>
    </row>
    <row r="185" spans="1:41">
      <c r="A185" t="s">
        <v>234</v>
      </c>
      <c r="B185" t="s">
        <v>244</v>
      </c>
      <c r="C185">
        <v>5</v>
      </c>
      <c r="D185" t="s">
        <v>119</v>
      </c>
      <c r="E185">
        <v>6</v>
      </c>
      <c r="F185">
        <v>2</v>
      </c>
      <c r="G185" s="1">
        <f t="shared" si="39"/>
        <v>74</v>
      </c>
      <c r="H185">
        <v>218</v>
      </c>
      <c r="I185">
        <v>1992</v>
      </c>
      <c r="J185">
        <v>2010</v>
      </c>
      <c r="K185" s="1">
        <f t="shared" si="40"/>
        <v>18</v>
      </c>
      <c r="L185" t="s">
        <v>41</v>
      </c>
      <c r="M185" t="s">
        <v>44</v>
      </c>
      <c r="N185" s="2">
        <v>65</v>
      </c>
      <c r="O185" s="5">
        <v>36</v>
      </c>
      <c r="P185" s="5">
        <v>24</v>
      </c>
      <c r="Q185" s="5">
        <f t="shared" si="41"/>
        <v>60</v>
      </c>
      <c r="R185" s="4">
        <v>68</v>
      </c>
      <c r="S185" s="2">
        <v>42</v>
      </c>
      <c r="T185" s="5">
        <v>29</v>
      </c>
      <c r="U185" s="5">
        <v>23</v>
      </c>
      <c r="V185" s="5">
        <f t="shared" si="42"/>
        <v>52</v>
      </c>
      <c r="W185" s="4">
        <v>66</v>
      </c>
      <c r="X185">
        <f>O185/N185</f>
        <v>0.55384615384615388</v>
      </c>
      <c r="Y185">
        <f>T185/S185</f>
        <v>0.69047619047619047</v>
      </c>
      <c r="Z185">
        <f>X185-Y185</f>
        <v>-0.13663003663003659</v>
      </c>
      <c r="AA185">
        <f>P185/N185</f>
        <v>0.36923076923076925</v>
      </c>
      <c r="AB185">
        <f>U185/S185</f>
        <v>0.54761904761904767</v>
      </c>
      <c r="AC185">
        <f>AA185-AB185</f>
        <v>-0.17838827838827842</v>
      </c>
      <c r="AD185">
        <f>Q185/N185</f>
        <v>0.92307692307692313</v>
      </c>
      <c r="AE185">
        <f>V185/S185</f>
        <v>1.2380952380952381</v>
      </c>
      <c r="AF185">
        <f>AD185-AE185</f>
        <v>-0.31501831501831501</v>
      </c>
      <c r="AG185">
        <v>0</v>
      </c>
      <c r="AH185" s="14">
        <v>19.059459459459458</v>
      </c>
      <c r="AI185" s="14">
        <v>20.980180180180177</v>
      </c>
      <c r="AJ185" s="14">
        <v>40.039639639639638</v>
      </c>
      <c r="AK185" s="14">
        <v>38.56216216216216</v>
      </c>
      <c r="AL185" s="5" t="s">
        <v>599</v>
      </c>
    </row>
    <row r="186" spans="1:41">
      <c r="A186" t="s">
        <v>220</v>
      </c>
      <c r="B186" t="s">
        <v>230</v>
      </c>
      <c r="C186">
        <v>18</v>
      </c>
      <c r="D186" t="s">
        <v>35</v>
      </c>
      <c r="E186">
        <v>6</v>
      </c>
      <c r="F186">
        <v>2</v>
      </c>
      <c r="G186" s="1">
        <f t="shared" si="39"/>
        <v>74</v>
      </c>
      <c r="H186">
        <v>239</v>
      </c>
      <c r="I186">
        <v>1987</v>
      </c>
      <c r="J186">
        <v>2006</v>
      </c>
      <c r="K186" s="1">
        <f t="shared" si="40"/>
        <v>19</v>
      </c>
      <c r="L186" t="s">
        <v>41</v>
      </c>
      <c r="M186" t="s">
        <v>43</v>
      </c>
      <c r="N186" s="2">
        <v>62</v>
      </c>
      <c r="O186" s="5">
        <v>37</v>
      </c>
      <c r="P186" s="5">
        <v>50</v>
      </c>
      <c r="Q186" s="5">
        <f t="shared" si="41"/>
        <v>87</v>
      </c>
      <c r="R186" s="4">
        <v>118</v>
      </c>
      <c r="S186" s="2">
        <v>64</v>
      </c>
      <c r="T186" s="5">
        <v>18</v>
      </c>
      <c r="U186" s="5">
        <v>12</v>
      </c>
      <c r="V186" s="5">
        <f t="shared" si="42"/>
        <v>30</v>
      </c>
      <c r="W186" s="4">
        <v>45</v>
      </c>
      <c r="X186">
        <f>O186/N186</f>
        <v>0.59677419354838712</v>
      </c>
      <c r="Y186">
        <f>T186/S186</f>
        <v>0.28125</v>
      </c>
      <c r="Z186">
        <f>X186-Y186</f>
        <v>0.31552419354838712</v>
      </c>
      <c r="AA186">
        <f>P186/N186</f>
        <v>0.80645161290322576</v>
      </c>
      <c r="AB186">
        <f>U186/S186</f>
        <v>0.1875</v>
      </c>
      <c r="AC186">
        <f>AA186-AB186</f>
        <v>0.61895161290322576</v>
      </c>
      <c r="AD186">
        <f>Q186/N186</f>
        <v>1.403225806451613</v>
      </c>
      <c r="AE186">
        <f>V186/S186</f>
        <v>0.46875</v>
      </c>
      <c r="AF186">
        <f>AD186-AE186</f>
        <v>0.93447580645161299</v>
      </c>
      <c r="AG186">
        <v>0</v>
      </c>
      <c r="AH186" s="14">
        <v>19.84871406959153</v>
      </c>
      <c r="AI186" s="14">
        <v>20.096822995461423</v>
      </c>
      <c r="AJ186" s="14">
        <v>39.945537065052953</v>
      </c>
      <c r="AK186" s="14">
        <v>91.924357034795761</v>
      </c>
      <c r="AL186" s="3" t="s">
        <v>600</v>
      </c>
    </row>
    <row r="187" spans="1:41">
      <c r="A187" t="s">
        <v>445</v>
      </c>
      <c r="B187" t="s">
        <v>457</v>
      </c>
      <c r="C187">
        <v>7</v>
      </c>
      <c r="D187" t="s">
        <v>34</v>
      </c>
      <c r="E187">
        <v>6</v>
      </c>
      <c r="F187">
        <v>2</v>
      </c>
      <c r="G187" s="1">
        <f t="shared" si="39"/>
        <v>74</v>
      </c>
      <c r="H187">
        <v>208</v>
      </c>
      <c r="I187">
        <v>1985</v>
      </c>
      <c r="J187">
        <v>2003</v>
      </c>
      <c r="K187" s="1">
        <f t="shared" si="40"/>
        <v>18</v>
      </c>
      <c r="L187" t="s">
        <v>42</v>
      </c>
      <c r="M187" t="s">
        <v>44</v>
      </c>
      <c r="N187" s="2">
        <f>9+42+7+6</f>
        <v>64</v>
      </c>
      <c r="O187" s="3">
        <f>2+7+2+1</f>
        <v>12</v>
      </c>
      <c r="P187" s="3">
        <f>5+17+1+3</f>
        <v>26</v>
      </c>
      <c r="Q187" s="5">
        <f t="shared" si="41"/>
        <v>38</v>
      </c>
      <c r="R187" s="4">
        <f>12+124+2+22</f>
        <v>160</v>
      </c>
      <c r="S187" s="2">
        <f>8+27+35+8</f>
        <v>78</v>
      </c>
      <c r="T187" s="3">
        <f>2+4+2+1</f>
        <v>9</v>
      </c>
      <c r="U187" s="3">
        <f>11+10+10+6</f>
        <v>37</v>
      </c>
      <c r="V187" s="5">
        <f t="shared" si="42"/>
        <v>46</v>
      </c>
      <c r="W187" s="4">
        <f>21+6+75+12</f>
        <v>114</v>
      </c>
      <c r="AG187">
        <v>0</v>
      </c>
      <c r="AH187" s="14">
        <v>6.2904109589041086</v>
      </c>
      <c r="AI187" s="14">
        <v>35.046575342465751</v>
      </c>
      <c r="AJ187" s="14">
        <v>41.336986301369862</v>
      </c>
      <c r="AK187" s="14">
        <v>48.750684931506846</v>
      </c>
      <c r="AL187" s="5" t="s">
        <v>619</v>
      </c>
      <c r="AM187" s="22">
        <v>48</v>
      </c>
      <c r="AN187" s="22">
        <v>268</v>
      </c>
      <c r="AO187">
        <f>AM187/AN187</f>
        <v>0.17910447761194029</v>
      </c>
    </row>
    <row r="188" spans="1:41">
      <c r="A188" t="s">
        <v>251</v>
      </c>
      <c r="B188" t="s">
        <v>254</v>
      </c>
      <c r="C188">
        <v>89</v>
      </c>
      <c r="D188" t="s">
        <v>219</v>
      </c>
      <c r="E188">
        <v>6</v>
      </c>
      <c r="F188">
        <v>0</v>
      </c>
      <c r="G188" s="1">
        <f t="shared" si="39"/>
        <v>72</v>
      </c>
      <c r="H188">
        <v>177</v>
      </c>
      <c r="I188">
        <v>1995</v>
      </c>
      <c r="J188">
        <v>2013</v>
      </c>
      <c r="K188" s="1">
        <f t="shared" si="40"/>
        <v>18</v>
      </c>
      <c r="L188" t="s">
        <v>41</v>
      </c>
      <c r="M188" t="s">
        <v>43</v>
      </c>
      <c r="N188" s="2">
        <f>65+5+9+5</f>
        <v>84</v>
      </c>
      <c r="O188" s="3">
        <f>31+1+6+5</f>
        <v>43</v>
      </c>
      <c r="P188" s="3">
        <f>32+2+3+3</f>
        <v>40</v>
      </c>
      <c r="Q188" s="5">
        <f t="shared" si="41"/>
        <v>83</v>
      </c>
      <c r="R188" s="4">
        <f>10+4+2+2</f>
        <v>18</v>
      </c>
      <c r="S188" s="2">
        <f>24+3+6+6+5+36+5</f>
        <v>85</v>
      </c>
      <c r="T188" s="3">
        <f>9+1+2+4+1+13+2</f>
        <v>32</v>
      </c>
      <c r="U188" s="3">
        <f>5+2+3+2+13+1</f>
        <v>26</v>
      </c>
      <c r="V188" s="5">
        <f t="shared" si="42"/>
        <v>58</v>
      </c>
      <c r="W188" s="4">
        <f>2+10</f>
        <v>12</v>
      </c>
      <c r="X188">
        <f>O188/N188</f>
        <v>0.51190476190476186</v>
      </c>
      <c r="Y188">
        <f>T188/S188</f>
        <v>0.37647058823529411</v>
      </c>
      <c r="Z188">
        <f>X188-Y188</f>
        <v>0.13543417366946775</v>
      </c>
      <c r="AA188">
        <f>P188/N188</f>
        <v>0.47619047619047616</v>
      </c>
      <c r="AB188">
        <f>U188/S188</f>
        <v>0.30588235294117649</v>
      </c>
      <c r="AC188">
        <f>AA188-AB188</f>
        <v>0.17030812324929967</v>
      </c>
      <c r="AD188">
        <f>Q188/N188</f>
        <v>0.98809523809523814</v>
      </c>
      <c r="AE188">
        <f>V188/S188</f>
        <v>0.68235294117647061</v>
      </c>
      <c r="AF188">
        <f>AD188-AE188</f>
        <v>0.30574229691876753</v>
      </c>
      <c r="AG188">
        <v>0</v>
      </c>
      <c r="AH188" s="14">
        <v>18.138248847926267</v>
      </c>
      <c r="AI188" s="14">
        <v>21.539170506912441</v>
      </c>
      <c r="AJ188" s="14">
        <v>39.677419354838705</v>
      </c>
      <c r="AK188" s="14">
        <v>10.958525345622119</v>
      </c>
      <c r="AL188" s="3" t="s">
        <v>599</v>
      </c>
    </row>
    <row r="189" spans="1:41">
      <c r="A189" s="6" t="s">
        <v>17</v>
      </c>
      <c r="B189" t="s">
        <v>32</v>
      </c>
      <c r="C189">
        <v>14</v>
      </c>
      <c r="D189" t="s">
        <v>34</v>
      </c>
      <c r="E189">
        <v>6</v>
      </c>
      <c r="F189">
        <v>0</v>
      </c>
      <c r="G189" s="1">
        <f t="shared" si="39"/>
        <v>72</v>
      </c>
      <c r="H189">
        <v>208</v>
      </c>
      <c r="I189">
        <v>1997</v>
      </c>
      <c r="J189">
        <v>2016</v>
      </c>
      <c r="K189" s="1">
        <f t="shared" si="40"/>
        <v>19</v>
      </c>
      <c r="L189" t="s">
        <v>42</v>
      </c>
      <c r="M189" t="s">
        <v>43</v>
      </c>
      <c r="N189" s="2">
        <v>44</v>
      </c>
      <c r="O189" s="5">
        <v>3</v>
      </c>
      <c r="P189" s="5">
        <v>22</v>
      </c>
      <c r="Q189" s="3">
        <f t="shared" si="41"/>
        <v>25</v>
      </c>
      <c r="R189" s="4">
        <v>56</v>
      </c>
      <c r="S189" s="2">
        <v>63</v>
      </c>
      <c r="T189" s="5">
        <v>7</v>
      </c>
      <c r="U189" s="5">
        <v>33</v>
      </c>
      <c r="V189" s="3">
        <f t="shared" si="42"/>
        <v>40</v>
      </c>
      <c r="W189" s="4">
        <v>51</v>
      </c>
      <c r="X189">
        <f>O189/N189</f>
        <v>6.8181818181818177E-2</v>
      </c>
      <c r="Y189">
        <f>T189/S189</f>
        <v>0.1111111111111111</v>
      </c>
      <c r="Z189">
        <f>X189-Y189</f>
        <v>-4.2929292929292928E-2</v>
      </c>
      <c r="AA189">
        <f>P189/N189</f>
        <v>0.5</v>
      </c>
      <c r="AB189">
        <f>U189/S189</f>
        <v>0.52380952380952384</v>
      </c>
      <c r="AC189">
        <f>AA189-AB189</f>
        <v>-2.3809523809523836E-2</v>
      </c>
      <c r="AD189">
        <f>Q189/N189</f>
        <v>0.56818181818181823</v>
      </c>
      <c r="AE189">
        <f>V189/S189</f>
        <v>0.63492063492063489</v>
      </c>
      <c r="AF189">
        <f>AD189-AE189</f>
        <v>-6.6738816738816653E-2</v>
      </c>
      <c r="AG189">
        <v>0</v>
      </c>
      <c r="AH189" s="14">
        <v>8.3188405797101446</v>
      </c>
      <c r="AI189" s="14">
        <v>31.492753623188406</v>
      </c>
      <c r="AJ189" s="14">
        <v>39.811594202898547</v>
      </c>
      <c r="AK189" s="14">
        <v>62.985507246376812</v>
      </c>
      <c r="AL189" s="3" t="s">
        <v>611</v>
      </c>
      <c r="AM189" s="22">
        <v>47</v>
      </c>
      <c r="AN189" s="22">
        <v>317</v>
      </c>
      <c r="AO189">
        <f>AM189/AN189</f>
        <v>0.14826498422712933</v>
      </c>
    </row>
    <row r="190" spans="1:41">
      <c r="A190" t="s">
        <v>556</v>
      </c>
      <c r="B190" t="s">
        <v>572</v>
      </c>
      <c r="C190">
        <v>30</v>
      </c>
      <c r="D190" t="s">
        <v>35</v>
      </c>
      <c r="E190">
        <v>6</v>
      </c>
      <c r="F190">
        <v>0</v>
      </c>
      <c r="G190" s="1">
        <f t="shared" si="39"/>
        <v>72</v>
      </c>
      <c r="H190">
        <v>180</v>
      </c>
      <c r="I190">
        <v>1998</v>
      </c>
      <c r="J190">
        <v>2016</v>
      </c>
      <c r="K190" s="1">
        <f t="shared" si="40"/>
        <v>18</v>
      </c>
      <c r="L190" t="s">
        <v>41</v>
      </c>
      <c r="M190" t="s">
        <v>44</v>
      </c>
      <c r="N190" s="2">
        <v>72</v>
      </c>
      <c r="O190" s="5">
        <v>23</v>
      </c>
      <c r="P190" s="5">
        <v>47</v>
      </c>
      <c r="Q190" s="5">
        <f t="shared" si="41"/>
        <v>70</v>
      </c>
      <c r="R190" s="4">
        <v>24</v>
      </c>
      <c r="S190" s="2">
        <v>61</v>
      </c>
      <c r="T190" s="5">
        <v>17</v>
      </c>
      <c r="U190" s="5">
        <v>37</v>
      </c>
      <c r="V190" s="5">
        <f t="shared" si="42"/>
        <v>54</v>
      </c>
      <c r="W190" s="4">
        <v>16</v>
      </c>
      <c r="AG190">
        <v>0</v>
      </c>
      <c r="AH190" s="14">
        <v>13.666666666666666</v>
      </c>
      <c r="AI190" s="14">
        <v>25.38095238095238</v>
      </c>
      <c r="AJ190" s="14">
        <v>39.047619047619044</v>
      </c>
      <c r="AK190" s="14">
        <v>27.333333333333332</v>
      </c>
      <c r="AL190" s="3" t="s">
        <v>599</v>
      </c>
    </row>
    <row r="191" spans="1:41">
      <c r="A191" t="s">
        <v>498</v>
      </c>
      <c r="B191" t="s">
        <v>499</v>
      </c>
      <c r="C191">
        <v>13</v>
      </c>
      <c r="D191" t="s">
        <v>119</v>
      </c>
      <c r="E191">
        <v>5</v>
      </c>
      <c r="F191">
        <v>11</v>
      </c>
      <c r="G191" s="1">
        <f t="shared" si="39"/>
        <v>71</v>
      </c>
      <c r="H191">
        <v>190</v>
      </c>
      <c r="I191">
        <v>1992</v>
      </c>
      <c r="J191">
        <v>2011</v>
      </c>
      <c r="K191" s="1">
        <f t="shared" si="40"/>
        <v>19</v>
      </c>
      <c r="L191" t="s">
        <v>41</v>
      </c>
      <c r="M191" t="s">
        <v>44</v>
      </c>
      <c r="N191" s="2">
        <v>66</v>
      </c>
      <c r="O191" s="5">
        <v>34</v>
      </c>
      <c r="P191" s="5">
        <v>51</v>
      </c>
      <c r="Q191" s="5">
        <f t="shared" si="41"/>
        <v>85</v>
      </c>
      <c r="R191" s="4">
        <v>74</v>
      </c>
      <c r="S191" s="2">
        <f>11+37+6</f>
        <v>54</v>
      </c>
      <c r="T191" s="5">
        <v>20</v>
      </c>
      <c r="U191" s="5">
        <v>21</v>
      </c>
      <c r="V191" s="5">
        <f t="shared" si="42"/>
        <v>41</v>
      </c>
      <c r="W191" s="4">
        <v>16</v>
      </c>
      <c r="AG191">
        <v>0</v>
      </c>
      <c r="AH191" s="14">
        <v>18.597938144329898</v>
      </c>
      <c r="AI191" s="14">
        <v>20.288659793814432</v>
      </c>
      <c r="AJ191" s="14">
        <v>38.886597938144327</v>
      </c>
      <c r="AK191" s="14">
        <v>21.979381443298969</v>
      </c>
      <c r="AL191" s="3" t="s">
        <v>599</v>
      </c>
    </row>
    <row r="192" spans="1:41">
      <c r="A192" t="s">
        <v>397</v>
      </c>
      <c r="B192" t="s">
        <v>402</v>
      </c>
      <c r="C192">
        <v>3</v>
      </c>
      <c r="D192" t="s">
        <v>38</v>
      </c>
      <c r="E192">
        <v>6</v>
      </c>
      <c r="F192">
        <v>1</v>
      </c>
      <c r="G192" s="1">
        <f t="shared" si="39"/>
        <v>73</v>
      </c>
      <c r="H192">
        <v>185</v>
      </c>
      <c r="I192">
        <v>1999</v>
      </c>
      <c r="J192">
        <v>2017</v>
      </c>
      <c r="K192" s="1">
        <f t="shared" si="40"/>
        <v>18</v>
      </c>
      <c r="L192" t="s">
        <v>42</v>
      </c>
      <c r="M192" t="s">
        <v>44</v>
      </c>
      <c r="N192" s="2">
        <v>50</v>
      </c>
      <c r="O192" s="5">
        <v>7</v>
      </c>
      <c r="P192" s="5">
        <v>16</v>
      </c>
      <c r="Q192" s="5">
        <f t="shared" si="41"/>
        <v>23</v>
      </c>
      <c r="R192" s="4">
        <v>4</v>
      </c>
      <c r="S192" s="2">
        <v>30</v>
      </c>
      <c r="T192" s="5">
        <v>3</v>
      </c>
      <c r="U192" s="5">
        <v>11</v>
      </c>
      <c r="V192" s="5">
        <f t="shared" si="42"/>
        <v>14</v>
      </c>
      <c r="W192" s="4">
        <v>6</v>
      </c>
      <c r="X192">
        <f t="shared" ref="X192:X199" si="55">O192/N192</f>
        <v>0.14000000000000001</v>
      </c>
      <c r="AA192">
        <f t="shared" ref="AA192:AA199" si="56">P192/N192</f>
        <v>0.32</v>
      </c>
      <c r="AD192">
        <f t="shared" ref="AD192:AD199" si="57">Q192/N192</f>
        <v>0.46</v>
      </c>
      <c r="AG192">
        <v>0</v>
      </c>
      <c r="AH192" s="14">
        <v>14.057142857142857</v>
      </c>
      <c r="AI192" s="14">
        <v>24.990476190476191</v>
      </c>
      <c r="AJ192" s="14">
        <v>39.047619047619051</v>
      </c>
      <c r="AK192" s="14">
        <v>14.057142857142857</v>
      </c>
      <c r="AL192" s="5" t="s">
        <v>615</v>
      </c>
      <c r="AM192" s="22">
        <v>46</v>
      </c>
      <c r="AN192" s="22">
        <v>941</v>
      </c>
      <c r="AO192">
        <f>AM192/AN192</f>
        <v>4.8884165781083955E-2</v>
      </c>
    </row>
    <row r="193" spans="1:41">
      <c r="A193" t="s">
        <v>204</v>
      </c>
      <c r="B193" t="s">
        <v>205</v>
      </c>
      <c r="C193">
        <v>19</v>
      </c>
      <c r="D193" t="s">
        <v>34</v>
      </c>
      <c r="E193">
        <v>6</v>
      </c>
      <c r="F193">
        <v>6</v>
      </c>
      <c r="G193" s="1">
        <f t="shared" si="39"/>
        <v>78</v>
      </c>
      <c r="H193">
        <v>215</v>
      </c>
      <c r="I193">
        <v>1992</v>
      </c>
      <c r="J193">
        <v>2010</v>
      </c>
      <c r="K193" s="1">
        <f t="shared" si="40"/>
        <v>18</v>
      </c>
      <c r="L193" t="s">
        <v>41</v>
      </c>
      <c r="M193" t="s">
        <v>43</v>
      </c>
      <c r="N193" s="2">
        <v>57</v>
      </c>
      <c r="O193" s="5">
        <v>48</v>
      </c>
      <c r="P193" s="5">
        <v>42</v>
      </c>
      <c r="Q193" s="5">
        <f t="shared" si="41"/>
        <v>90</v>
      </c>
      <c r="R193" s="4">
        <v>44</v>
      </c>
      <c r="S193" s="2">
        <v>25</v>
      </c>
      <c r="T193" s="5">
        <v>26</v>
      </c>
      <c r="U193" s="5">
        <v>25</v>
      </c>
      <c r="V193" s="5">
        <f t="shared" si="42"/>
        <v>51</v>
      </c>
      <c r="W193" s="4">
        <v>20</v>
      </c>
      <c r="X193">
        <f t="shared" si="55"/>
        <v>0.84210526315789469</v>
      </c>
      <c r="Y193">
        <f t="shared" ref="Y193:Y199" si="58">T193/S193</f>
        <v>1.04</v>
      </c>
      <c r="Z193">
        <f t="shared" ref="Z193:Z199" si="59">X193-Y193</f>
        <v>-0.19789473684210535</v>
      </c>
      <c r="AA193">
        <f t="shared" si="56"/>
        <v>0.73684210526315785</v>
      </c>
      <c r="AB193">
        <f t="shared" ref="AB193:AB199" si="60">U193/S193</f>
        <v>1</v>
      </c>
      <c r="AC193">
        <f t="shared" ref="AC193:AC199" si="61">AA193-AB193</f>
        <v>-0.26315789473684215</v>
      </c>
      <c r="AD193">
        <f t="shared" si="57"/>
        <v>1.5789473684210527</v>
      </c>
      <c r="AE193">
        <f t="shared" ref="AE193:AE199" si="62">V193/S193</f>
        <v>2.04</v>
      </c>
      <c r="AF193">
        <f t="shared" ref="AF193:AF199" si="63">AD193-AE193</f>
        <v>-0.46105263157894738</v>
      </c>
      <c r="AG193">
        <v>0</v>
      </c>
      <c r="AH193" s="14">
        <v>18.243119266055047</v>
      </c>
      <c r="AI193" s="14">
        <v>20.5</v>
      </c>
      <c r="AJ193" s="14">
        <v>38.743119266055047</v>
      </c>
      <c r="AK193" s="14">
        <v>37.238532110091747</v>
      </c>
      <c r="AL193" s="5" t="s">
        <v>603</v>
      </c>
    </row>
    <row r="194" spans="1:41">
      <c r="A194" t="s">
        <v>283</v>
      </c>
      <c r="B194" t="s">
        <v>288</v>
      </c>
      <c r="C194">
        <v>202</v>
      </c>
      <c r="D194" t="s">
        <v>66</v>
      </c>
      <c r="E194">
        <v>5</v>
      </c>
      <c r="F194">
        <v>11</v>
      </c>
      <c r="G194" s="1">
        <f t="shared" ref="G194:G257" si="64">E194*12+F194</f>
        <v>71</v>
      </c>
      <c r="H194">
        <v>181</v>
      </c>
      <c r="I194">
        <v>1992</v>
      </c>
      <c r="J194">
        <v>2012</v>
      </c>
      <c r="K194" s="1">
        <f t="shared" ref="K194:K257" si="65">J194-I194</f>
        <v>20</v>
      </c>
      <c r="L194" t="s">
        <v>41</v>
      </c>
      <c r="M194" t="s">
        <v>43</v>
      </c>
      <c r="N194" s="2">
        <v>56</v>
      </c>
      <c r="O194" s="3">
        <v>35</v>
      </c>
      <c r="P194" s="3">
        <v>53</v>
      </c>
      <c r="Q194" s="5">
        <f t="shared" ref="Q194:Q257" si="66">O194+P194</f>
        <v>88</v>
      </c>
      <c r="R194" s="4">
        <v>26</v>
      </c>
      <c r="S194" s="2">
        <v>56</v>
      </c>
      <c r="T194" s="5">
        <v>23</v>
      </c>
      <c r="U194" s="5">
        <v>37</v>
      </c>
      <c r="V194" s="5">
        <f t="shared" si="42"/>
        <v>60</v>
      </c>
      <c r="W194" s="4">
        <v>16</v>
      </c>
      <c r="X194">
        <f t="shared" si="55"/>
        <v>0.625</v>
      </c>
      <c r="Y194">
        <f t="shared" si="58"/>
        <v>0.4107142857142857</v>
      </c>
      <c r="Z194">
        <f t="shared" si="59"/>
        <v>0.2142857142857143</v>
      </c>
      <c r="AA194">
        <f t="shared" si="56"/>
        <v>0.9464285714285714</v>
      </c>
      <c r="AB194">
        <f t="shared" si="60"/>
        <v>0.6607142857142857</v>
      </c>
      <c r="AC194">
        <f t="shared" si="61"/>
        <v>0.2857142857142857</v>
      </c>
      <c r="AD194">
        <f t="shared" si="57"/>
        <v>1.5714285714285714</v>
      </c>
      <c r="AE194">
        <f t="shared" si="62"/>
        <v>1.0714285714285714</v>
      </c>
      <c r="AF194">
        <f t="shared" si="63"/>
        <v>0.5</v>
      </c>
      <c r="AG194">
        <v>0</v>
      </c>
      <c r="AH194" s="14">
        <v>24.117647058823529</v>
      </c>
      <c r="AI194" s="14">
        <v>14.470588235294116</v>
      </c>
      <c r="AJ194" s="14">
        <v>38.588235294117645</v>
      </c>
      <c r="AK194" s="14">
        <v>28.941176470588232</v>
      </c>
      <c r="AL194" s="5" t="s">
        <v>624</v>
      </c>
    </row>
    <row r="195" spans="1:41">
      <c r="A195" s="6" t="s">
        <v>148</v>
      </c>
      <c r="B195" t="s">
        <v>156</v>
      </c>
      <c r="C195">
        <v>21</v>
      </c>
      <c r="D195" t="s">
        <v>35</v>
      </c>
      <c r="E195">
        <v>5</v>
      </c>
      <c r="F195">
        <v>10</v>
      </c>
      <c r="G195" s="1">
        <f t="shared" si="64"/>
        <v>70</v>
      </c>
      <c r="H195">
        <v>190</v>
      </c>
      <c r="I195">
        <v>1996</v>
      </c>
      <c r="J195">
        <v>2014</v>
      </c>
      <c r="K195" s="1">
        <f t="shared" si="65"/>
        <v>18</v>
      </c>
      <c r="L195" t="s">
        <v>41</v>
      </c>
      <c r="M195" t="s">
        <v>44</v>
      </c>
      <c r="N195" s="2">
        <v>58</v>
      </c>
      <c r="O195" s="5">
        <v>45</v>
      </c>
      <c r="P195" s="5">
        <v>42</v>
      </c>
      <c r="Q195" s="5">
        <f t="shared" si="66"/>
        <v>87</v>
      </c>
      <c r="R195" s="4">
        <v>55</v>
      </c>
      <c r="S195" s="2">
        <v>59</v>
      </c>
      <c r="T195" s="5">
        <v>10</v>
      </c>
      <c r="U195" s="5">
        <v>23</v>
      </c>
      <c r="V195" s="5">
        <f t="shared" ref="V195:V258" si="67">T195+U195</f>
        <v>33</v>
      </c>
      <c r="W195" s="4">
        <v>38</v>
      </c>
      <c r="X195">
        <f t="shared" si="55"/>
        <v>0.77586206896551724</v>
      </c>
      <c r="Y195">
        <f t="shared" si="58"/>
        <v>0.16949152542372881</v>
      </c>
      <c r="Z195">
        <f t="shared" si="59"/>
        <v>0.60637054354178843</v>
      </c>
      <c r="AA195">
        <f t="shared" si="56"/>
        <v>0.72413793103448276</v>
      </c>
      <c r="AB195">
        <f t="shared" si="60"/>
        <v>0.38983050847457629</v>
      </c>
      <c r="AC195">
        <f t="shared" si="61"/>
        <v>0.33430742255990648</v>
      </c>
      <c r="AD195">
        <f t="shared" si="57"/>
        <v>1.5</v>
      </c>
      <c r="AE195">
        <f t="shared" si="62"/>
        <v>0.55932203389830504</v>
      </c>
      <c r="AF195">
        <f t="shared" si="63"/>
        <v>0.94067796610169496</v>
      </c>
      <c r="AG195">
        <v>0</v>
      </c>
      <c r="AH195" s="14">
        <v>16.882352941176471</v>
      </c>
      <c r="AI195" s="14">
        <v>21.705882352941178</v>
      </c>
      <c r="AJ195" s="14">
        <v>38.588235294117645</v>
      </c>
      <c r="AK195" s="14">
        <v>30.870588235294118</v>
      </c>
      <c r="AL195" s="5" t="s">
        <v>600</v>
      </c>
    </row>
    <row r="196" spans="1:41">
      <c r="A196" t="s">
        <v>266</v>
      </c>
      <c r="B196" t="s">
        <v>272</v>
      </c>
      <c r="C196">
        <v>66</v>
      </c>
      <c r="D196" t="s">
        <v>34</v>
      </c>
      <c r="E196">
        <v>5</v>
      </c>
      <c r="F196">
        <v>10</v>
      </c>
      <c r="G196" s="1">
        <f t="shared" si="64"/>
        <v>70</v>
      </c>
      <c r="H196">
        <v>183</v>
      </c>
      <c r="I196">
        <v>1998</v>
      </c>
      <c r="J196">
        <v>2016</v>
      </c>
      <c r="K196" s="1">
        <f t="shared" si="65"/>
        <v>18</v>
      </c>
      <c r="L196" t="s">
        <v>42</v>
      </c>
      <c r="M196" t="s">
        <v>43</v>
      </c>
      <c r="N196" s="2">
        <f>25+7+64</f>
        <v>96</v>
      </c>
      <c r="O196" s="3">
        <f>15</f>
        <v>15</v>
      </c>
      <c r="P196" s="5">
        <v>75</v>
      </c>
      <c r="Q196" s="5">
        <f t="shared" si="66"/>
        <v>90</v>
      </c>
      <c r="R196" s="4">
        <v>14</v>
      </c>
      <c r="S196" s="2">
        <v>94</v>
      </c>
      <c r="T196" s="5">
        <v>7</v>
      </c>
      <c r="U196" s="5">
        <v>69</v>
      </c>
      <c r="V196" s="5">
        <f t="shared" si="67"/>
        <v>76</v>
      </c>
      <c r="W196" s="4">
        <v>66</v>
      </c>
      <c r="X196">
        <f t="shared" si="55"/>
        <v>0.15625</v>
      </c>
      <c r="Y196">
        <f t="shared" si="58"/>
        <v>7.4468085106382975E-2</v>
      </c>
      <c r="Z196">
        <f t="shared" si="59"/>
        <v>8.1781914893617025E-2</v>
      </c>
      <c r="AA196">
        <f t="shared" si="56"/>
        <v>0.78125</v>
      </c>
      <c r="AB196">
        <f t="shared" si="60"/>
        <v>0.73404255319148937</v>
      </c>
      <c r="AC196">
        <f t="shared" si="61"/>
        <v>4.7207446808510634E-2</v>
      </c>
      <c r="AD196">
        <f t="shared" si="57"/>
        <v>0.9375</v>
      </c>
      <c r="AE196">
        <f t="shared" si="62"/>
        <v>0.80851063829787229</v>
      </c>
      <c r="AF196">
        <f t="shared" si="63"/>
        <v>0.12898936170212771</v>
      </c>
      <c r="AG196">
        <v>0</v>
      </c>
      <c r="AH196" s="14">
        <v>12.947368421052632</v>
      </c>
      <c r="AI196" s="14">
        <v>25.894736842105264</v>
      </c>
      <c r="AJ196" s="14">
        <v>38.842105263157897</v>
      </c>
      <c r="AK196" s="14">
        <v>25.894736842105264</v>
      </c>
      <c r="AL196" s="3" t="s">
        <v>608</v>
      </c>
      <c r="AM196" s="22">
        <v>45</v>
      </c>
      <c r="AN196" s="22">
        <v>619</v>
      </c>
      <c r="AO196">
        <f>AM196/AN196</f>
        <v>7.2697899838449112E-2</v>
      </c>
    </row>
    <row r="197" spans="1:41">
      <c r="A197" s="6" t="s">
        <v>135</v>
      </c>
      <c r="B197" t="s">
        <v>187</v>
      </c>
      <c r="C197">
        <v>21</v>
      </c>
      <c r="D197" t="s">
        <v>34</v>
      </c>
      <c r="E197">
        <v>6</v>
      </c>
      <c r="F197">
        <v>0</v>
      </c>
      <c r="G197" s="1">
        <f t="shared" si="64"/>
        <v>72</v>
      </c>
      <c r="H197">
        <v>183</v>
      </c>
      <c r="I197">
        <v>1997</v>
      </c>
      <c r="J197">
        <v>2015</v>
      </c>
      <c r="K197" s="1">
        <f t="shared" si="65"/>
        <v>18</v>
      </c>
      <c r="L197" t="s">
        <v>41</v>
      </c>
      <c r="M197" t="s">
        <v>43</v>
      </c>
      <c r="N197" s="2">
        <v>81</v>
      </c>
      <c r="O197" s="5">
        <v>33</v>
      </c>
      <c r="P197" s="5">
        <v>47</v>
      </c>
      <c r="Q197" s="5">
        <f t="shared" si="66"/>
        <v>80</v>
      </c>
      <c r="R197" s="4">
        <v>38</v>
      </c>
      <c r="S197" s="2">
        <v>96</v>
      </c>
      <c r="T197" s="5">
        <v>58</v>
      </c>
      <c r="U197" s="5">
        <v>55</v>
      </c>
      <c r="V197" s="5">
        <f t="shared" si="67"/>
        <v>113</v>
      </c>
      <c r="W197" s="4">
        <v>137</v>
      </c>
      <c r="X197">
        <f t="shared" si="55"/>
        <v>0.40740740740740738</v>
      </c>
      <c r="Y197">
        <f t="shared" si="58"/>
        <v>0.60416666666666663</v>
      </c>
      <c r="Z197">
        <f t="shared" si="59"/>
        <v>-0.19675925925925924</v>
      </c>
      <c r="AA197">
        <f t="shared" si="56"/>
        <v>0.58024691358024694</v>
      </c>
      <c r="AB197">
        <f t="shared" si="60"/>
        <v>0.57291666666666663</v>
      </c>
      <c r="AC197">
        <f t="shared" si="61"/>
        <v>7.3302469135803072E-3</v>
      </c>
      <c r="AD197">
        <f t="shared" si="57"/>
        <v>0.98765432098765427</v>
      </c>
      <c r="AE197">
        <f t="shared" si="62"/>
        <v>1.1770833333333333</v>
      </c>
      <c r="AF197">
        <f t="shared" si="63"/>
        <v>-0.18942901234567899</v>
      </c>
      <c r="AG197">
        <v>0</v>
      </c>
      <c r="AH197" s="14">
        <v>13.541284403669726</v>
      </c>
      <c r="AI197" s="14">
        <v>24.825688073394495</v>
      </c>
      <c r="AJ197" s="14">
        <v>38.366972477064223</v>
      </c>
      <c r="AK197" s="14">
        <v>34.605504587155963</v>
      </c>
      <c r="AL197" s="5" t="s">
        <v>608</v>
      </c>
    </row>
    <row r="198" spans="1:41">
      <c r="A198" t="s">
        <v>251</v>
      </c>
      <c r="B198" t="s">
        <v>258</v>
      </c>
      <c r="C198">
        <v>37</v>
      </c>
      <c r="D198" t="s">
        <v>35</v>
      </c>
      <c r="E198">
        <v>6</v>
      </c>
      <c r="F198">
        <v>2</v>
      </c>
      <c r="G198" s="1">
        <f t="shared" si="64"/>
        <v>74</v>
      </c>
      <c r="H198">
        <v>208</v>
      </c>
      <c r="I198">
        <v>1993</v>
      </c>
      <c r="J198">
        <v>2011</v>
      </c>
      <c r="K198" s="1">
        <f t="shared" si="65"/>
        <v>18</v>
      </c>
      <c r="L198" t="s">
        <v>41</v>
      </c>
      <c r="M198" t="s">
        <v>44</v>
      </c>
      <c r="N198" s="2">
        <v>68</v>
      </c>
      <c r="O198" s="5">
        <v>27</v>
      </c>
      <c r="P198" s="5">
        <v>42</v>
      </c>
      <c r="Q198" s="5">
        <f t="shared" si="66"/>
        <v>69</v>
      </c>
      <c r="R198" s="4">
        <v>57</v>
      </c>
      <c r="S198" s="2">
        <v>71</v>
      </c>
      <c r="T198" s="5">
        <v>20</v>
      </c>
      <c r="U198" s="5">
        <v>33</v>
      </c>
      <c r="V198" s="5">
        <f t="shared" si="67"/>
        <v>53</v>
      </c>
      <c r="W198" s="4">
        <v>93</v>
      </c>
      <c r="X198">
        <f t="shared" si="55"/>
        <v>0.39705882352941174</v>
      </c>
      <c r="Y198">
        <f t="shared" si="58"/>
        <v>0.28169014084507044</v>
      </c>
      <c r="Z198">
        <f t="shared" si="59"/>
        <v>0.11536868268434131</v>
      </c>
      <c r="AA198">
        <f t="shared" si="56"/>
        <v>0.61764705882352944</v>
      </c>
      <c r="AB198">
        <f t="shared" si="60"/>
        <v>0.46478873239436619</v>
      </c>
      <c r="AC198">
        <f t="shared" si="61"/>
        <v>0.15285832642916325</v>
      </c>
      <c r="AD198">
        <f t="shared" si="57"/>
        <v>1.0147058823529411</v>
      </c>
      <c r="AE198">
        <f t="shared" si="62"/>
        <v>0.74647887323943662</v>
      </c>
      <c r="AF198">
        <f t="shared" si="63"/>
        <v>0.2682270091135045</v>
      </c>
      <c r="AG198">
        <v>0</v>
      </c>
      <c r="AH198" s="14">
        <v>19.986332574031891</v>
      </c>
      <c r="AI198" s="14">
        <v>18.305239179954441</v>
      </c>
      <c r="AJ198" s="14">
        <v>38.291571753986332</v>
      </c>
      <c r="AK198" s="14">
        <v>51.366742596810937</v>
      </c>
      <c r="AL198" s="3" t="s">
        <v>600</v>
      </c>
    </row>
    <row r="199" spans="1:41">
      <c r="A199" s="6" t="s">
        <v>135</v>
      </c>
      <c r="B199" t="s">
        <v>136</v>
      </c>
      <c r="C199">
        <v>8</v>
      </c>
      <c r="D199" t="s">
        <v>64</v>
      </c>
      <c r="E199">
        <v>6</v>
      </c>
      <c r="F199">
        <v>0</v>
      </c>
      <c r="G199" s="1">
        <f t="shared" si="64"/>
        <v>72</v>
      </c>
      <c r="H199">
        <v>210</v>
      </c>
      <c r="I199">
        <v>1989</v>
      </c>
      <c r="J199">
        <v>2008</v>
      </c>
      <c r="K199" s="1">
        <f t="shared" si="65"/>
        <v>19</v>
      </c>
      <c r="L199" t="s">
        <v>41</v>
      </c>
      <c r="M199" t="s">
        <v>44</v>
      </c>
      <c r="N199" s="2">
        <v>68</v>
      </c>
      <c r="O199" s="5">
        <v>31</v>
      </c>
      <c r="P199" s="5">
        <v>48</v>
      </c>
      <c r="Q199" s="5">
        <f t="shared" si="66"/>
        <v>79</v>
      </c>
      <c r="R199" s="4">
        <v>16</v>
      </c>
      <c r="S199" s="2">
        <v>54</v>
      </c>
      <c r="T199" s="5">
        <v>27</v>
      </c>
      <c r="U199" s="5">
        <v>39</v>
      </c>
      <c r="V199" s="5">
        <f t="shared" si="67"/>
        <v>66</v>
      </c>
      <c r="W199" s="4">
        <v>34</v>
      </c>
      <c r="X199">
        <f t="shared" si="55"/>
        <v>0.45588235294117646</v>
      </c>
      <c r="Y199">
        <f t="shared" si="58"/>
        <v>0.5</v>
      </c>
      <c r="Z199">
        <f t="shared" si="59"/>
        <v>-4.4117647058823539E-2</v>
      </c>
      <c r="AA199">
        <f t="shared" si="56"/>
        <v>0.70588235294117652</v>
      </c>
      <c r="AB199">
        <f t="shared" si="60"/>
        <v>0.72222222222222221</v>
      </c>
      <c r="AC199">
        <f t="shared" si="61"/>
        <v>-1.6339869281045694E-2</v>
      </c>
      <c r="AD199">
        <f t="shared" si="57"/>
        <v>1.161764705882353</v>
      </c>
      <c r="AE199">
        <f t="shared" si="62"/>
        <v>1.2222222222222223</v>
      </c>
      <c r="AF199">
        <f t="shared" si="63"/>
        <v>-6.0457516339869288E-2</v>
      </c>
      <c r="AG199">
        <v>0</v>
      </c>
      <c r="AH199" s="14">
        <v>13.706051873198847</v>
      </c>
      <c r="AI199" s="14">
        <v>24.576368876080693</v>
      </c>
      <c r="AJ199" s="14">
        <v>38.282420749279538</v>
      </c>
      <c r="AK199" s="14">
        <v>13.706051873198847</v>
      </c>
      <c r="AL199" s="5" t="s">
        <v>600</v>
      </c>
    </row>
    <row r="200" spans="1:41">
      <c r="A200" t="s">
        <v>445</v>
      </c>
      <c r="B200" t="s">
        <v>448</v>
      </c>
      <c r="C200">
        <v>11</v>
      </c>
      <c r="D200" t="s">
        <v>119</v>
      </c>
      <c r="E200">
        <v>5</v>
      </c>
      <c r="F200">
        <v>10</v>
      </c>
      <c r="G200" s="1">
        <f t="shared" si="64"/>
        <v>70</v>
      </c>
      <c r="H200">
        <v>193</v>
      </c>
      <c r="I200">
        <v>1996</v>
      </c>
      <c r="J200">
        <v>2014</v>
      </c>
      <c r="K200" s="1">
        <f t="shared" si="65"/>
        <v>18</v>
      </c>
      <c r="L200" t="s">
        <v>41</v>
      </c>
      <c r="M200" t="s">
        <v>44</v>
      </c>
      <c r="N200" s="2">
        <f>30+1+5+5+4+7+27+17</f>
        <v>96</v>
      </c>
      <c r="O200" s="3">
        <f>12+1+1+4+2+10+3</f>
        <v>33</v>
      </c>
      <c r="P200" s="3">
        <f>18+4+5+2+15+8</f>
        <v>52</v>
      </c>
      <c r="Q200" s="5">
        <f t="shared" si="66"/>
        <v>85</v>
      </c>
      <c r="R200" s="4">
        <f>34+6+8+12+2+40+10</f>
        <v>112</v>
      </c>
      <c r="V200" s="5">
        <f t="shared" si="67"/>
        <v>0</v>
      </c>
      <c r="AG200">
        <v>0</v>
      </c>
      <c r="AH200" s="14">
        <v>17.766666666666666</v>
      </c>
      <c r="AI200" s="14">
        <v>20.5</v>
      </c>
      <c r="AJ200" s="14">
        <v>38.266666666666666</v>
      </c>
      <c r="AK200" s="14">
        <v>30.066666666666666</v>
      </c>
      <c r="AL200" s="3" t="s">
        <v>618</v>
      </c>
    </row>
    <row r="201" spans="1:41">
      <c r="A201" t="s">
        <v>306</v>
      </c>
      <c r="B201" t="s">
        <v>320</v>
      </c>
      <c r="C201">
        <v>20</v>
      </c>
      <c r="D201" t="s">
        <v>35</v>
      </c>
      <c r="E201">
        <v>6</v>
      </c>
      <c r="F201">
        <v>0</v>
      </c>
      <c r="G201" s="1">
        <f t="shared" si="64"/>
        <v>72</v>
      </c>
      <c r="H201">
        <v>188</v>
      </c>
      <c r="I201">
        <v>1999</v>
      </c>
      <c r="J201">
        <v>2017</v>
      </c>
      <c r="K201" s="1">
        <f t="shared" si="65"/>
        <v>18</v>
      </c>
      <c r="L201" t="s">
        <v>41</v>
      </c>
      <c r="M201" t="s">
        <v>43</v>
      </c>
      <c r="N201" s="2">
        <v>66</v>
      </c>
      <c r="O201" s="5">
        <v>16</v>
      </c>
      <c r="P201" s="5">
        <v>50</v>
      </c>
      <c r="Q201" s="5">
        <f t="shared" si="66"/>
        <v>66</v>
      </c>
      <c r="R201" s="4">
        <v>26</v>
      </c>
      <c r="S201" s="2">
        <v>40</v>
      </c>
      <c r="T201" s="5">
        <v>3</v>
      </c>
      <c r="U201" s="5">
        <v>12</v>
      </c>
      <c r="V201" s="5">
        <f t="shared" si="67"/>
        <v>15</v>
      </c>
      <c r="W201" s="4">
        <v>0</v>
      </c>
      <c r="X201">
        <f>O201/N201</f>
        <v>0.24242424242424243</v>
      </c>
      <c r="Y201">
        <f>T201/S201</f>
        <v>7.4999999999999997E-2</v>
      </c>
      <c r="Z201">
        <f>X201-Y201</f>
        <v>0.16742424242424242</v>
      </c>
      <c r="AA201">
        <f>P201/N201</f>
        <v>0.75757575757575757</v>
      </c>
      <c r="AB201">
        <f>U201/S201</f>
        <v>0.3</v>
      </c>
      <c r="AC201">
        <f>AA201-AB201</f>
        <v>0.45757575757575758</v>
      </c>
      <c r="AD201">
        <f>Q201/N201</f>
        <v>1</v>
      </c>
      <c r="AE201">
        <f>V201/S201</f>
        <v>0.375</v>
      </c>
      <c r="AF201">
        <f>AD201-AE201</f>
        <v>0.625</v>
      </c>
      <c r="AG201">
        <v>0</v>
      </c>
      <c r="AH201" s="14">
        <v>11.181818181818182</v>
      </c>
      <c r="AI201" s="14">
        <v>27.02272727272727</v>
      </c>
      <c r="AJ201" s="14">
        <v>38.204545454545453</v>
      </c>
      <c r="AK201" s="14">
        <v>16.772727272727273</v>
      </c>
      <c r="AL201" s="5" t="s">
        <v>600</v>
      </c>
    </row>
    <row r="202" spans="1:41">
      <c r="A202" t="s">
        <v>478</v>
      </c>
      <c r="B202" t="s">
        <v>486</v>
      </c>
      <c r="C202">
        <v>61</v>
      </c>
      <c r="D202" t="s">
        <v>34</v>
      </c>
      <c r="E202">
        <v>5</v>
      </c>
      <c r="F202">
        <v>11</v>
      </c>
      <c r="G202" s="1">
        <f t="shared" si="64"/>
        <v>71</v>
      </c>
      <c r="H202">
        <v>185</v>
      </c>
      <c r="I202">
        <v>1985</v>
      </c>
      <c r="J202">
        <v>2004</v>
      </c>
      <c r="K202" s="1">
        <f t="shared" si="65"/>
        <v>19</v>
      </c>
      <c r="L202" t="s">
        <v>42</v>
      </c>
      <c r="M202" t="s">
        <v>44</v>
      </c>
      <c r="N202" s="2">
        <v>36</v>
      </c>
      <c r="O202" s="5">
        <v>25</v>
      </c>
      <c r="P202" s="5">
        <v>33</v>
      </c>
      <c r="Q202" s="5">
        <f t="shared" si="66"/>
        <v>58</v>
      </c>
      <c r="R202" s="4">
        <v>22</v>
      </c>
      <c r="S202" s="2">
        <v>28</v>
      </c>
      <c r="T202" s="5">
        <v>14</v>
      </c>
      <c r="U202" s="5">
        <v>20</v>
      </c>
      <c r="V202" s="5">
        <f t="shared" si="67"/>
        <v>34</v>
      </c>
      <c r="W202" s="4">
        <v>22</v>
      </c>
      <c r="AG202">
        <v>0</v>
      </c>
      <c r="AH202" s="14">
        <v>7.690621193666261</v>
      </c>
      <c r="AI202" s="14">
        <v>30.862362971985384</v>
      </c>
      <c r="AJ202" s="14">
        <v>38.552984165651644</v>
      </c>
      <c r="AK202" s="14">
        <v>28.165651644336176</v>
      </c>
      <c r="AL202" s="5" t="s">
        <v>608</v>
      </c>
      <c r="AM202" s="22">
        <v>44</v>
      </c>
      <c r="AN202" s="22">
        <v>145</v>
      </c>
      <c r="AO202">
        <f t="shared" ref="AO202:AO203" si="68">AM202/AN202</f>
        <v>0.30344827586206896</v>
      </c>
    </row>
    <row r="203" spans="1:41">
      <c r="A203" s="6" t="s">
        <v>121</v>
      </c>
      <c r="B203" t="s">
        <v>394</v>
      </c>
      <c r="C203">
        <v>12</v>
      </c>
      <c r="D203" t="s">
        <v>34</v>
      </c>
      <c r="E203">
        <v>6</v>
      </c>
      <c r="F203">
        <v>1</v>
      </c>
      <c r="G203" s="1">
        <f t="shared" si="64"/>
        <v>73</v>
      </c>
      <c r="H203">
        <v>215</v>
      </c>
      <c r="I203">
        <v>1989</v>
      </c>
      <c r="J203">
        <v>2007</v>
      </c>
      <c r="K203" s="1">
        <f t="shared" si="65"/>
        <v>18</v>
      </c>
      <c r="L203" t="s">
        <v>42</v>
      </c>
      <c r="M203" t="s">
        <v>44</v>
      </c>
      <c r="N203" s="2">
        <v>33</v>
      </c>
      <c r="O203" s="5">
        <v>14</v>
      </c>
      <c r="P203" s="5">
        <v>29</v>
      </c>
      <c r="Q203" s="5">
        <f t="shared" si="66"/>
        <v>43</v>
      </c>
      <c r="R203" s="4">
        <v>4</v>
      </c>
      <c r="S203" s="2">
        <v>25</v>
      </c>
      <c r="T203" s="5">
        <v>12</v>
      </c>
      <c r="U203" s="5">
        <v>33</v>
      </c>
      <c r="V203" s="5">
        <f t="shared" si="67"/>
        <v>45</v>
      </c>
      <c r="W203" s="4">
        <v>0</v>
      </c>
      <c r="X203">
        <f>O203/N203</f>
        <v>0.42424242424242425</v>
      </c>
      <c r="Y203">
        <f>T203/S203</f>
        <v>0.48</v>
      </c>
      <c r="Z203">
        <f>X203-Y203</f>
        <v>-5.5757575757575728E-2</v>
      </c>
      <c r="AA203">
        <f>P203/N203</f>
        <v>0.87878787878787878</v>
      </c>
      <c r="AB203">
        <f>U203/S203</f>
        <v>1.32</v>
      </c>
      <c r="AC203">
        <f>AA203-AB203</f>
        <v>-0.44121212121212128</v>
      </c>
      <c r="AD203">
        <f>Q203/N203</f>
        <v>1.303030303030303</v>
      </c>
      <c r="AE203">
        <f>V203/S203</f>
        <v>1.8</v>
      </c>
      <c r="AF203">
        <f>AD203-AE203</f>
        <v>-0.49696969696969706</v>
      </c>
      <c r="AG203">
        <v>0</v>
      </c>
      <c r="AH203" s="14">
        <v>8.2000000000000011</v>
      </c>
      <c r="AI203" s="14">
        <v>29.93650793650794</v>
      </c>
      <c r="AJ203" s="14">
        <v>38.13650793650794</v>
      </c>
      <c r="AK203" s="14">
        <v>34.361904761904768</v>
      </c>
      <c r="AL203" s="3" t="s">
        <v>603</v>
      </c>
      <c r="AM203" s="22">
        <v>43</v>
      </c>
      <c r="AN203" s="22">
        <v>516</v>
      </c>
      <c r="AO203">
        <f t="shared" si="68"/>
        <v>8.3333333333333329E-2</v>
      </c>
    </row>
    <row r="204" spans="1:41">
      <c r="A204" t="s">
        <v>430</v>
      </c>
      <c r="B204" t="s">
        <v>441</v>
      </c>
      <c r="C204">
        <v>139</v>
      </c>
      <c r="D204" t="s">
        <v>35</v>
      </c>
      <c r="E204">
        <v>5</v>
      </c>
      <c r="F204">
        <v>11</v>
      </c>
      <c r="G204" s="1">
        <f t="shared" si="64"/>
        <v>71</v>
      </c>
      <c r="H204">
        <v>182</v>
      </c>
      <c r="I204">
        <v>1991</v>
      </c>
      <c r="J204">
        <v>2011</v>
      </c>
      <c r="K204" s="1">
        <f t="shared" si="65"/>
        <v>20</v>
      </c>
      <c r="L204" t="s">
        <v>41</v>
      </c>
      <c r="M204" t="s">
        <v>43</v>
      </c>
      <c r="N204" s="2">
        <v>66</v>
      </c>
      <c r="O204" s="5">
        <v>22</v>
      </c>
      <c r="P204" s="5">
        <v>32</v>
      </c>
      <c r="Q204" s="5">
        <f t="shared" si="66"/>
        <v>54</v>
      </c>
      <c r="R204" s="4">
        <v>135</v>
      </c>
      <c r="S204" s="2">
        <v>68</v>
      </c>
      <c r="T204" s="5">
        <v>11</v>
      </c>
      <c r="U204" s="5">
        <v>25</v>
      </c>
      <c r="V204" s="5">
        <f t="shared" si="67"/>
        <v>36</v>
      </c>
      <c r="W204" s="4">
        <v>129</v>
      </c>
      <c r="AG204">
        <v>0</v>
      </c>
      <c r="AH204" s="14">
        <v>17.771863117870723</v>
      </c>
      <c r="AI204" s="14">
        <v>19.954372623574145</v>
      </c>
      <c r="AJ204" s="14">
        <v>37.726235741444867</v>
      </c>
      <c r="AK204" s="14">
        <v>86.365019011406844</v>
      </c>
      <c r="AL204" s="3" t="s">
        <v>600</v>
      </c>
    </row>
    <row r="205" spans="1:41">
      <c r="A205" t="s">
        <v>354</v>
      </c>
      <c r="B205" t="s">
        <v>342</v>
      </c>
      <c r="C205">
        <v>11</v>
      </c>
      <c r="D205" t="s">
        <v>35</v>
      </c>
      <c r="E205">
        <v>5</v>
      </c>
      <c r="F205">
        <v>10</v>
      </c>
      <c r="G205" s="1">
        <f t="shared" si="64"/>
        <v>70</v>
      </c>
      <c r="H205">
        <v>180</v>
      </c>
      <c r="I205">
        <v>1991</v>
      </c>
      <c r="J205">
        <v>2009</v>
      </c>
      <c r="K205" s="1">
        <f t="shared" si="65"/>
        <v>18</v>
      </c>
      <c r="L205" t="s">
        <v>42</v>
      </c>
      <c r="M205" t="s">
        <v>43</v>
      </c>
      <c r="N205" s="2">
        <f>63</f>
        <v>63</v>
      </c>
      <c r="O205" s="5">
        <v>23</v>
      </c>
      <c r="P205" s="5">
        <v>73</v>
      </c>
      <c r="Q205" s="5">
        <f t="shared" si="66"/>
        <v>96</v>
      </c>
      <c r="R205" s="4">
        <v>57</v>
      </c>
      <c r="S205" s="2">
        <v>70</v>
      </c>
      <c r="T205" s="5">
        <v>18</v>
      </c>
      <c r="U205" s="5">
        <v>52</v>
      </c>
      <c r="V205" s="5">
        <f t="shared" si="67"/>
        <v>70</v>
      </c>
      <c r="W205" s="4">
        <v>51</v>
      </c>
      <c r="X205">
        <f>O205/N205</f>
        <v>0.36507936507936506</v>
      </c>
      <c r="Y205">
        <f>T205/S205</f>
        <v>0.25714285714285712</v>
      </c>
      <c r="Z205">
        <f>X205-Y205</f>
        <v>0.10793650793650794</v>
      </c>
      <c r="AA205">
        <f>P205/N205</f>
        <v>1.1587301587301588</v>
      </c>
      <c r="AB205">
        <f>U205/S205</f>
        <v>0.74285714285714288</v>
      </c>
      <c r="AC205">
        <f>AA205-AB205</f>
        <v>0.41587301587301595</v>
      </c>
      <c r="AD205">
        <f>Q205/N205</f>
        <v>1.5238095238095237</v>
      </c>
      <c r="AE205">
        <f>V205/S205</f>
        <v>1</v>
      </c>
      <c r="AF205">
        <f>AD205-AE205</f>
        <v>0.52380952380952372</v>
      </c>
      <c r="AG205">
        <v>0</v>
      </c>
      <c r="AH205" s="14">
        <v>10.681362725450901</v>
      </c>
      <c r="AI205" s="14">
        <v>27.278557114228455</v>
      </c>
      <c r="AJ205" s="14">
        <v>37.959919839679358</v>
      </c>
      <c r="AK205" s="14">
        <v>27.771543086172343</v>
      </c>
      <c r="AL205" s="5" t="s">
        <v>600</v>
      </c>
      <c r="AM205" s="22">
        <v>43</v>
      </c>
      <c r="AN205" s="22">
        <v>851</v>
      </c>
      <c r="AO205">
        <f>AM205/AN205</f>
        <v>5.0528789659224443E-2</v>
      </c>
    </row>
    <row r="206" spans="1:41">
      <c r="A206" s="6" t="s">
        <v>121</v>
      </c>
      <c r="B206" t="s">
        <v>128</v>
      </c>
      <c r="C206">
        <v>161</v>
      </c>
      <c r="D206" t="s">
        <v>34</v>
      </c>
      <c r="E206">
        <v>6</v>
      </c>
      <c r="F206">
        <v>3</v>
      </c>
      <c r="G206" s="1">
        <f t="shared" si="64"/>
        <v>75</v>
      </c>
      <c r="H206">
        <v>225</v>
      </c>
      <c r="I206">
        <v>1988</v>
      </c>
      <c r="J206">
        <v>2007</v>
      </c>
      <c r="K206" s="1">
        <f t="shared" si="65"/>
        <v>19</v>
      </c>
      <c r="L206" t="s">
        <v>41</v>
      </c>
      <c r="M206" t="s">
        <v>44</v>
      </c>
      <c r="N206" s="2">
        <v>57</v>
      </c>
      <c r="O206" s="5">
        <v>40</v>
      </c>
      <c r="P206" s="5">
        <v>55</v>
      </c>
      <c r="Q206" s="5">
        <f t="shared" si="66"/>
        <v>95</v>
      </c>
      <c r="R206" s="4">
        <v>152</v>
      </c>
      <c r="S206" s="2">
        <v>57</v>
      </c>
      <c r="T206" s="5">
        <v>23</v>
      </c>
      <c r="U206" s="5">
        <v>37</v>
      </c>
      <c r="V206" s="5">
        <f t="shared" si="67"/>
        <v>60</v>
      </c>
      <c r="W206" s="4">
        <v>61</v>
      </c>
      <c r="X206">
        <f>O206/N206</f>
        <v>0.70175438596491224</v>
      </c>
      <c r="Y206">
        <f>T206/S206</f>
        <v>0.40350877192982454</v>
      </c>
      <c r="Z206">
        <f>X206-Y206</f>
        <v>0.2982456140350877</v>
      </c>
      <c r="AA206">
        <f>P206/N206</f>
        <v>0.96491228070175439</v>
      </c>
      <c r="AB206">
        <f>U206/S206</f>
        <v>0.64912280701754388</v>
      </c>
      <c r="AC206">
        <f>AA206-AB206</f>
        <v>0.31578947368421051</v>
      </c>
      <c r="AD206">
        <f>Q206/N206</f>
        <v>1.6666666666666667</v>
      </c>
      <c r="AE206">
        <f>V206/S206</f>
        <v>1.0526315789473684</v>
      </c>
      <c r="AF206">
        <f>AD206-AE206</f>
        <v>0.61403508771929838</v>
      </c>
      <c r="AG206">
        <v>0</v>
      </c>
      <c r="AH206" s="14">
        <v>16.223655913978494</v>
      </c>
      <c r="AI206" s="14">
        <v>21.337634408602149</v>
      </c>
      <c r="AJ206" s="14">
        <v>37.561290322580639</v>
      </c>
      <c r="AK206" s="14">
        <v>93.815053763440858</v>
      </c>
      <c r="AL206" s="5" t="s">
        <v>630</v>
      </c>
    </row>
    <row r="207" spans="1:41">
      <c r="A207" t="s">
        <v>204</v>
      </c>
      <c r="B207" t="s">
        <v>217</v>
      </c>
      <c r="C207">
        <v>43</v>
      </c>
      <c r="D207" t="s">
        <v>35</v>
      </c>
      <c r="E207">
        <v>6</v>
      </c>
      <c r="F207">
        <v>2</v>
      </c>
      <c r="G207" s="1">
        <f t="shared" si="64"/>
        <v>74</v>
      </c>
      <c r="H207">
        <v>193</v>
      </c>
      <c r="I207">
        <v>1990</v>
      </c>
      <c r="J207">
        <v>2008</v>
      </c>
      <c r="K207" s="1">
        <f t="shared" si="65"/>
        <v>18</v>
      </c>
      <c r="L207" t="s">
        <v>42</v>
      </c>
      <c r="M207" t="s">
        <v>43</v>
      </c>
      <c r="N207" s="2">
        <v>57</v>
      </c>
      <c r="O207" s="5">
        <v>9</v>
      </c>
      <c r="P207" s="5">
        <v>31</v>
      </c>
      <c r="Q207" s="5">
        <f t="shared" si="66"/>
        <v>40</v>
      </c>
      <c r="R207" s="4">
        <v>28</v>
      </c>
      <c r="V207" s="5">
        <f t="shared" si="67"/>
        <v>0</v>
      </c>
      <c r="X207">
        <f>O207/N207</f>
        <v>0.15789473684210525</v>
      </c>
      <c r="Y207" t="e">
        <f>T207/S207</f>
        <v>#DIV/0!</v>
      </c>
      <c r="Z207" t="e">
        <f>X207-Y207</f>
        <v>#DIV/0!</v>
      </c>
      <c r="AA207">
        <f>P207/N207</f>
        <v>0.54385964912280704</v>
      </c>
      <c r="AB207" t="e">
        <f>U207/S207</f>
        <v>#DIV/0!</v>
      </c>
      <c r="AC207" t="e">
        <f>AA207-AB207</f>
        <v>#DIV/0!</v>
      </c>
      <c r="AD207">
        <f>Q207/N207</f>
        <v>0.70175438596491224</v>
      </c>
      <c r="AE207" t="e">
        <f>V207/S207</f>
        <v>#DIV/0!</v>
      </c>
      <c r="AF207" t="e">
        <f>AD207-AE207</f>
        <v>#DIV/0!</v>
      </c>
      <c r="AG207">
        <v>0</v>
      </c>
      <c r="AH207" s="14">
        <v>8.7921225382932171</v>
      </c>
      <c r="AI207" s="14">
        <v>28.888402625820572</v>
      </c>
      <c r="AJ207" s="14">
        <v>37.680525164113789</v>
      </c>
      <c r="AK207" s="14">
        <v>18.66083150984683</v>
      </c>
      <c r="AL207" s="3" t="s">
        <v>602</v>
      </c>
      <c r="AM207" s="22">
        <v>40</v>
      </c>
      <c r="AN207" s="22">
        <v>337</v>
      </c>
      <c r="AO207">
        <f t="shared" ref="AO207:AO208" si="69">AM207/AN207</f>
        <v>0.11869436201780416</v>
      </c>
    </row>
    <row r="208" spans="1:41">
      <c r="A208" t="s">
        <v>283</v>
      </c>
      <c r="B208" t="s">
        <v>286</v>
      </c>
      <c r="C208">
        <v>123</v>
      </c>
      <c r="D208" t="s">
        <v>34</v>
      </c>
      <c r="E208">
        <v>5</v>
      </c>
      <c r="F208">
        <v>10</v>
      </c>
      <c r="G208" s="1">
        <f t="shared" si="64"/>
        <v>70</v>
      </c>
      <c r="H208">
        <v>190</v>
      </c>
      <c r="I208">
        <v>1995</v>
      </c>
      <c r="J208">
        <v>2013</v>
      </c>
      <c r="K208" s="1">
        <f t="shared" si="65"/>
        <v>18</v>
      </c>
      <c r="L208" t="s">
        <v>42</v>
      </c>
      <c r="M208" t="s">
        <v>44</v>
      </c>
      <c r="N208" s="2">
        <f>26+41+7</f>
        <v>74</v>
      </c>
      <c r="O208" s="3">
        <f>3+8+2</f>
        <v>13</v>
      </c>
      <c r="P208" s="3">
        <f>10+16+2</f>
        <v>28</v>
      </c>
      <c r="Q208" s="5">
        <f t="shared" si="66"/>
        <v>41</v>
      </c>
      <c r="R208" s="4">
        <v>10</v>
      </c>
      <c r="S208" s="2">
        <f>31+8+17</f>
        <v>56</v>
      </c>
      <c r="T208" s="5">
        <v>8</v>
      </c>
      <c r="U208" s="5">
        <v>25</v>
      </c>
      <c r="V208" s="5">
        <f t="shared" si="67"/>
        <v>33</v>
      </c>
      <c r="W208" s="4">
        <v>10</v>
      </c>
      <c r="X208">
        <f>O208/N208</f>
        <v>0.17567567567567569</v>
      </c>
      <c r="Y208">
        <f>T208/S208</f>
        <v>0.14285714285714285</v>
      </c>
      <c r="Z208">
        <f>X208-Y208</f>
        <v>3.2818532818532836E-2</v>
      </c>
      <c r="AA208">
        <f>P208/N208</f>
        <v>0.3783783783783784</v>
      </c>
      <c r="AB208">
        <f>U208/S208</f>
        <v>0.44642857142857145</v>
      </c>
      <c r="AC208">
        <f>AA208-AB208</f>
        <v>-6.8050193050193053E-2</v>
      </c>
      <c r="AD208">
        <f>Q208/N208</f>
        <v>0.55405405405405406</v>
      </c>
      <c r="AE208">
        <f>V208/S208</f>
        <v>0.5892857142857143</v>
      </c>
      <c r="AF208">
        <f>AD208-AE208</f>
        <v>-3.5231660231660245E-2</v>
      </c>
      <c r="AG208">
        <v>0</v>
      </c>
      <c r="AH208" s="14">
        <v>5.0960451977401133</v>
      </c>
      <c r="AI208" s="14">
        <v>32.429378531073446</v>
      </c>
      <c r="AJ208" s="14">
        <v>37.525423728813557</v>
      </c>
      <c r="AK208" s="14">
        <v>12.971751412429379</v>
      </c>
      <c r="AL208" s="3" t="s">
        <v>608</v>
      </c>
      <c r="AM208" s="22">
        <v>39</v>
      </c>
      <c r="AN208" s="22">
        <v>672</v>
      </c>
      <c r="AO208">
        <f t="shared" si="69"/>
        <v>5.8035714285714288E-2</v>
      </c>
    </row>
    <row r="209" spans="1:41">
      <c r="A209" t="s">
        <v>478</v>
      </c>
      <c r="B209" t="s">
        <v>485</v>
      </c>
      <c r="C209">
        <v>123</v>
      </c>
      <c r="D209" t="s">
        <v>34</v>
      </c>
      <c r="E209">
        <v>5</v>
      </c>
      <c r="F209">
        <v>10</v>
      </c>
      <c r="G209" s="1">
        <f t="shared" si="64"/>
        <v>70</v>
      </c>
      <c r="H209">
        <v>165</v>
      </c>
      <c r="I209">
        <v>1996</v>
      </c>
      <c r="J209">
        <v>2015</v>
      </c>
      <c r="K209" s="1">
        <f t="shared" si="65"/>
        <v>19</v>
      </c>
      <c r="L209" t="s">
        <v>41</v>
      </c>
      <c r="M209" t="s">
        <v>43</v>
      </c>
      <c r="N209" s="2">
        <v>67</v>
      </c>
      <c r="O209" s="5">
        <v>35</v>
      </c>
      <c r="P209" s="5">
        <v>94</v>
      </c>
      <c r="Q209" s="5">
        <f t="shared" si="66"/>
        <v>129</v>
      </c>
      <c r="R209" s="4">
        <v>66</v>
      </c>
      <c r="S209" s="2">
        <v>51</v>
      </c>
      <c r="T209" s="5">
        <v>24</v>
      </c>
      <c r="U209" s="5">
        <v>30</v>
      </c>
      <c r="V209" s="5">
        <f t="shared" si="67"/>
        <v>54</v>
      </c>
      <c r="W209" s="4">
        <v>39</v>
      </c>
      <c r="AG209">
        <v>0</v>
      </c>
      <c r="AH209" s="14">
        <v>26.942857142857143</v>
      </c>
      <c r="AI209" s="14">
        <v>10.542857142857143</v>
      </c>
      <c r="AJ209" s="14">
        <v>37.485714285714288</v>
      </c>
      <c r="AK209" s="14">
        <v>21.085714285714285</v>
      </c>
      <c r="AL209" s="5" t="s">
        <v>614</v>
      </c>
    </row>
    <row r="210" spans="1:41">
      <c r="A210" t="s">
        <v>525</v>
      </c>
      <c r="B210" t="s">
        <v>529</v>
      </c>
      <c r="C210">
        <v>10</v>
      </c>
      <c r="D210" t="s">
        <v>37</v>
      </c>
      <c r="E210">
        <v>6</v>
      </c>
      <c r="F210">
        <v>1</v>
      </c>
      <c r="G210" s="1">
        <f t="shared" si="64"/>
        <v>73</v>
      </c>
      <c r="H210">
        <v>190</v>
      </c>
      <c r="I210">
        <v>1988</v>
      </c>
      <c r="J210">
        <v>2006</v>
      </c>
      <c r="K210" s="1">
        <f t="shared" si="65"/>
        <v>18</v>
      </c>
      <c r="L210" t="s">
        <v>41</v>
      </c>
      <c r="M210" t="s">
        <v>44</v>
      </c>
      <c r="N210" s="2">
        <v>51</v>
      </c>
      <c r="O210" s="5">
        <v>3</v>
      </c>
      <c r="P210" s="5">
        <v>9</v>
      </c>
      <c r="Q210" s="5">
        <f t="shared" si="66"/>
        <v>12</v>
      </c>
      <c r="R210" s="4">
        <v>32</v>
      </c>
      <c r="S210" s="2">
        <f>15+27+7</f>
        <v>49</v>
      </c>
      <c r="T210" s="3">
        <f>9+3+3</f>
        <v>15</v>
      </c>
      <c r="U210" s="3">
        <f>11+1+1</f>
        <v>13</v>
      </c>
      <c r="V210" s="5">
        <f t="shared" si="67"/>
        <v>28</v>
      </c>
      <c r="W210" s="4">
        <f>18+6+2</f>
        <v>26</v>
      </c>
      <c r="AG210">
        <v>0</v>
      </c>
      <c r="AH210" s="14">
        <v>15.45654834761322</v>
      </c>
      <c r="AI210" s="14">
        <v>21.980416156670746</v>
      </c>
      <c r="AJ210" s="14">
        <v>37.436964504283964</v>
      </c>
      <c r="AK210" s="14">
        <v>30.611995104039167</v>
      </c>
      <c r="AL210" s="3" t="s">
        <v>607</v>
      </c>
    </row>
    <row r="211" spans="1:41">
      <c r="A211" s="6" t="s">
        <v>87</v>
      </c>
      <c r="B211" t="s">
        <v>96</v>
      </c>
      <c r="C211">
        <v>13</v>
      </c>
      <c r="D211" t="s">
        <v>35</v>
      </c>
      <c r="E211">
        <v>5</v>
      </c>
      <c r="F211">
        <v>11</v>
      </c>
      <c r="G211" s="1">
        <f t="shared" si="64"/>
        <v>71</v>
      </c>
      <c r="H211">
        <v>183</v>
      </c>
      <c r="I211">
        <v>1999</v>
      </c>
      <c r="J211">
        <v>2017</v>
      </c>
      <c r="K211" s="1">
        <f t="shared" si="65"/>
        <v>18</v>
      </c>
      <c r="L211" t="s">
        <v>41</v>
      </c>
      <c r="M211" t="s">
        <v>43</v>
      </c>
      <c r="N211" s="2">
        <v>65</v>
      </c>
      <c r="O211" s="5">
        <v>45</v>
      </c>
      <c r="P211" s="5">
        <v>51</v>
      </c>
      <c r="Q211" s="5">
        <f t="shared" si="66"/>
        <v>96</v>
      </c>
      <c r="R211" s="4">
        <v>10</v>
      </c>
      <c r="S211" s="2">
        <v>69</v>
      </c>
      <c r="T211" s="5">
        <v>21</v>
      </c>
      <c r="U211" s="5">
        <v>21</v>
      </c>
      <c r="V211" s="3">
        <f t="shared" si="67"/>
        <v>42</v>
      </c>
      <c r="W211" s="4">
        <v>6</v>
      </c>
      <c r="X211">
        <f>O211/N211</f>
        <v>0.69230769230769229</v>
      </c>
      <c r="Y211">
        <f>T211/S211</f>
        <v>0.30434782608695654</v>
      </c>
      <c r="Z211">
        <f>X211-Y211</f>
        <v>0.38795986622073575</v>
      </c>
      <c r="AA211">
        <f>P211/N211</f>
        <v>0.7846153846153846</v>
      </c>
      <c r="AB211">
        <f>U211/S211</f>
        <v>0.30434782608695654</v>
      </c>
      <c r="AC211">
        <f>AA211-AB211</f>
        <v>0.48026755852842806</v>
      </c>
      <c r="AD211">
        <f>Q211/N211</f>
        <v>1.476923076923077</v>
      </c>
      <c r="AE211">
        <f>V211/S211</f>
        <v>0.60869565217391308</v>
      </c>
      <c r="AF211">
        <f>AD211-AE211</f>
        <v>0.86822742474916392</v>
      </c>
      <c r="AG211">
        <v>0</v>
      </c>
      <c r="AH211" s="14">
        <v>22.363636363636363</v>
      </c>
      <c r="AI211" s="14">
        <v>14.909090909090908</v>
      </c>
      <c r="AJ211" s="14">
        <v>37.272727272727273</v>
      </c>
      <c r="AK211" s="14">
        <v>14.909090909090908</v>
      </c>
      <c r="AL211" s="5" t="s">
        <v>600</v>
      </c>
    </row>
    <row r="212" spans="1:41">
      <c r="A212" t="s">
        <v>498</v>
      </c>
      <c r="B212" t="s">
        <v>500</v>
      </c>
      <c r="C212">
        <v>91</v>
      </c>
      <c r="D212" t="s">
        <v>65</v>
      </c>
      <c r="E212">
        <v>6</v>
      </c>
      <c r="F212">
        <v>3</v>
      </c>
      <c r="G212" s="1">
        <f t="shared" si="64"/>
        <v>75</v>
      </c>
      <c r="H212">
        <v>212</v>
      </c>
      <c r="I212">
        <v>1986</v>
      </c>
      <c r="J212">
        <v>2004</v>
      </c>
      <c r="K212" s="1">
        <f t="shared" si="65"/>
        <v>18</v>
      </c>
      <c r="L212" t="s">
        <v>42</v>
      </c>
      <c r="M212" t="s">
        <v>44</v>
      </c>
      <c r="N212" s="2">
        <v>30</v>
      </c>
      <c r="O212" s="3">
        <v>3</v>
      </c>
      <c r="P212" s="5">
        <v>9</v>
      </c>
      <c r="Q212" s="5">
        <f t="shared" si="66"/>
        <v>12</v>
      </c>
      <c r="R212" s="4">
        <v>26</v>
      </c>
      <c r="S212" s="2">
        <v>8</v>
      </c>
      <c r="T212" s="5">
        <v>2</v>
      </c>
      <c r="U212" s="5">
        <v>1</v>
      </c>
      <c r="V212" s="5">
        <f t="shared" si="67"/>
        <v>3</v>
      </c>
      <c r="W212" s="4">
        <v>0</v>
      </c>
      <c r="AG212">
        <v>0</v>
      </c>
      <c r="AH212" s="14">
        <v>9.6009557945041824</v>
      </c>
      <c r="AI212" s="14">
        <v>27.921146953405017</v>
      </c>
      <c r="AJ212" s="14">
        <v>37.522102747909202</v>
      </c>
      <c r="AK212" s="14">
        <v>56.724014336917563</v>
      </c>
      <c r="AL212" s="5" t="s">
        <v>65</v>
      </c>
      <c r="AM212" s="22">
        <v>39</v>
      </c>
      <c r="AN212" s="22">
        <v>554</v>
      </c>
      <c r="AO212">
        <f t="shared" ref="AO212:AO213" si="70">AM212/AN212</f>
        <v>7.0397111913357402E-2</v>
      </c>
    </row>
    <row r="213" spans="1:41">
      <c r="A213" t="s">
        <v>306</v>
      </c>
      <c r="B213" t="s">
        <v>311</v>
      </c>
      <c r="C213">
        <v>37</v>
      </c>
      <c r="D213" t="s">
        <v>34</v>
      </c>
      <c r="E213">
        <v>6</v>
      </c>
      <c r="F213">
        <v>0</v>
      </c>
      <c r="G213" s="1">
        <f t="shared" si="64"/>
        <v>72</v>
      </c>
      <c r="H213">
        <v>217</v>
      </c>
      <c r="I213">
        <v>1992</v>
      </c>
      <c r="J213">
        <v>2010</v>
      </c>
      <c r="K213" s="1">
        <f t="shared" si="65"/>
        <v>18</v>
      </c>
      <c r="L213" t="s">
        <v>42</v>
      </c>
      <c r="M213" t="s">
        <v>43</v>
      </c>
      <c r="N213" s="2">
        <v>67</v>
      </c>
      <c r="O213" s="5">
        <v>22</v>
      </c>
      <c r="P213" s="5">
        <v>15</v>
      </c>
      <c r="Q213" s="5">
        <f t="shared" si="66"/>
        <v>37</v>
      </c>
      <c r="R213" s="4">
        <v>72</v>
      </c>
      <c r="S213" s="2">
        <v>56</v>
      </c>
      <c r="T213" s="5">
        <v>10</v>
      </c>
      <c r="U213" s="5">
        <v>18</v>
      </c>
      <c r="V213" s="5">
        <f t="shared" si="67"/>
        <v>28</v>
      </c>
      <c r="W213" s="4">
        <v>55</v>
      </c>
      <c r="X213">
        <f>O213/N213</f>
        <v>0.32835820895522388</v>
      </c>
      <c r="Y213">
        <f>T213/S213</f>
        <v>0.17857142857142858</v>
      </c>
      <c r="Z213">
        <f>X213-Y213</f>
        <v>0.14978678038379531</v>
      </c>
      <c r="AA213">
        <f>P213/N213</f>
        <v>0.22388059701492538</v>
      </c>
      <c r="AB213">
        <f>U213/S213</f>
        <v>0.32142857142857145</v>
      </c>
      <c r="AC213">
        <f>AA213-AB213</f>
        <v>-9.7547974413646071E-2</v>
      </c>
      <c r="AD213">
        <f>Q213/N213</f>
        <v>0.55223880597014929</v>
      </c>
      <c r="AE213">
        <f>V213/S213</f>
        <v>0.5</v>
      </c>
      <c r="AF213">
        <f>AD213-AE213</f>
        <v>5.2238805970149294E-2</v>
      </c>
      <c r="AG213">
        <v>0</v>
      </c>
      <c r="AH213" s="14">
        <v>11.975945017182131</v>
      </c>
      <c r="AI213" s="14">
        <v>25.219931271477662</v>
      </c>
      <c r="AJ213" s="14">
        <v>37.195876288659797</v>
      </c>
      <c r="AK213" s="14">
        <v>38.745704467353953</v>
      </c>
      <c r="AL213" s="3" t="s">
        <v>608</v>
      </c>
      <c r="AM213" s="22">
        <v>37</v>
      </c>
      <c r="AN213" s="22">
        <v>533</v>
      </c>
      <c r="AO213">
        <f t="shared" si="70"/>
        <v>6.9418386491557224E-2</v>
      </c>
    </row>
    <row r="214" spans="1:41">
      <c r="A214" t="s">
        <v>322</v>
      </c>
      <c r="B214" t="s">
        <v>337</v>
      </c>
      <c r="C214">
        <v>7</v>
      </c>
      <c r="D214" t="s">
        <v>34</v>
      </c>
      <c r="E214">
        <v>6</v>
      </c>
      <c r="F214">
        <v>1</v>
      </c>
      <c r="G214" s="1">
        <f t="shared" si="64"/>
        <v>73</v>
      </c>
      <c r="H214">
        <v>215</v>
      </c>
      <c r="I214">
        <v>1989</v>
      </c>
      <c r="J214">
        <v>2008</v>
      </c>
      <c r="K214" s="1">
        <f t="shared" si="65"/>
        <v>19</v>
      </c>
      <c r="L214" t="s">
        <v>41</v>
      </c>
      <c r="M214" t="s">
        <v>44</v>
      </c>
      <c r="N214" s="2">
        <v>43</v>
      </c>
      <c r="O214" s="5">
        <v>18</v>
      </c>
      <c r="P214" s="5">
        <v>24</v>
      </c>
      <c r="Q214" s="5">
        <f t="shared" si="66"/>
        <v>42</v>
      </c>
      <c r="R214" s="4">
        <v>26</v>
      </c>
      <c r="S214" s="2">
        <f>41+15+7</f>
        <v>63</v>
      </c>
      <c r="T214" s="3">
        <f>19+11+5</f>
        <v>35</v>
      </c>
      <c r="U214" s="3">
        <f>31+13+7</f>
        <v>51</v>
      </c>
      <c r="V214" s="5">
        <f t="shared" si="67"/>
        <v>86</v>
      </c>
      <c r="W214" s="4">
        <f>32+21+4</f>
        <v>57</v>
      </c>
      <c r="X214">
        <f>O214/N214</f>
        <v>0.41860465116279072</v>
      </c>
      <c r="Y214">
        <f>T214/S214</f>
        <v>0.55555555555555558</v>
      </c>
      <c r="Z214">
        <f>X214-Y214</f>
        <v>-0.13695090439276486</v>
      </c>
      <c r="AA214">
        <f>P214/N214</f>
        <v>0.55813953488372092</v>
      </c>
      <c r="AB214">
        <f>U214/S214</f>
        <v>0.80952380952380953</v>
      </c>
      <c r="AC214">
        <f>AA214-AB214</f>
        <v>-0.25138427464008861</v>
      </c>
      <c r="AD214">
        <f>Q214/N214</f>
        <v>0.97674418604651159</v>
      </c>
      <c r="AE214">
        <f>V214/S214</f>
        <v>1.3650793650793651</v>
      </c>
      <c r="AF214">
        <f>AD214-AE214</f>
        <v>-0.38833517903285353</v>
      </c>
      <c r="AG214">
        <v>0</v>
      </c>
      <c r="AH214" s="14">
        <v>14.661392405063291</v>
      </c>
      <c r="AI214" s="14">
        <v>22.446202531645568</v>
      </c>
      <c r="AJ214" s="14">
        <v>37.107594936708857</v>
      </c>
      <c r="AK214" s="14">
        <v>17.905063291139239</v>
      </c>
      <c r="AL214" s="3" t="s">
        <v>611</v>
      </c>
    </row>
    <row r="215" spans="1:41">
      <c r="A215" t="s">
        <v>354</v>
      </c>
      <c r="B215" t="s">
        <v>339</v>
      </c>
      <c r="C215">
        <v>173</v>
      </c>
      <c r="D215" t="s">
        <v>34</v>
      </c>
      <c r="E215">
        <v>6</v>
      </c>
      <c r="F215">
        <v>1</v>
      </c>
      <c r="G215" s="1">
        <f t="shared" si="64"/>
        <v>73</v>
      </c>
      <c r="H215">
        <v>196</v>
      </c>
      <c r="I215">
        <v>1988</v>
      </c>
      <c r="J215">
        <v>2007</v>
      </c>
      <c r="K215" s="1">
        <f t="shared" si="65"/>
        <v>19</v>
      </c>
      <c r="L215" t="s">
        <v>41</v>
      </c>
      <c r="M215" t="s">
        <v>44</v>
      </c>
      <c r="N215" s="2">
        <v>26</v>
      </c>
      <c r="O215" s="5">
        <v>24</v>
      </c>
      <c r="P215" s="5">
        <v>42</v>
      </c>
      <c r="Q215" s="5">
        <f t="shared" si="66"/>
        <v>66</v>
      </c>
      <c r="R215" s="4">
        <v>14</v>
      </c>
      <c r="S215" s="2">
        <v>25</v>
      </c>
      <c r="T215" s="5">
        <v>26</v>
      </c>
      <c r="U215" s="5">
        <v>30</v>
      </c>
      <c r="V215" s="5">
        <f t="shared" si="67"/>
        <v>56</v>
      </c>
      <c r="W215" s="4">
        <v>10</v>
      </c>
      <c r="X215">
        <f>O215/N215</f>
        <v>0.92307692307692313</v>
      </c>
      <c r="Y215">
        <f>T215/S215</f>
        <v>1.04</v>
      </c>
      <c r="Z215">
        <f>X215-Y215</f>
        <v>-0.11692307692307691</v>
      </c>
      <c r="AA215">
        <f>P215/N215</f>
        <v>1.6153846153846154</v>
      </c>
      <c r="AB215">
        <f>U215/S215</f>
        <v>1.2</v>
      </c>
      <c r="AC215">
        <f>AA215-AB215</f>
        <v>0.41538461538461546</v>
      </c>
      <c r="AD215">
        <f>Q215/N215</f>
        <v>2.5384615384615383</v>
      </c>
      <c r="AE215">
        <f>V215/S215</f>
        <v>2.2400000000000002</v>
      </c>
      <c r="AF215">
        <f>AD215-AE215</f>
        <v>0.29846153846153811</v>
      </c>
      <c r="AG215">
        <v>0</v>
      </c>
      <c r="AH215" s="14">
        <v>15.975862068965517</v>
      </c>
      <c r="AI215" s="14">
        <v>20.924137931034483</v>
      </c>
      <c r="AJ215" s="14">
        <v>36.9</v>
      </c>
      <c r="AK215" s="14">
        <v>22.479310344827589</v>
      </c>
      <c r="AL215" s="5" t="s">
        <v>623</v>
      </c>
    </row>
    <row r="216" spans="1:41">
      <c r="A216" t="s">
        <v>430</v>
      </c>
      <c r="B216" t="s">
        <v>437</v>
      </c>
      <c r="C216">
        <v>191</v>
      </c>
      <c r="D216" t="s">
        <v>37</v>
      </c>
      <c r="E216">
        <v>6</v>
      </c>
      <c r="F216">
        <v>2</v>
      </c>
      <c r="G216" s="1">
        <f t="shared" si="64"/>
        <v>74</v>
      </c>
      <c r="H216">
        <v>179</v>
      </c>
      <c r="I216">
        <v>1995</v>
      </c>
      <c r="J216">
        <v>2013</v>
      </c>
      <c r="K216" s="1">
        <f t="shared" si="65"/>
        <v>18</v>
      </c>
      <c r="L216" t="s">
        <v>41</v>
      </c>
      <c r="M216" t="s">
        <v>44</v>
      </c>
      <c r="N216" s="2">
        <f>77</f>
        <v>77</v>
      </c>
      <c r="O216" s="5">
        <v>17</v>
      </c>
      <c r="P216" s="5">
        <v>27</v>
      </c>
      <c r="Q216" s="5">
        <f t="shared" si="66"/>
        <v>44</v>
      </c>
      <c r="R216" s="4">
        <f>25+14+14</f>
        <v>53</v>
      </c>
      <c r="S216" s="2">
        <f>24+20+8+4+10</f>
        <v>66</v>
      </c>
      <c r="T216" s="3">
        <f>11+22+1</f>
        <v>34</v>
      </c>
      <c r="U216" s="5">
        <f>6+16+4</f>
        <v>26</v>
      </c>
      <c r="V216" s="5">
        <f t="shared" si="67"/>
        <v>60</v>
      </c>
      <c r="W216" s="4">
        <f>22+12+14+12</f>
        <v>60</v>
      </c>
      <c r="AG216">
        <v>0</v>
      </c>
      <c r="AH216" s="14">
        <v>20.5</v>
      </c>
      <c r="AI216" s="14">
        <v>16.399999999999999</v>
      </c>
      <c r="AJ216" s="14">
        <v>36.9</v>
      </c>
      <c r="AK216" s="14">
        <v>24.599999999999998</v>
      </c>
      <c r="AL216" s="3" t="s">
        <v>600</v>
      </c>
    </row>
    <row r="217" spans="1:41">
      <c r="A217" t="s">
        <v>322</v>
      </c>
      <c r="B217" t="s">
        <v>327</v>
      </c>
      <c r="C217">
        <v>99</v>
      </c>
      <c r="D217" t="s">
        <v>38</v>
      </c>
      <c r="E217">
        <v>6</v>
      </c>
      <c r="F217">
        <v>0</v>
      </c>
      <c r="G217" s="1">
        <f t="shared" si="64"/>
        <v>72</v>
      </c>
      <c r="H217">
        <v>190</v>
      </c>
      <c r="I217">
        <v>1992</v>
      </c>
      <c r="J217">
        <v>2010</v>
      </c>
      <c r="K217" s="1">
        <f t="shared" si="65"/>
        <v>18</v>
      </c>
      <c r="L217" t="s">
        <v>41</v>
      </c>
      <c r="M217" t="s">
        <v>43</v>
      </c>
      <c r="N217" s="2">
        <v>18</v>
      </c>
      <c r="O217" s="5">
        <v>2</v>
      </c>
      <c r="P217" s="5">
        <v>2</v>
      </c>
      <c r="Q217" s="5">
        <f t="shared" si="66"/>
        <v>4</v>
      </c>
      <c r="R217" s="4">
        <v>4</v>
      </c>
      <c r="V217" s="5">
        <f t="shared" si="67"/>
        <v>0</v>
      </c>
      <c r="X217">
        <f>O217/N217</f>
        <v>0.1111111111111111</v>
      </c>
      <c r="Y217" t="e">
        <f>T217/S217</f>
        <v>#DIV/0!</v>
      </c>
      <c r="Z217" t="e">
        <f>X217-Y217</f>
        <v>#DIV/0!</v>
      </c>
      <c r="AA217">
        <f>P217/N217</f>
        <v>0.1111111111111111</v>
      </c>
      <c r="AB217" t="e">
        <f>U217/S217</f>
        <v>#DIV/0!</v>
      </c>
      <c r="AC217" t="e">
        <f>AA217-AB217</f>
        <v>#DIV/0!</v>
      </c>
      <c r="AD217">
        <f>Q217/N217</f>
        <v>0.22222222222222221</v>
      </c>
      <c r="AE217" t="e">
        <f>V217/S217</f>
        <v>#DIV/0!</v>
      </c>
      <c r="AF217" t="e">
        <f>AD217-AE217</f>
        <v>#DIV/0!</v>
      </c>
      <c r="AG217">
        <v>0</v>
      </c>
      <c r="AH217" s="14">
        <v>14.518032786885245</v>
      </c>
      <c r="AI217" s="14">
        <v>22.314754098360655</v>
      </c>
      <c r="AJ217" s="14">
        <v>36.832786885245902</v>
      </c>
      <c r="AK217" s="14">
        <v>20.4327868852459</v>
      </c>
      <c r="AL217" s="3" t="s">
        <v>615</v>
      </c>
    </row>
    <row r="218" spans="1:41">
      <c r="A218" t="s">
        <v>478</v>
      </c>
      <c r="B218" t="s">
        <v>482</v>
      </c>
      <c r="C218">
        <v>58</v>
      </c>
      <c r="D218" t="s">
        <v>34</v>
      </c>
      <c r="E218">
        <v>6</v>
      </c>
      <c r="F218">
        <v>0</v>
      </c>
      <c r="G218" s="1">
        <f t="shared" si="64"/>
        <v>72</v>
      </c>
      <c r="H218">
        <v>195</v>
      </c>
      <c r="I218">
        <v>1996</v>
      </c>
      <c r="J218">
        <v>2014</v>
      </c>
      <c r="K218" s="1">
        <f t="shared" si="65"/>
        <v>18</v>
      </c>
      <c r="L218" t="s">
        <v>41</v>
      </c>
      <c r="M218" t="s">
        <v>44</v>
      </c>
      <c r="N218" s="2">
        <v>36</v>
      </c>
      <c r="O218" s="5">
        <v>6</v>
      </c>
      <c r="P218" s="5">
        <v>8</v>
      </c>
      <c r="Q218" s="5">
        <f t="shared" si="66"/>
        <v>14</v>
      </c>
      <c r="R218" s="4">
        <v>0</v>
      </c>
      <c r="S218" s="2">
        <v>40</v>
      </c>
      <c r="T218" s="5">
        <v>21</v>
      </c>
      <c r="U218" s="5">
        <v>36</v>
      </c>
      <c r="V218" s="5">
        <f t="shared" si="67"/>
        <v>57</v>
      </c>
      <c r="W218" s="4">
        <v>6</v>
      </c>
      <c r="AG218">
        <v>0</v>
      </c>
      <c r="AH218" s="14">
        <v>15.658291457286433</v>
      </c>
      <c r="AI218" s="14">
        <v>21.015075376884422</v>
      </c>
      <c r="AJ218" s="14">
        <v>36.673366834170857</v>
      </c>
      <c r="AK218" s="14">
        <v>20.603015075376884</v>
      </c>
      <c r="AL218" s="5" t="s">
        <v>600</v>
      </c>
    </row>
    <row r="219" spans="1:41">
      <c r="A219" s="6" t="s">
        <v>69</v>
      </c>
      <c r="B219" t="s">
        <v>82</v>
      </c>
      <c r="C219">
        <v>8</v>
      </c>
      <c r="D219" t="s">
        <v>38</v>
      </c>
      <c r="E219">
        <v>6</v>
      </c>
      <c r="F219">
        <v>4</v>
      </c>
      <c r="G219" s="1">
        <f t="shared" si="64"/>
        <v>76</v>
      </c>
      <c r="H219">
        <v>218</v>
      </c>
      <c r="I219">
        <v>1994</v>
      </c>
      <c r="J219">
        <v>2013</v>
      </c>
      <c r="K219" s="1">
        <f t="shared" si="65"/>
        <v>19</v>
      </c>
      <c r="L219" t="s">
        <v>42</v>
      </c>
      <c r="M219" t="s">
        <v>43</v>
      </c>
      <c r="N219" s="2">
        <v>52</v>
      </c>
      <c r="O219" s="5">
        <v>3</v>
      </c>
      <c r="P219" s="5">
        <v>12</v>
      </c>
      <c r="Q219" s="3">
        <f t="shared" si="66"/>
        <v>15</v>
      </c>
      <c r="R219" s="4">
        <v>32</v>
      </c>
      <c r="S219" s="2">
        <v>40</v>
      </c>
      <c r="T219" s="5">
        <v>3</v>
      </c>
      <c r="U219" s="5">
        <v>5</v>
      </c>
      <c r="V219" s="3">
        <f t="shared" si="67"/>
        <v>8</v>
      </c>
      <c r="W219" s="4">
        <v>78</v>
      </c>
      <c r="X219">
        <f>O219/N219</f>
        <v>5.7692307692307696E-2</v>
      </c>
      <c r="Y219">
        <f>T219/S219</f>
        <v>7.4999999999999997E-2</v>
      </c>
      <c r="Z219">
        <f>X219-Y219</f>
        <v>-1.7307692307692302E-2</v>
      </c>
      <c r="AA219">
        <f>P219/N219</f>
        <v>0.23076923076923078</v>
      </c>
      <c r="AB219">
        <f>U219/S219</f>
        <v>0.125</v>
      </c>
      <c r="AC219">
        <f>AA219-AB219</f>
        <v>0.10576923076923078</v>
      </c>
      <c r="AD219">
        <f>Q219/N219</f>
        <v>0.28846153846153844</v>
      </c>
      <c r="AE219">
        <f>V219/S219</f>
        <v>0.2</v>
      </c>
      <c r="AF219">
        <f>AD219-AE219</f>
        <v>8.8461538461538425E-2</v>
      </c>
      <c r="AG219">
        <v>0</v>
      </c>
      <c r="AH219" s="14">
        <v>6.8026905829596416</v>
      </c>
      <c r="AI219" s="14">
        <v>30.336322869955158</v>
      </c>
      <c r="AJ219" s="14">
        <v>37.139013452914796</v>
      </c>
      <c r="AK219" s="14">
        <v>42.838565022421527</v>
      </c>
      <c r="AL219" s="3" t="s">
        <v>615</v>
      </c>
      <c r="AM219" s="22">
        <v>34</v>
      </c>
      <c r="AN219" s="22">
        <v>403</v>
      </c>
      <c r="AO219">
        <f t="shared" ref="AO219:AO220" si="71">AM219/AN219</f>
        <v>8.4367245657568243E-2</v>
      </c>
    </row>
    <row r="220" spans="1:41">
      <c r="A220" t="s">
        <v>283</v>
      </c>
      <c r="B220" t="s">
        <v>295</v>
      </c>
      <c r="C220">
        <v>106</v>
      </c>
      <c r="D220" t="s">
        <v>38</v>
      </c>
      <c r="E220">
        <v>5</v>
      </c>
      <c r="F220">
        <v>10</v>
      </c>
      <c r="G220" s="1">
        <f t="shared" si="64"/>
        <v>70</v>
      </c>
      <c r="H220">
        <v>185</v>
      </c>
      <c r="I220">
        <v>1991</v>
      </c>
      <c r="J220">
        <v>2009</v>
      </c>
      <c r="K220" s="1">
        <f t="shared" si="65"/>
        <v>18</v>
      </c>
      <c r="L220" t="s">
        <v>42</v>
      </c>
      <c r="M220" t="s">
        <v>43</v>
      </c>
      <c r="N220" s="2">
        <f>7+2+20+6</f>
        <v>35</v>
      </c>
      <c r="O220" s="3">
        <f>1+3</f>
        <v>4</v>
      </c>
      <c r="P220" s="3">
        <f>1+7+5</f>
        <v>13</v>
      </c>
      <c r="Q220" s="5">
        <f t="shared" si="66"/>
        <v>17</v>
      </c>
      <c r="R220" s="4">
        <f>10+22+6</f>
        <v>38</v>
      </c>
      <c r="S220" s="2">
        <v>41</v>
      </c>
      <c r="T220" s="5">
        <v>9</v>
      </c>
      <c r="U220" s="5">
        <v>32</v>
      </c>
      <c r="V220" s="5">
        <f t="shared" si="67"/>
        <v>41</v>
      </c>
      <c r="W220" s="4">
        <v>34</v>
      </c>
      <c r="X220">
        <f>O220/N220</f>
        <v>0.11428571428571428</v>
      </c>
      <c r="Y220">
        <f>T220/S220</f>
        <v>0.21951219512195122</v>
      </c>
      <c r="Z220">
        <f>X220-Y220</f>
        <v>-0.10522648083623694</v>
      </c>
      <c r="AA220">
        <f>P220/N220</f>
        <v>0.37142857142857144</v>
      </c>
      <c r="AB220">
        <f>U220/S220</f>
        <v>0.78048780487804881</v>
      </c>
      <c r="AC220">
        <f>AA220-AB220</f>
        <v>-0.40905923344947737</v>
      </c>
      <c r="AD220">
        <f>Q220/N220</f>
        <v>0.48571428571428571</v>
      </c>
      <c r="AE220">
        <f>V220/S220</f>
        <v>1</v>
      </c>
      <c r="AF220">
        <f>AD220-AE220</f>
        <v>-0.51428571428571423</v>
      </c>
      <c r="AG220">
        <v>0</v>
      </c>
      <c r="AH220" s="14">
        <v>8.9528535980148884</v>
      </c>
      <c r="AI220" s="14">
        <v>27.468982630272954</v>
      </c>
      <c r="AJ220" s="14">
        <v>36.421836228287845</v>
      </c>
      <c r="AK220" s="14">
        <v>35.811414392059554</v>
      </c>
      <c r="AL220" s="3" t="s">
        <v>38</v>
      </c>
      <c r="AM220" s="22">
        <v>33</v>
      </c>
      <c r="AN220" s="22">
        <v>157</v>
      </c>
      <c r="AO220">
        <f t="shared" si="71"/>
        <v>0.21019108280254778</v>
      </c>
    </row>
    <row r="221" spans="1:41">
      <c r="A221" t="s">
        <v>478</v>
      </c>
      <c r="B221" t="s">
        <v>487</v>
      </c>
      <c r="C221">
        <v>14</v>
      </c>
      <c r="D221" t="s">
        <v>496</v>
      </c>
      <c r="E221">
        <v>6</v>
      </c>
      <c r="F221">
        <v>1</v>
      </c>
      <c r="G221" s="1">
        <f t="shared" si="64"/>
        <v>73</v>
      </c>
      <c r="H221">
        <v>188</v>
      </c>
      <c r="I221">
        <v>1987</v>
      </c>
      <c r="J221">
        <v>2006</v>
      </c>
      <c r="K221" s="1">
        <f t="shared" si="65"/>
        <v>19</v>
      </c>
      <c r="L221" t="s">
        <v>41</v>
      </c>
      <c r="M221" t="s">
        <v>44</v>
      </c>
      <c r="N221" s="2">
        <v>67</v>
      </c>
      <c r="O221" s="5">
        <v>36</v>
      </c>
      <c r="P221" s="5">
        <v>14</v>
      </c>
      <c r="Q221" s="5">
        <f t="shared" si="66"/>
        <v>50</v>
      </c>
      <c r="R221" s="4">
        <v>28</v>
      </c>
      <c r="S221" s="2">
        <v>66</v>
      </c>
      <c r="T221" s="5">
        <v>18</v>
      </c>
      <c r="U221" s="5">
        <v>14</v>
      </c>
      <c r="V221" s="5">
        <f t="shared" si="67"/>
        <v>32</v>
      </c>
      <c r="W221" s="4">
        <v>49</v>
      </c>
      <c r="AG221">
        <v>0</v>
      </c>
      <c r="AH221" s="14">
        <v>23.029220779220779</v>
      </c>
      <c r="AI221" s="14">
        <v>13.311688311688311</v>
      </c>
      <c r="AJ221" s="14">
        <v>36.340909090909086</v>
      </c>
      <c r="AK221" s="14">
        <v>14.376623376623375</v>
      </c>
      <c r="AL221" s="5" t="s">
        <v>599</v>
      </c>
    </row>
    <row r="222" spans="1:41">
      <c r="A222" t="s">
        <v>498</v>
      </c>
      <c r="B222" t="s">
        <v>506</v>
      </c>
      <c r="C222">
        <v>30</v>
      </c>
      <c r="D222" t="s">
        <v>35</v>
      </c>
      <c r="E222">
        <v>6</v>
      </c>
      <c r="F222">
        <v>1</v>
      </c>
      <c r="G222" s="1">
        <f t="shared" si="64"/>
        <v>73</v>
      </c>
      <c r="H222">
        <v>201</v>
      </c>
      <c r="I222">
        <v>1992</v>
      </c>
      <c r="J222">
        <v>2012</v>
      </c>
      <c r="K222" s="1">
        <f t="shared" si="65"/>
        <v>20</v>
      </c>
      <c r="L222" t="s">
        <v>41</v>
      </c>
      <c r="M222" t="s">
        <v>44</v>
      </c>
      <c r="N222" s="2">
        <v>60</v>
      </c>
      <c r="O222" s="5">
        <v>37</v>
      </c>
      <c r="P222" s="5">
        <v>54</v>
      </c>
      <c r="Q222" s="5">
        <f t="shared" si="66"/>
        <v>91</v>
      </c>
      <c r="R222" s="4">
        <v>37</v>
      </c>
      <c r="S222" s="2">
        <v>66</v>
      </c>
      <c r="T222" s="5">
        <v>15</v>
      </c>
      <c r="U222" s="5">
        <v>27</v>
      </c>
      <c r="V222" s="5">
        <f t="shared" si="67"/>
        <v>42</v>
      </c>
      <c r="W222" s="4">
        <v>35</v>
      </c>
      <c r="AG222">
        <v>0</v>
      </c>
      <c r="AH222" s="14">
        <v>18.355231143552313</v>
      </c>
      <c r="AI222" s="14">
        <v>17.956204379562045</v>
      </c>
      <c r="AJ222" s="14">
        <v>36.311435523114355</v>
      </c>
      <c r="AK222" s="14">
        <v>22.145985401459853</v>
      </c>
      <c r="AL222" s="5" t="s">
        <v>600</v>
      </c>
    </row>
    <row r="223" spans="1:41">
      <c r="A223" t="s">
        <v>266</v>
      </c>
      <c r="B223" t="s">
        <v>270</v>
      </c>
      <c r="C223">
        <v>19</v>
      </c>
      <c r="D223" t="s">
        <v>34</v>
      </c>
      <c r="E223">
        <v>5</v>
      </c>
      <c r="F223">
        <v>11</v>
      </c>
      <c r="G223" s="1">
        <f t="shared" si="64"/>
        <v>71</v>
      </c>
      <c r="H223">
        <v>180</v>
      </c>
      <c r="I223">
        <v>1995</v>
      </c>
      <c r="J223">
        <v>2014</v>
      </c>
      <c r="K223" s="1">
        <f t="shared" si="65"/>
        <v>19</v>
      </c>
      <c r="L223" t="s">
        <v>42</v>
      </c>
      <c r="M223" t="s">
        <v>43</v>
      </c>
      <c r="N223" s="2">
        <v>51</v>
      </c>
      <c r="O223" s="5">
        <v>15</v>
      </c>
      <c r="P223" s="5">
        <v>56</v>
      </c>
      <c r="Q223" s="5">
        <f t="shared" si="66"/>
        <v>71</v>
      </c>
      <c r="R223" s="4">
        <v>90</v>
      </c>
      <c r="S223" s="2">
        <v>66</v>
      </c>
      <c r="T223" s="5">
        <v>9</v>
      </c>
      <c r="U223" s="5">
        <v>55</v>
      </c>
      <c r="V223" s="5">
        <f t="shared" si="67"/>
        <v>64</v>
      </c>
      <c r="W223" s="4">
        <v>86</v>
      </c>
      <c r="X223">
        <f>O223/N223</f>
        <v>0.29411764705882354</v>
      </c>
      <c r="Y223">
        <f>T223/S223</f>
        <v>0.13636363636363635</v>
      </c>
      <c r="Z223">
        <f>X223-Y223</f>
        <v>0.15775401069518719</v>
      </c>
      <c r="AA223">
        <f>P223/N223</f>
        <v>1.0980392156862746</v>
      </c>
      <c r="AB223">
        <f>U223/S223</f>
        <v>0.83333333333333337</v>
      </c>
      <c r="AC223">
        <f>AA223-AB223</f>
        <v>0.26470588235294124</v>
      </c>
      <c r="AD223">
        <f>Q223/N223</f>
        <v>1.392156862745098</v>
      </c>
      <c r="AE223">
        <f>V223/S223</f>
        <v>0.96969696969696972</v>
      </c>
      <c r="AF223">
        <f>AD223-AE223</f>
        <v>0.42245989304812825</v>
      </c>
      <c r="AG223">
        <v>0</v>
      </c>
      <c r="AH223" s="14">
        <v>8.14569536423841</v>
      </c>
      <c r="AI223" s="14">
        <v>28.23841059602649</v>
      </c>
      <c r="AJ223" s="14">
        <v>36.384105960264904</v>
      </c>
      <c r="AK223" s="14">
        <v>76.026490066225165</v>
      </c>
      <c r="AL223" s="5" t="s">
        <v>600</v>
      </c>
      <c r="AM223" s="22">
        <v>32</v>
      </c>
      <c r="AN223" s="22">
        <v>635</v>
      </c>
      <c r="AO223">
        <f>AM223/AN223</f>
        <v>5.0393700787401574E-2</v>
      </c>
    </row>
    <row r="224" spans="1:41">
      <c r="A224" t="s">
        <v>220</v>
      </c>
      <c r="B224" t="s">
        <v>226</v>
      </c>
      <c r="C224">
        <v>138</v>
      </c>
      <c r="D224" t="s">
        <v>65</v>
      </c>
      <c r="E224">
        <v>6</v>
      </c>
      <c r="F224">
        <v>1</v>
      </c>
      <c r="G224" s="1">
        <f t="shared" si="64"/>
        <v>73</v>
      </c>
      <c r="H224">
        <v>191</v>
      </c>
      <c r="I224">
        <v>1996</v>
      </c>
      <c r="J224">
        <v>2014</v>
      </c>
      <c r="K224" s="1">
        <f t="shared" si="65"/>
        <v>18</v>
      </c>
      <c r="L224" t="s">
        <v>41</v>
      </c>
      <c r="M224" t="s">
        <v>44</v>
      </c>
      <c r="N224" s="2">
        <v>60</v>
      </c>
      <c r="O224" s="5">
        <v>24</v>
      </c>
      <c r="P224" s="5">
        <v>28</v>
      </c>
      <c r="Q224" s="5">
        <f t="shared" si="66"/>
        <v>52</v>
      </c>
      <c r="R224" s="4">
        <v>30</v>
      </c>
      <c r="S224" s="2">
        <v>36</v>
      </c>
      <c r="T224" s="5">
        <v>32</v>
      </c>
      <c r="U224" s="5">
        <v>28</v>
      </c>
      <c r="V224" s="5">
        <f t="shared" si="67"/>
        <v>60</v>
      </c>
      <c r="W224" s="4">
        <v>14</v>
      </c>
      <c r="X224">
        <f>O224/N224</f>
        <v>0.4</v>
      </c>
      <c r="Y224">
        <f>T224/S224</f>
        <v>0.88888888888888884</v>
      </c>
      <c r="Z224">
        <f>X224-Y224</f>
        <v>-0.48888888888888882</v>
      </c>
      <c r="AA224">
        <f>P224/N224</f>
        <v>0.46666666666666667</v>
      </c>
      <c r="AB224">
        <f>U224/S224</f>
        <v>0.77777777777777779</v>
      </c>
      <c r="AC224">
        <f>AA224-AB224</f>
        <v>-0.31111111111111112</v>
      </c>
      <c r="AD224">
        <f>Q224/N224</f>
        <v>0.8666666666666667</v>
      </c>
      <c r="AE224">
        <f>V224/S224</f>
        <v>1.6666666666666667</v>
      </c>
      <c r="AF224">
        <f>AD224-AE224</f>
        <v>-0.8</v>
      </c>
      <c r="AG224">
        <v>0</v>
      </c>
      <c r="AH224" s="14">
        <v>18.368000000000002</v>
      </c>
      <c r="AI224" s="14">
        <v>17.712</v>
      </c>
      <c r="AJ224" s="14">
        <v>36.08</v>
      </c>
      <c r="AK224" s="14">
        <v>19.68</v>
      </c>
      <c r="AL224" s="5" t="s">
        <v>609</v>
      </c>
    </row>
    <row r="225" spans="1:41">
      <c r="A225" t="s">
        <v>556</v>
      </c>
      <c r="B225" t="s">
        <v>558</v>
      </c>
      <c r="C225">
        <v>12</v>
      </c>
      <c r="D225" t="s">
        <v>35</v>
      </c>
      <c r="E225">
        <v>6</v>
      </c>
      <c r="F225">
        <v>2</v>
      </c>
      <c r="G225" s="1">
        <f t="shared" si="64"/>
        <v>74</v>
      </c>
      <c r="H225">
        <v>206</v>
      </c>
      <c r="I225">
        <v>1991</v>
      </c>
      <c r="J225">
        <v>2010</v>
      </c>
      <c r="K225" s="1">
        <f t="shared" si="65"/>
        <v>19</v>
      </c>
      <c r="L225" t="s">
        <v>42</v>
      </c>
      <c r="M225" t="s">
        <v>44</v>
      </c>
      <c r="N225" s="2">
        <v>62</v>
      </c>
      <c r="O225" s="5">
        <v>8</v>
      </c>
      <c r="P225" s="5">
        <v>49</v>
      </c>
      <c r="Q225" s="5">
        <f t="shared" si="66"/>
        <v>57</v>
      </c>
      <c r="R225" s="4">
        <v>18</v>
      </c>
      <c r="S225" s="2">
        <f>14+33+7</f>
        <v>54</v>
      </c>
      <c r="T225" s="5">
        <v>9</v>
      </c>
      <c r="U225" s="5">
        <v>39</v>
      </c>
      <c r="V225" s="5">
        <f t="shared" si="67"/>
        <v>48</v>
      </c>
      <c r="W225" s="4">
        <f>12+32+4</f>
        <v>48</v>
      </c>
      <c r="AG225">
        <v>0</v>
      </c>
      <c r="AH225" s="14">
        <v>7.8944099378881978</v>
      </c>
      <c r="AI225" s="14">
        <v>28.13975155279503</v>
      </c>
      <c r="AJ225" s="14">
        <v>36.034161490683225</v>
      </c>
      <c r="AK225" s="14">
        <v>21.2639751552795</v>
      </c>
      <c r="AL225" s="3" t="s">
        <v>600</v>
      </c>
      <c r="AM225" s="22">
        <v>31</v>
      </c>
      <c r="AN225" s="22">
        <v>580</v>
      </c>
      <c r="AO225">
        <f t="shared" ref="AO225:AO228" si="72">AM225/AN225</f>
        <v>5.3448275862068968E-2</v>
      </c>
    </row>
    <row r="226" spans="1:41">
      <c r="A226" s="6" t="s">
        <v>49</v>
      </c>
      <c r="B226" t="s">
        <v>59</v>
      </c>
      <c r="C226">
        <v>141</v>
      </c>
      <c r="D226" t="s">
        <v>35</v>
      </c>
      <c r="E226">
        <v>6</v>
      </c>
      <c r="F226">
        <v>3</v>
      </c>
      <c r="G226" s="1">
        <f t="shared" si="64"/>
        <v>75</v>
      </c>
      <c r="H226">
        <v>213</v>
      </c>
      <c r="I226">
        <v>1989</v>
      </c>
      <c r="J226">
        <v>2007</v>
      </c>
      <c r="K226" s="1">
        <f t="shared" si="65"/>
        <v>18</v>
      </c>
      <c r="L226" t="s">
        <v>42</v>
      </c>
      <c r="M226" t="s">
        <v>44</v>
      </c>
      <c r="N226" s="2">
        <f>37+4</f>
        <v>41</v>
      </c>
      <c r="O226" s="3">
        <v>1</v>
      </c>
      <c r="P226" s="3">
        <v>6</v>
      </c>
      <c r="Q226" s="3">
        <f t="shared" si="66"/>
        <v>7</v>
      </c>
      <c r="R226" s="4">
        <v>12</v>
      </c>
      <c r="S226" s="2">
        <v>57</v>
      </c>
      <c r="T226" s="3">
        <v>20</v>
      </c>
      <c r="U226" s="3">
        <v>23</v>
      </c>
      <c r="V226" s="3">
        <f t="shared" si="67"/>
        <v>43</v>
      </c>
      <c r="W226" s="4">
        <v>78</v>
      </c>
      <c r="X226">
        <f>O226/N226</f>
        <v>2.4390243902439025E-2</v>
      </c>
      <c r="Y226">
        <f>T226/S226</f>
        <v>0.35087719298245612</v>
      </c>
      <c r="Z226">
        <f>X226-Y226</f>
        <v>-0.32648694908001707</v>
      </c>
      <c r="AA226">
        <f>P226/N226</f>
        <v>0.14634146341463414</v>
      </c>
      <c r="AB226">
        <f>U226/S226</f>
        <v>0.40350877192982454</v>
      </c>
      <c r="AC226">
        <f>AA226-AB226</f>
        <v>-0.25716730851519043</v>
      </c>
      <c r="AD226">
        <f>Q226/N226</f>
        <v>0.17073170731707318</v>
      </c>
      <c r="AE226">
        <f>V226/S226</f>
        <v>0.75438596491228072</v>
      </c>
      <c r="AF226">
        <f>AD226-AE226</f>
        <v>-0.5836542575952075</v>
      </c>
      <c r="AG226">
        <v>0</v>
      </c>
      <c r="AH226" s="14">
        <v>8.8123861566484525</v>
      </c>
      <c r="AI226" s="14">
        <v>27.183970856102004</v>
      </c>
      <c r="AJ226" s="14">
        <v>35.996357012750458</v>
      </c>
      <c r="AK226" s="14">
        <v>48.990892531876142</v>
      </c>
      <c r="AL226" s="5" t="s">
        <v>600</v>
      </c>
      <c r="AM226" s="22">
        <v>31</v>
      </c>
      <c r="AN226" s="22">
        <v>514</v>
      </c>
      <c r="AO226">
        <f t="shared" si="72"/>
        <v>6.0311284046692608E-2</v>
      </c>
    </row>
    <row r="227" spans="1:41">
      <c r="A227" t="s">
        <v>234</v>
      </c>
      <c r="B227" t="s">
        <v>240</v>
      </c>
      <c r="C227">
        <v>17</v>
      </c>
      <c r="D227" t="s">
        <v>34</v>
      </c>
      <c r="E227">
        <v>6</v>
      </c>
      <c r="F227">
        <v>2</v>
      </c>
      <c r="G227" s="1">
        <f t="shared" si="64"/>
        <v>74</v>
      </c>
      <c r="H227">
        <v>203</v>
      </c>
      <c r="I227">
        <v>1990</v>
      </c>
      <c r="J227">
        <v>2008</v>
      </c>
      <c r="K227" s="1">
        <f t="shared" si="65"/>
        <v>18</v>
      </c>
      <c r="L227" t="s">
        <v>42</v>
      </c>
      <c r="M227" t="s">
        <v>44</v>
      </c>
      <c r="N227" s="2">
        <v>35</v>
      </c>
      <c r="O227" s="5">
        <v>28</v>
      </c>
      <c r="P227" s="5">
        <v>35</v>
      </c>
      <c r="Q227" s="5">
        <f t="shared" si="66"/>
        <v>63</v>
      </c>
      <c r="R227" s="4">
        <v>14</v>
      </c>
      <c r="S227" s="2">
        <v>30</v>
      </c>
      <c r="T227" s="5">
        <v>14</v>
      </c>
      <c r="U227" s="5">
        <v>25</v>
      </c>
      <c r="V227" s="5">
        <f t="shared" si="67"/>
        <v>39</v>
      </c>
      <c r="W227" s="4">
        <v>20</v>
      </c>
      <c r="X227">
        <f>O227/N227</f>
        <v>0.8</v>
      </c>
      <c r="Y227">
        <f>T227/S227</f>
        <v>0.46666666666666667</v>
      </c>
      <c r="Z227">
        <f>X227-Y227</f>
        <v>0.33333333333333337</v>
      </c>
      <c r="AA227">
        <f>P227/N227</f>
        <v>1</v>
      </c>
      <c r="AB227">
        <f>U227/S227</f>
        <v>0.83333333333333337</v>
      </c>
      <c r="AC227">
        <f>AA227-AB227</f>
        <v>0.16666666666666663</v>
      </c>
      <c r="AD227">
        <f>Q227/N227</f>
        <v>1.8</v>
      </c>
      <c r="AE227">
        <f>V227/S227</f>
        <v>1.3</v>
      </c>
      <c r="AF227">
        <f>AD227-AE227</f>
        <v>0.5</v>
      </c>
      <c r="AG227">
        <v>0</v>
      </c>
      <c r="AH227" s="14">
        <v>6.5944055944055942</v>
      </c>
      <c r="AI227" s="14">
        <v>29.38811188811189</v>
      </c>
      <c r="AJ227" s="14">
        <v>35.98251748251748</v>
      </c>
      <c r="AK227" s="14">
        <v>27.954545454545457</v>
      </c>
      <c r="AL227" s="3" t="s">
        <v>603</v>
      </c>
      <c r="AM227" s="22">
        <v>28</v>
      </c>
      <c r="AN227" s="22">
        <v>827</v>
      </c>
      <c r="AO227">
        <f t="shared" si="72"/>
        <v>3.3857315598548973E-2</v>
      </c>
    </row>
    <row r="228" spans="1:41">
      <c r="A228" t="s">
        <v>188</v>
      </c>
      <c r="B228" t="s">
        <v>201</v>
      </c>
      <c r="C228">
        <v>15</v>
      </c>
      <c r="D228" t="s">
        <v>35</v>
      </c>
      <c r="E228">
        <v>6</v>
      </c>
      <c r="F228">
        <v>2</v>
      </c>
      <c r="G228" s="1">
        <f t="shared" si="64"/>
        <v>74</v>
      </c>
      <c r="H228">
        <v>217</v>
      </c>
      <c r="I228">
        <v>1994</v>
      </c>
      <c r="J228">
        <v>2013</v>
      </c>
      <c r="K228" s="1">
        <f t="shared" si="65"/>
        <v>19</v>
      </c>
      <c r="L228" t="s">
        <v>42</v>
      </c>
      <c r="M228" t="s">
        <v>43</v>
      </c>
      <c r="N228" s="2">
        <v>62</v>
      </c>
      <c r="O228" s="5">
        <v>14</v>
      </c>
      <c r="P228" s="5">
        <v>31</v>
      </c>
      <c r="Q228" s="5">
        <f t="shared" si="66"/>
        <v>45</v>
      </c>
      <c r="R228" s="4">
        <v>22</v>
      </c>
      <c r="S228" s="2">
        <v>77</v>
      </c>
      <c r="T228" s="5">
        <v>20</v>
      </c>
      <c r="U228" s="5">
        <v>42</v>
      </c>
      <c r="V228" s="5">
        <f t="shared" si="67"/>
        <v>62</v>
      </c>
      <c r="W228" s="4">
        <v>20</v>
      </c>
      <c r="X228">
        <f>O228/N228</f>
        <v>0.22580645161290322</v>
      </c>
      <c r="Y228">
        <f>T228/S228</f>
        <v>0.25974025974025972</v>
      </c>
      <c r="Z228">
        <f>X228-Y228</f>
        <v>-3.3933808127356496E-2</v>
      </c>
      <c r="AA228">
        <f>P228/N228</f>
        <v>0.5</v>
      </c>
      <c r="AB228">
        <f>U228/S228</f>
        <v>0.54545454545454541</v>
      </c>
      <c r="AC228">
        <f>AA228-AB228</f>
        <v>-4.5454545454545414E-2</v>
      </c>
      <c r="AD228">
        <f>Q228/N228</f>
        <v>0.72580645161290325</v>
      </c>
      <c r="AE228">
        <f>V228/S228</f>
        <v>0.80519480519480524</v>
      </c>
      <c r="AF228">
        <f>AD228-AE228</f>
        <v>-7.9388353581901994E-2</v>
      </c>
      <c r="AG228">
        <v>0</v>
      </c>
      <c r="AH228" s="14">
        <v>10.637837837837839</v>
      </c>
      <c r="AI228" s="14">
        <v>25.264864864864865</v>
      </c>
      <c r="AJ228" s="14">
        <v>35.902702702702705</v>
      </c>
      <c r="AK228" s="14">
        <v>19.945945945945947</v>
      </c>
      <c r="AL228" s="3" t="s">
        <v>599</v>
      </c>
      <c r="AM228" s="22">
        <v>28</v>
      </c>
      <c r="AN228" s="22">
        <v>249</v>
      </c>
      <c r="AO228">
        <f t="shared" si="72"/>
        <v>0.11244979919678715</v>
      </c>
    </row>
    <row r="229" spans="1:41">
      <c r="A229" t="s">
        <v>169</v>
      </c>
      <c r="B229" t="s">
        <v>176</v>
      </c>
      <c r="C229">
        <v>168</v>
      </c>
      <c r="D229" t="s">
        <v>65</v>
      </c>
      <c r="E229">
        <v>6</v>
      </c>
      <c r="F229">
        <v>0</v>
      </c>
      <c r="G229" s="1">
        <f t="shared" si="64"/>
        <v>72</v>
      </c>
      <c r="H229">
        <v>186</v>
      </c>
      <c r="I229">
        <v>1988</v>
      </c>
      <c r="J229">
        <v>2007</v>
      </c>
      <c r="K229" s="1">
        <f t="shared" si="65"/>
        <v>19</v>
      </c>
      <c r="L229" t="s">
        <v>41</v>
      </c>
      <c r="M229" t="s">
        <v>44</v>
      </c>
      <c r="N229" s="2">
        <v>40</v>
      </c>
      <c r="O229" s="5">
        <v>24</v>
      </c>
      <c r="P229" s="5">
        <v>31</v>
      </c>
      <c r="Q229" s="5">
        <f t="shared" si="66"/>
        <v>55</v>
      </c>
      <c r="R229" s="4">
        <v>42</v>
      </c>
      <c r="S229" s="2">
        <v>48</v>
      </c>
      <c r="T229" s="5">
        <v>24</v>
      </c>
      <c r="U229" s="5">
        <v>28</v>
      </c>
      <c r="V229" s="5">
        <f t="shared" si="67"/>
        <v>52</v>
      </c>
      <c r="W229" s="4">
        <v>44</v>
      </c>
      <c r="X229">
        <f>O229/N229</f>
        <v>0.6</v>
      </c>
      <c r="Y229">
        <f>T229/S229</f>
        <v>0.5</v>
      </c>
      <c r="Z229">
        <f>X229-Y229</f>
        <v>9.9999999999999978E-2</v>
      </c>
      <c r="AA229">
        <f>P229/N229</f>
        <v>0.77500000000000002</v>
      </c>
      <c r="AB229">
        <f>U229/S229</f>
        <v>0.58333333333333337</v>
      </c>
      <c r="AC229">
        <f>AA229-AB229</f>
        <v>0.19166666666666665</v>
      </c>
      <c r="AD229">
        <f>Q229/N229</f>
        <v>1.375</v>
      </c>
      <c r="AE229">
        <f>V229/S229</f>
        <v>1.0833333333333333</v>
      </c>
      <c r="AF229">
        <f>AD229-AE229</f>
        <v>0.29166666666666674</v>
      </c>
      <c r="AG229">
        <v>0</v>
      </c>
      <c r="AH229" s="14">
        <v>13.545293072824157</v>
      </c>
      <c r="AI229" s="14">
        <v>22.284191829484904</v>
      </c>
      <c r="AJ229" s="14">
        <v>35.829484902309062</v>
      </c>
      <c r="AK229" s="14">
        <v>34.955595026642982</v>
      </c>
      <c r="AL229" s="5" t="s">
        <v>65</v>
      </c>
    </row>
    <row r="230" spans="1:41">
      <c r="A230" t="s">
        <v>576</v>
      </c>
      <c r="B230" t="s">
        <v>582</v>
      </c>
      <c r="C230">
        <v>57</v>
      </c>
      <c r="D230" t="s">
        <v>65</v>
      </c>
      <c r="E230">
        <v>6</v>
      </c>
      <c r="F230">
        <v>0</v>
      </c>
      <c r="G230" s="1">
        <f t="shared" si="64"/>
        <v>72</v>
      </c>
      <c r="H230">
        <v>201</v>
      </c>
      <c r="I230">
        <v>1997</v>
      </c>
      <c r="J230">
        <v>2016</v>
      </c>
      <c r="K230" s="1">
        <f t="shared" si="65"/>
        <v>19</v>
      </c>
      <c r="L230" t="s">
        <v>41</v>
      </c>
      <c r="M230" t="s">
        <v>44</v>
      </c>
      <c r="N230" s="2">
        <v>50</v>
      </c>
      <c r="O230" s="5">
        <v>7</v>
      </c>
      <c r="P230" s="5">
        <v>9</v>
      </c>
      <c r="Q230" s="5">
        <f t="shared" si="66"/>
        <v>16</v>
      </c>
      <c r="R230" s="4">
        <v>53</v>
      </c>
      <c r="S230" s="2">
        <v>31</v>
      </c>
      <c r="T230" s="5">
        <v>24</v>
      </c>
      <c r="U230" s="5">
        <v>18</v>
      </c>
      <c r="V230" s="5">
        <f t="shared" si="67"/>
        <v>42</v>
      </c>
      <c r="W230" s="4">
        <v>55</v>
      </c>
      <c r="AG230">
        <v>0</v>
      </c>
      <c r="AH230" s="14">
        <v>17.826086956521738</v>
      </c>
      <c r="AI230" s="14">
        <v>17.826086956521738</v>
      </c>
      <c r="AJ230" s="14">
        <v>35.652173913043477</v>
      </c>
      <c r="AK230" s="14">
        <v>35.652173913043477</v>
      </c>
      <c r="AL230" s="5" t="s">
        <v>618</v>
      </c>
    </row>
    <row r="231" spans="1:41">
      <c r="A231" t="s">
        <v>188</v>
      </c>
      <c r="B231" t="s">
        <v>197</v>
      </c>
      <c r="C231">
        <v>16</v>
      </c>
      <c r="D231" t="s">
        <v>34</v>
      </c>
      <c r="E231">
        <v>6</v>
      </c>
      <c r="F231">
        <v>0</v>
      </c>
      <c r="G231" s="1">
        <f t="shared" si="64"/>
        <v>72</v>
      </c>
      <c r="H231">
        <v>207</v>
      </c>
      <c r="I231">
        <v>1991</v>
      </c>
      <c r="J231">
        <v>2009</v>
      </c>
      <c r="K231" s="1">
        <f t="shared" si="65"/>
        <v>18</v>
      </c>
      <c r="L231" t="s">
        <v>42</v>
      </c>
      <c r="M231" t="s">
        <v>44</v>
      </c>
      <c r="N231" s="2">
        <v>55</v>
      </c>
      <c r="O231" s="5">
        <v>21</v>
      </c>
      <c r="P231" s="5">
        <v>44</v>
      </c>
      <c r="Q231" s="5">
        <f t="shared" si="66"/>
        <v>65</v>
      </c>
      <c r="R231" s="4">
        <v>26</v>
      </c>
      <c r="S231" s="2">
        <v>31</v>
      </c>
      <c r="T231" s="5">
        <v>6</v>
      </c>
      <c r="U231" s="5">
        <v>24</v>
      </c>
      <c r="V231" s="5">
        <f t="shared" si="67"/>
        <v>30</v>
      </c>
      <c r="W231" s="4">
        <v>14</v>
      </c>
      <c r="X231">
        <f>O231/N231</f>
        <v>0.38181818181818183</v>
      </c>
      <c r="Y231">
        <f>T231/S231</f>
        <v>0.19354838709677419</v>
      </c>
      <c r="Z231">
        <f>X231-Y231</f>
        <v>0.18826979472140765</v>
      </c>
      <c r="AA231">
        <f>P231/N231</f>
        <v>0.8</v>
      </c>
      <c r="AB231">
        <f>U231/S231</f>
        <v>0.77419354838709675</v>
      </c>
      <c r="AC231">
        <f>AA231-AB231</f>
        <v>2.5806451612903292E-2</v>
      </c>
      <c r="AD231">
        <f>Q231/N231</f>
        <v>1.1818181818181819</v>
      </c>
      <c r="AE231">
        <f>V231/S231</f>
        <v>0.967741935483871</v>
      </c>
      <c r="AF231">
        <f>AD231-AE231</f>
        <v>0.21407624633431088</v>
      </c>
      <c r="AG231">
        <v>0</v>
      </c>
      <c r="AH231" s="14">
        <v>7.5318518518518518</v>
      </c>
      <c r="AI231" s="14">
        <v>28.062222222222221</v>
      </c>
      <c r="AJ231" s="14">
        <v>35.594074074074072</v>
      </c>
      <c r="AK231" s="14">
        <v>15.428148148148148</v>
      </c>
      <c r="AL231" s="3" t="s">
        <v>603</v>
      </c>
      <c r="AM231" s="22">
        <v>28</v>
      </c>
      <c r="AN231" s="22">
        <v>146</v>
      </c>
      <c r="AO231">
        <f t="shared" ref="AO231:AO234" si="73">AM231/AN231</f>
        <v>0.19178082191780821</v>
      </c>
    </row>
    <row r="232" spans="1:41">
      <c r="A232" t="s">
        <v>188</v>
      </c>
      <c r="B232" t="s">
        <v>202</v>
      </c>
      <c r="C232">
        <v>108</v>
      </c>
      <c r="D232" t="s">
        <v>35</v>
      </c>
      <c r="E232">
        <v>6</v>
      </c>
      <c r="F232">
        <v>1</v>
      </c>
      <c r="G232" s="1">
        <f t="shared" si="64"/>
        <v>73</v>
      </c>
      <c r="H232">
        <v>191</v>
      </c>
      <c r="I232">
        <v>1994</v>
      </c>
      <c r="J232">
        <v>2014</v>
      </c>
      <c r="K232" s="1">
        <f t="shared" si="65"/>
        <v>20</v>
      </c>
      <c r="L232" t="s">
        <v>42</v>
      </c>
      <c r="M232" t="s">
        <v>44</v>
      </c>
      <c r="N232" s="2">
        <v>37</v>
      </c>
      <c r="O232" s="5">
        <v>1</v>
      </c>
      <c r="P232" s="5">
        <v>16</v>
      </c>
      <c r="Q232" s="5">
        <f t="shared" si="66"/>
        <v>17</v>
      </c>
      <c r="R232" s="4">
        <v>10</v>
      </c>
      <c r="S232" s="2">
        <v>48</v>
      </c>
      <c r="T232" s="5">
        <v>10</v>
      </c>
      <c r="U232" s="5">
        <v>37</v>
      </c>
      <c r="V232" s="5">
        <f t="shared" si="67"/>
        <v>47</v>
      </c>
      <c r="W232" s="4">
        <v>55</v>
      </c>
      <c r="X232">
        <f>O232/N232</f>
        <v>2.7027027027027029E-2</v>
      </c>
      <c r="Y232">
        <f>T232/S232</f>
        <v>0.20833333333333334</v>
      </c>
      <c r="Z232">
        <f>X232-Y232</f>
        <v>-0.18130630630630631</v>
      </c>
      <c r="AA232">
        <f>P232/N232</f>
        <v>0.43243243243243246</v>
      </c>
      <c r="AB232">
        <f>U232/S232</f>
        <v>0.77083333333333337</v>
      </c>
      <c r="AC232">
        <f>AA232-AB232</f>
        <v>-0.33840090090090091</v>
      </c>
      <c r="AD232">
        <f>Q232/N232</f>
        <v>0.45945945945945948</v>
      </c>
      <c r="AE232">
        <f>V232/S232</f>
        <v>0.97916666666666663</v>
      </c>
      <c r="AF232">
        <f>AD232-AE232</f>
        <v>-0.51970720720720709</v>
      </c>
      <c r="AG232">
        <v>0</v>
      </c>
      <c r="AH232" s="14">
        <v>8.567164179104477</v>
      </c>
      <c r="AI232" s="14">
        <v>26.925373134328357</v>
      </c>
      <c r="AJ232" s="14">
        <v>35.492537313432834</v>
      </c>
      <c r="AK232" s="14">
        <v>12.238805970149254</v>
      </c>
      <c r="AL232" s="3" t="s">
        <v>633</v>
      </c>
      <c r="AM232" s="22">
        <v>28</v>
      </c>
      <c r="AN232" s="22">
        <v>347</v>
      </c>
      <c r="AO232">
        <f t="shared" si="73"/>
        <v>8.069164265129683E-2</v>
      </c>
    </row>
    <row r="233" spans="1:41">
      <c r="A233" s="6" t="s">
        <v>17</v>
      </c>
      <c r="B233" t="s">
        <v>23</v>
      </c>
      <c r="C233">
        <v>56</v>
      </c>
      <c r="D233" t="s">
        <v>36</v>
      </c>
      <c r="E233">
        <v>6</v>
      </c>
      <c r="F233">
        <v>9</v>
      </c>
      <c r="G233" s="1">
        <f t="shared" si="64"/>
        <v>81</v>
      </c>
      <c r="H233">
        <v>250</v>
      </c>
      <c r="I233">
        <v>1977</v>
      </c>
      <c r="J233">
        <v>1996</v>
      </c>
      <c r="K233" s="1">
        <f t="shared" si="65"/>
        <v>19</v>
      </c>
      <c r="L233" t="s">
        <v>42</v>
      </c>
      <c r="M233" t="s">
        <v>44</v>
      </c>
      <c r="N233" s="2">
        <f>22+10+15+1</f>
        <v>48</v>
      </c>
      <c r="O233" s="3">
        <f>3</f>
        <v>3</v>
      </c>
      <c r="P233" s="5">
        <v>18</v>
      </c>
      <c r="Q233" s="3">
        <f t="shared" si="66"/>
        <v>21</v>
      </c>
      <c r="R233" s="4">
        <v>132</v>
      </c>
      <c r="S233" s="2">
        <v>32</v>
      </c>
      <c r="T233" s="5">
        <v>22</v>
      </c>
      <c r="U233" s="5">
        <v>22</v>
      </c>
      <c r="V233" s="3">
        <f t="shared" si="67"/>
        <v>44</v>
      </c>
      <c r="W233" s="4">
        <v>113</v>
      </c>
      <c r="X233">
        <f>O233/N233</f>
        <v>6.25E-2</v>
      </c>
      <c r="Y233">
        <f>T233/S233</f>
        <v>0.6875</v>
      </c>
      <c r="Z233">
        <f>X233-Y233</f>
        <v>-0.625</v>
      </c>
      <c r="AA233">
        <f>P233/N233</f>
        <v>0.375</v>
      </c>
      <c r="AB233">
        <f>U233/S233</f>
        <v>0.6875</v>
      </c>
      <c r="AC233">
        <f>AA233-AB233</f>
        <v>-0.3125</v>
      </c>
      <c r="AD233">
        <f>Q233/N233</f>
        <v>0.4375</v>
      </c>
      <c r="AE233">
        <f>V233/S233</f>
        <v>1.375</v>
      </c>
      <c r="AF233">
        <f>AD233-AE233</f>
        <v>-0.9375</v>
      </c>
      <c r="AG233">
        <v>0</v>
      </c>
      <c r="AH233" s="14">
        <v>11.10019907100199</v>
      </c>
      <c r="AI233" s="14">
        <v>24.322495023224949</v>
      </c>
      <c r="AJ233" s="14">
        <v>35.422694094226941</v>
      </c>
      <c r="AK233" s="14">
        <v>104.03715992037159</v>
      </c>
      <c r="AL233" s="5" t="s">
        <v>599</v>
      </c>
      <c r="AM233" s="22">
        <v>26</v>
      </c>
      <c r="AN233" s="22">
        <v>235</v>
      </c>
      <c r="AO233">
        <f t="shared" si="73"/>
        <v>0.11063829787234042</v>
      </c>
    </row>
    <row r="234" spans="1:41">
      <c r="A234" t="s">
        <v>510</v>
      </c>
      <c r="B234" t="s">
        <v>522</v>
      </c>
      <c r="C234">
        <v>26</v>
      </c>
      <c r="D234" t="s">
        <v>35</v>
      </c>
      <c r="E234">
        <v>6</v>
      </c>
      <c r="F234">
        <v>2</v>
      </c>
      <c r="G234" s="1">
        <f t="shared" si="64"/>
        <v>74</v>
      </c>
      <c r="H234">
        <v>195</v>
      </c>
      <c r="I234">
        <v>1995</v>
      </c>
      <c r="J234">
        <v>2013</v>
      </c>
      <c r="K234" s="1">
        <f t="shared" si="65"/>
        <v>18</v>
      </c>
      <c r="L234" t="s">
        <v>42</v>
      </c>
      <c r="M234" t="s">
        <v>44</v>
      </c>
      <c r="N234" s="2">
        <v>71</v>
      </c>
      <c r="O234" s="5">
        <v>19</v>
      </c>
      <c r="P234" s="5">
        <v>31</v>
      </c>
      <c r="Q234" s="5">
        <f t="shared" si="66"/>
        <v>50</v>
      </c>
      <c r="R234" s="4">
        <v>32</v>
      </c>
      <c r="S234" s="2">
        <v>69</v>
      </c>
      <c r="T234" s="5">
        <v>4</v>
      </c>
      <c r="U234" s="5">
        <v>31</v>
      </c>
      <c r="V234" s="5">
        <f t="shared" si="67"/>
        <v>35</v>
      </c>
      <c r="W234" s="4">
        <v>30</v>
      </c>
      <c r="AG234">
        <v>0</v>
      </c>
      <c r="AH234" s="14">
        <v>9.4036697247706424</v>
      </c>
      <c r="AI234" s="14">
        <v>25.954128440366976</v>
      </c>
      <c r="AJ234" s="14">
        <v>35.357798165137616</v>
      </c>
      <c r="AK234" s="14">
        <v>26.330275229357799</v>
      </c>
      <c r="AL234" s="3" t="s">
        <v>599</v>
      </c>
      <c r="AM234" s="22">
        <v>23</v>
      </c>
      <c r="AN234" s="22">
        <v>417</v>
      </c>
      <c r="AO234">
        <f t="shared" si="73"/>
        <v>5.5155875299760189E-2</v>
      </c>
    </row>
    <row r="235" spans="1:41">
      <c r="A235" t="s">
        <v>188</v>
      </c>
      <c r="B235" t="s">
        <v>395</v>
      </c>
      <c r="C235">
        <v>28</v>
      </c>
      <c r="D235" t="s">
        <v>35</v>
      </c>
      <c r="E235">
        <v>5</v>
      </c>
      <c r="F235">
        <v>11</v>
      </c>
      <c r="G235" s="1">
        <f t="shared" si="64"/>
        <v>71</v>
      </c>
      <c r="H235">
        <v>182</v>
      </c>
      <c r="I235">
        <v>1997</v>
      </c>
      <c r="J235">
        <v>2015</v>
      </c>
      <c r="K235" s="1">
        <f t="shared" si="65"/>
        <v>18</v>
      </c>
      <c r="L235" t="s">
        <v>41</v>
      </c>
      <c r="M235" t="s">
        <v>44</v>
      </c>
      <c r="N235" s="2">
        <f>67+2+6+3+3</f>
        <v>81</v>
      </c>
      <c r="O235" s="3">
        <f>42+3+2</f>
        <v>47</v>
      </c>
      <c r="P235" s="3">
        <f>52+1</f>
        <v>53</v>
      </c>
      <c r="Q235" s="5">
        <f t="shared" si="66"/>
        <v>100</v>
      </c>
      <c r="R235" s="4">
        <f>72+2+2+2</f>
        <v>78</v>
      </c>
      <c r="S235" s="2">
        <f>70</f>
        <v>70</v>
      </c>
      <c r="T235" s="5">
        <v>11</v>
      </c>
      <c r="U235" s="5">
        <v>26</v>
      </c>
      <c r="V235" s="5">
        <f t="shared" si="67"/>
        <v>37</v>
      </c>
      <c r="W235" s="4">
        <v>32</v>
      </c>
      <c r="X235">
        <f>O235/N235</f>
        <v>0.58024691358024694</v>
      </c>
      <c r="Y235">
        <f>T235/S235</f>
        <v>0.15714285714285714</v>
      </c>
      <c r="Z235">
        <f>X235-Y235</f>
        <v>0.4231040564373898</v>
      </c>
      <c r="AA235">
        <f>P235/N235</f>
        <v>0.65432098765432101</v>
      </c>
      <c r="AB235">
        <f>U235/S235</f>
        <v>0.37142857142857144</v>
      </c>
      <c r="AC235">
        <f>AA235-AB235</f>
        <v>0.28289241622574957</v>
      </c>
      <c r="AD235">
        <f>Q235/N235</f>
        <v>1.2345679012345678</v>
      </c>
      <c r="AE235">
        <f>V235/S235</f>
        <v>0.52857142857142858</v>
      </c>
      <c r="AF235">
        <f>AD235-AE235</f>
        <v>0.70599647266313925</v>
      </c>
      <c r="AG235">
        <v>0</v>
      </c>
      <c r="AH235" s="14">
        <v>19.029535864978904</v>
      </c>
      <c r="AI235" s="14">
        <v>16.261603375527425</v>
      </c>
      <c r="AJ235" s="14">
        <v>35.291139240506325</v>
      </c>
      <c r="AK235" s="14">
        <v>13.147679324894515</v>
      </c>
      <c r="AL235" s="3" t="s">
        <v>614</v>
      </c>
    </row>
    <row r="236" spans="1:41">
      <c r="A236" t="s">
        <v>478</v>
      </c>
      <c r="B236" t="s">
        <v>489</v>
      </c>
      <c r="C236">
        <v>169</v>
      </c>
      <c r="D236" t="s">
        <v>34</v>
      </c>
      <c r="E236">
        <v>5</v>
      </c>
      <c r="F236">
        <v>9</v>
      </c>
      <c r="G236" s="1">
        <f t="shared" si="64"/>
        <v>69</v>
      </c>
      <c r="H236">
        <v>173</v>
      </c>
      <c r="I236">
        <v>1994</v>
      </c>
      <c r="J236">
        <v>2012</v>
      </c>
      <c r="K236" s="1">
        <f t="shared" si="65"/>
        <v>18</v>
      </c>
      <c r="L236" t="s">
        <v>41</v>
      </c>
      <c r="M236" t="s">
        <v>43</v>
      </c>
      <c r="N236" s="2">
        <v>55</v>
      </c>
      <c r="O236" s="5">
        <v>20</v>
      </c>
      <c r="P236" s="5">
        <v>24</v>
      </c>
      <c r="Q236" s="5">
        <f t="shared" si="66"/>
        <v>44</v>
      </c>
      <c r="R236" s="4">
        <v>56</v>
      </c>
      <c r="S236" s="2">
        <v>50</v>
      </c>
      <c r="T236" s="5">
        <v>8</v>
      </c>
      <c r="U236" s="5">
        <v>14</v>
      </c>
      <c r="V236" s="5">
        <f t="shared" si="67"/>
        <v>22</v>
      </c>
      <c r="W236" s="4">
        <v>36</v>
      </c>
      <c r="AG236">
        <v>0</v>
      </c>
      <c r="AH236" s="14">
        <v>13.054726368159203</v>
      </c>
      <c r="AI236" s="14">
        <v>21.621890547263682</v>
      </c>
      <c r="AJ236" s="14">
        <v>34.676616915422883</v>
      </c>
      <c r="AK236" s="14">
        <v>20.805970149253731</v>
      </c>
      <c r="AL236" s="3" t="s">
        <v>608</v>
      </c>
    </row>
    <row r="237" spans="1:41">
      <c r="A237" t="s">
        <v>430</v>
      </c>
      <c r="B237" t="s">
        <v>440</v>
      </c>
      <c r="C237">
        <v>14</v>
      </c>
      <c r="D237" t="s">
        <v>35</v>
      </c>
      <c r="E237">
        <v>6</v>
      </c>
      <c r="F237">
        <v>3</v>
      </c>
      <c r="G237" s="1">
        <f t="shared" si="64"/>
        <v>75</v>
      </c>
      <c r="H237">
        <v>220</v>
      </c>
      <c r="I237">
        <v>1985</v>
      </c>
      <c r="J237">
        <v>2003</v>
      </c>
      <c r="K237" s="1">
        <f t="shared" si="65"/>
        <v>18</v>
      </c>
      <c r="L237" t="s">
        <v>42</v>
      </c>
      <c r="M237" t="s">
        <v>43</v>
      </c>
      <c r="N237" s="2">
        <v>76</v>
      </c>
      <c r="O237" s="5">
        <v>12</v>
      </c>
      <c r="P237" s="5">
        <v>36</v>
      </c>
      <c r="Q237" s="5">
        <f t="shared" si="66"/>
        <v>48</v>
      </c>
      <c r="R237" s="4">
        <v>117</v>
      </c>
      <c r="S237" s="2">
        <v>67</v>
      </c>
      <c r="T237" s="5">
        <v>6</v>
      </c>
      <c r="U237" s="5">
        <v>33</v>
      </c>
      <c r="V237" s="5">
        <f t="shared" si="67"/>
        <v>39</v>
      </c>
      <c r="W237" s="4">
        <v>70</v>
      </c>
      <c r="AG237">
        <v>0</v>
      </c>
      <c r="AH237" s="14">
        <v>7.664246823956443</v>
      </c>
      <c r="AI237" s="14">
        <v>26.862068965517242</v>
      </c>
      <c r="AJ237" s="14">
        <v>34.526315789473685</v>
      </c>
      <c r="AK237" s="14">
        <v>48.887477313974593</v>
      </c>
      <c r="AL237" s="3" t="s">
        <v>599</v>
      </c>
      <c r="AM237" s="22">
        <v>23</v>
      </c>
      <c r="AN237" s="22">
        <v>80</v>
      </c>
      <c r="AO237">
        <f t="shared" ref="AO237:AO238" si="74">AM237/AN237</f>
        <v>0.28749999999999998</v>
      </c>
    </row>
    <row r="238" spans="1:41">
      <c r="A238" t="s">
        <v>445</v>
      </c>
      <c r="B238" t="s">
        <v>455</v>
      </c>
      <c r="C238">
        <v>156</v>
      </c>
      <c r="D238" t="s">
        <v>35</v>
      </c>
      <c r="E238">
        <v>5</v>
      </c>
      <c r="F238">
        <v>9</v>
      </c>
      <c r="G238" s="1">
        <f t="shared" si="64"/>
        <v>69</v>
      </c>
      <c r="H238">
        <v>167</v>
      </c>
      <c r="I238">
        <v>1989</v>
      </c>
      <c r="J238">
        <v>2008</v>
      </c>
      <c r="K238" s="1">
        <f t="shared" si="65"/>
        <v>19</v>
      </c>
      <c r="L238" t="s">
        <v>42</v>
      </c>
      <c r="M238" t="s">
        <v>43</v>
      </c>
      <c r="N238" s="2">
        <v>69</v>
      </c>
      <c r="O238" s="5">
        <v>12</v>
      </c>
      <c r="P238" s="5">
        <v>31</v>
      </c>
      <c r="Q238" s="5">
        <f t="shared" si="66"/>
        <v>43</v>
      </c>
      <c r="R238" s="4">
        <v>19</v>
      </c>
      <c r="S238" s="2">
        <v>38</v>
      </c>
      <c r="T238" s="5">
        <v>4</v>
      </c>
      <c r="U238" s="5">
        <v>15</v>
      </c>
      <c r="V238" s="5">
        <f t="shared" si="67"/>
        <v>19</v>
      </c>
      <c r="W238" s="4">
        <v>16</v>
      </c>
      <c r="AG238">
        <v>0</v>
      </c>
      <c r="AH238" s="14">
        <v>9.6313213703099514</v>
      </c>
      <c r="AI238" s="14">
        <v>24.880913539967374</v>
      </c>
      <c r="AJ238" s="14">
        <v>34.512234910277321</v>
      </c>
      <c r="AK238" s="14">
        <v>13.64437194127243</v>
      </c>
      <c r="AL238" s="5" t="s">
        <v>599</v>
      </c>
      <c r="AM238" s="22">
        <v>23</v>
      </c>
      <c r="AN238" s="22">
        <v>297</v>
      </c>
      <c r="AO238">
        <f t="shared" si="74"/>
        <v>7.7441077441077436E-2</v>
      </c>
    </row>
    <row r="239" spans="1:41">
      <c r="A239" t="s">
        <v>445</v>
      </c>
      <c r="B239" t="s">
        <v>447</v>
      </c>
      <c r="C239">
        <v>56</v>
      </c>
      <c r="D239" t="s">
        <v>34</v>
      </c>
      <c r="E239">
        <v>6</v>
      </c>
      <c r="F239">
        <v>0</v>
      </c>
      <c r="G239" s="1">
        <f t="shared" si="64"/>
        <v>72</v>
      </c>
      <c r="H239">
        <v>193</v>
      </c>
      <c r="I239">
        <v>1996</v>
      </c>
      <c r="J239">
        <v>2014</v>
      </c>
      <c r="K239" s="1">
        <f t="shared" si="65"/>
        <v>18</v>
      </c>
      <c r="L239" t="s">
        <v>41</v>
      </c>
      <c r="M239" t="s">
        <v>44</v>
      </c>
      <c r="N239" s="2">
        <v>43</v>
      </c>
      <c r="O239" s="5">
        <v>46</v>
      </c>
      <c r="P239" s="5">
        <v>50</v>
      </c>
      <c r="Q239" s="5">
        <f t="shared" si="66"/>
        <v>96</v>
      </c>
      <c r="R239" s="4">
        <v>33</v>
      </c>
      <c r="S239" s="2">
        <v>40</v>
      </c>
      <c r="T239" s="5">
        <v>47</v>
      </c>
      <c r="U239" s="5">
        <v>45</v>
      </c>
      <c r="V239" s="5">
        <f t="shared" si="67"/>
        <v>92</v>
      </c>
      <c r="W239" s="4">
        <v>6</v>
      </c>
      <c r="AG239">
        <v>0</v>
      </c>
      <c r="AH239" s="14">
        <v>14.909090909090908</v>
      </c>
      <c r="AI239" s="14">
        <v>19.568181818181817</v>
      </c>
      <c r="AJ239" s="14">
        <v>34.477272727272727</v>
      </c>
      <c r="AK239" s="14">
        <v>9.3181818181818183</v>
      </c>
      <c r="AL239" s="3" t="s">
        <v>612</v>
      </c>
    </row>
    <row r="240" spans="1:41">
      <c r="A240" s="6" t="s">
        <v>49</v>
      </c>
      <c r="B240" t="s">
        <v>55</v>
      </c>
      <c r="C240">
        <v>22</v>
      </c>
      <c r="D240" t="s">
        <v>38</v>
      </c>
      <c r="E240">
        <v>6</v>
      </c>
      <c r="F240">
        <v>1</v>
      </c>
      <c r="G240" s="1">
        <f t="shared" si="64"/>
        <v>73</v>
      </c>
      <c r="H240">
        <v>192</v>
      </c>
      <c r="I240">
        <v>1996</v>
      </c>
      <c r="J240">
        <v>2014</v>
      </c>
      <c r="K240" s="1">
        <f t="shared" si="65"/>
        <v>18</v>
      </c>
      <c r="L240" t="s">
        <v>41</v>
      </c>
      <c r="M240" t="s">
        <v>43</v>
      </c>
      <c r="N240" s="2">
        <f>47+2+5+6+10+5+5</f>
        <v>80</v>
      </c>
      <c r="O240" s="3">
        <f>1+1+2+3+1+5+7</f>
        <v>20</v>
      </c>
      <c r="P240" s="3">
        <f>7+1+1+0+1+0+1</f>
        <v>11</v>
      </c>
      <c r="Q240" s="3">
        <f t="shared" si="66"/>
        <v>31</v>
      </c>
      <c r="R240" s="4">
        <f>10+16</f>
        <v>26</v>
      </c>
      <c r="S240" s="2">
        <f>13+3+36+5+4+7+8</f>
        <v>76</v>
      </c>
      <c r="T240" s="3">
        <f>4+3+14+3+1+5+1</f>
        <v>31</v>
      </c>
      <c r="U240" s="3">
        <f>0+3+15+6+1+3+1</f>
        <v>29</v>
      </c>
      <c r="V240" s="3">
        <f t="shared" si="67"/>
        <v>60</v>
      </c>
      <c r="W240" s="4">
        <f>2+0+16+4+0+4+15</f>
        <v>41</v>
      </c>
      <c r="X240">
        <f>O240/N240</f>
        <v>0.25</v>
      </c>
      <c r="Y240">
        <f>T240/S240</f>
        <v>0.40789473684210525</v>
      </c>
      <c r="Z240">
        <f>X240-Y240</f>
        <v>-0.15789473684210525</v>
      </c>
      <c r="AA240">
        <f>P240/N240</f>
        <v>0.13750000000000001</v>
      </c>
      <c r="AB240">
        <f>U240/S240</f>
        <v>0.38157894736842107</v>
      </c>
      <c r="AC240">
        <f>AA240-AB240</f>
        <v>-0.24407894736842106</v>
      </c>
      <c r="AD240">
        <f>Q240/N240</f>
        <v>0.38750000000000001</v>
      </c>
      <c r="AE240">
        <f>V240/S240</f>
        <v>0.78947368421052633</v>
      </c>
      <c r="AF240">
        <f>AD240-AE240</f>
        <v>-0.40197368421052632</v>
      </c>
      <c r="AG240">
        <v>0</v>
      </c>
      <c r="AH240" s="14">
        <v>17.757961783439491</v>
      </c>
      <c r="AI240" s="14">
        <v>16.713375796178344</v>
      </c>
      <c r="AJ240" s="14">
        <v>34.471337579617831</v>
      </c>
      <c r="AK240" s="14">
        <v>19.32484076433121</v>
      </c>
      <c r="AL240" s="5" t="s">
        <v>615</v>
      </c>
    </row>
    <row r="241" spans="1:41">
      <c r="A241" t="s">
        <v>220</v>
      </c>
      <c r="B241" t="s">
        <v>228</v>
      </c>
      <c r="C241">
        <v>7</v>
      </c>
      <c r="D241" t="s">
        <v>66</v>
      </c>
      <c r="E241">
        <v>6</v>
      </c>
      <c r="F241">
        <v>1</v>
      </c>
      <c r="G241" s="1">
        <f t="shared" si="64"/>
        <v>73</v>
      </c>
      <c r="H241">
        <v>201</v>
      </c>
      <c r="I241">
        <v>1997</v>
      </c>
      <c r="J241">
        <v>2015</v>
      </c>
      <c r="K241" s="1">
        <f t="shared" si="65"/>
        <v>18</v>
      </c>
      <c r="L241" t="s">
        <v>42</v>
      </c>
      <c r="M241" t="s">
        <v>44</v>
      </c>
      <c r="N241" s="2">
        <v>79</v>
      </c>
      <c r="O241" s="5">
        <v>15</v>
      </c>
      <c r="P241" s="5">
        <v>52</v>
      </c>
      <c r="Q241" s="5">
        <f t="shared" si="66"/>
        <v>67</v>
      </c>
      <c r="R241" s="4">
        <v>42</v>
      </c>
      <c r="S241" s="2">
        <v>66</v>
      </c>
      <c r="T241" s="5">
        <v>6</v>
      </c>
      <c r="U241" s="5">
        <v>13</v>
      </c>
      <c r="V241" s="5">
        <f t="shared" si="67"/>
        <v>19</v>
      </c>
      <c r="W241" s="4">
        <v>32</v>
      </c>
      <c r="X241">
        <f>O241/N241</f>
        <v>0.189873417721519</v>
      </c>
      <c r="Y241">
        <f>T241/S241</f>
        <v>9.0909090909090912E-2</v>
      </c>
      <c r="Z241">
        <f>X241-Y241</f>
        <v>9.8964326812428088E-2</v>
      </c>
      <c r="AA241">
        <f>P241/N241</f>
        <v>0.65822784810126578</v>
      </c>
      <c r="AB241">
        <f>U241/S241</f>
        <v>0.19696969696969696</v>
      </c>
      <c r="AC241">
        <f>AA241-AB241</f>
        <v>0.46125815113156882</v>
      </c>
      <c r="AD241">
        <f>Q241/N241</f>
        <v>0.84810126582278478</v>
      </c>
      <c r="AE241">
        <f>V241/S241</f>
        <v>0.2878787878787879</v>
      </c>
      <c r="AF241">
        <f>AD241-AE241</f>
        <v>0.56022247794399682</v>
      </c>
      <c r="AG241">
        <v>0</v>
      </c>
      <c r="AH241" s="14">
        <v>10.441947565543071</v>
      </c>
      <c r="AI241" s="14">
        <v>23.340823970037452</v>
      </c>
      <c r="AJ241" s="14">
        <v>33.782771535580522</v>
      </c>
      <c r="AK241" s="14">
        <v>29.483146067415728</v>
      </c>
      <c r="AL241" s="5" t="s">
        <v>599</v>
      </c>
      <c r="AM241" s="22">
        <v>22</v>
      </c>
      <c r="AN241" s="22">
        <v>445</v>
      </c>
      <c r="AO241">
        <f>AM241/AN241</f>
        <v>4.9438202247191011E-2</v>
      </c>
    </row>
    <row r="242" spans="1:41">
      <c r="A242" s="6" t="s">
        <v>135</v>
      </c>
      <c r="B242" t="s">
        <v>138</v>
      </c>
      <c r="C242">
        <v>156</v>
      </c>
      <c r="D242" t="s">
        <v>35</v>
      </c>
      <c r="E242">
        <v>6</v>
      </c>
      <c r="F242">
        <v>0</v>
      </c>
      <c r="G242" s="1">
        <f t="shared" si="64"/>
        <v>72</v>
      </c>
      <c r="H242">
        <v>183</v>
      </c>
      <c r="I242">
        <v>1994</v>
      </c>
      <c r="J242">
        <v>2012</v>
      </c>
      <c r="K242" s="1">
        <f t="shared" si="65"/>
        <v>18</v>
      </c>
      <c r="L242" t="s">
        <v>41</v>
      </c>
      <c r="M242" t="s">
        <v>43</v>
      </c>
      <c r="N242" s="2">
        <v>68</v>
      </c>
      <c r="O242" s="5">
        <v>25</v>
      </c>
      <c r="P242" s="5">
        <v>28</v>
      </c>
      <c r="Q242" s="5">
        <f t="shared" si="66"/>
        <v>53</v>
      </c>
      <c r="R242" s="4">
        <v>14</v>
      </c>
      <c r="S242" s="2">
        <v>49</v>
      </c>
      <c r="T242" s="5">
        <v>17</v>
      </c>
      <c r="U242" s="5">
        <v>22</v>
      </c>
      <c r="V242" s="5">
        <f t="shared" si="67"/>
        <v>39</v>
      </c>
      <c r="W242" s="4">
        <v>18</v>
      </c>
      <c r="X242">
        <f>O242/N242</f>
        <v>0.36764705882352944</v>
      </c>
      <c r="Y242">
        <f>T242/S242</f>
        <v>0.34693877551020408</v>
      </c>
      <c r="Z242">
        <f>X242-Y242</f>
        <v>2.070828331332536E-2</v>
      </c>
      <c r="AA242">
        <f>P242/N242</f>
        <v>0.41176470588235292</v>
      </c>
      <c r="AB242">
        <f>U242/S242</f>
        <v>0.44897959183673469</v>
      </c>
      <c r="AC242">
        <f>AA242-AB242</f>
        <v>-3.7214885954381771E-2</v>
      </c>
      <c r="AD242">
        <f>Q242/N242</f>
        <v>0.77941176470588236</v>
      </c>
      <c r="AE242">
        <f>V242/S242</f>
        <v>0.79591836734693877</v>
      </c>
      <c r="AF242">
        <f>AD242-AE242</f>
        <v>-1.6506602641056412E-2</v>
      </c>
      <c r="AG242">
        <v>0</v>
      </c>
      <c r="AH242" s="14">
        <v>13.4181818181818</v>
      </c>
      <c r="AI242" s="14">
        <v>20.276363636363634</v>
      </c>
      <c r="AJ242" s="14">
        <v>33.694545454545455</v>
      </c>
      <c r="AK242" s="14">
        <v>15.505454545454544</v>
      </c>
      <c r="AL242" s="5" t="s">
        <v>600</v>
      </c>
    </row>
    <row r="243" spans="1:41">
      <c r="A243" t="s">
        <v>510</v>
      </c>
      <c r="B243" t="s">
        <v>512</v>
      </c>
      <c r="C243">
        <v>85</v>
      </c>
      <c r="D243" t="s">
        <v>35</v>
      </c>
      <c r="E243">
        <v>6</v>
      </c>
      <c r="F243">
        <v>0</v>
      </c>
      <c r="G243" s="1">
        <f t="shared" si="64"/>
        <v>72</v>
      </c>
      <c r="H243">
        <v>190</v>
      </c>
      <c r="I243">
        <v>1991</v>
      </c>
      <c r="J243">
        <v>2009</v>
      </c>
      <c r="K243" s="1">
        <f t="shared" si="65"/>
        <v>18</v>
      </c>
      <c r="L243" t="s">
        <v>41</v>
      </c>
      <c r="M243" t="s">
        <v>44</v>
      </c>
      <c r="N243" s="2">
        <v>60</v>
      </c>
      <c r="O243" s="5">
        <v>26</v>
      </c>
      <c r="P243" s="5">
        <v>24</v>
      </c>
      <c r="Q243" s="5">
        <f t="shared" si="66"/>
        <v>50</v>
      </c>
      <c r="R243" s="4">
        <v>44</v>
      </c>
      <c r="S243" s="2">
        <v>55</v>
      </c>
      <c r="T243" s="5">
        <v>11</v>
      </c>
      <c r="U243" s="5">
        <v>6</v>
      </c>
      <c r="V243" s="5">
        <f t="shared" si="67"/>
        <v>17</v>
      </c>
      <c r="W243" s="4">
        <v>52</v>
      </c>
      <c r="AG243">
        <v>0</v>
      </c>
      <c r="AH243" s="14">
        <v>14.842293906810037</v>
      </c>
      <c r="AI243" s="14">
        <v>18.810035842293907</v>
      </c>
      <c r="AJ243" s="14">
        <v>33.652329749103941</v>
      </c>
      <c r="AK243" s="14">
        <v>34.681003584229387</v>
      </c>
      <c r="AL243" s="5" t="s">
        <v>599</v>
      </c>
    </row>
    <row r="244" spans="1:41">
      <c r="A244" t="s">
        <v>461</v>
      </c>
      <c r="B244" t="s">
        <v>470</v>
      </c>
      <c r="C244">
        <v>19</v>
      </c>
      <c r="D244" t="s">
        <v>65</v>
      </c>
      <c r="E244">
        <v>6</v>
      </c>
      <c r="F244">
        <v>3</v>
      </c>
      <c r="G244" s="1">
        <f t="shared" si="64"/>
        <v>75</v>
      </c>
      <c r="H244">
        <v>216</v>
      </c>
      <c r="I244">
        <v>1993</v>
      </c>
      <c r="J244">
        <v>2011</v>
      </c>
      <c r="K244" s="1">
        <f t="shared" si="65"/>
        <v>18</v>
      </c>
      <c r="L244" t="s">
        <v>42</v>
      </c>
      <c r="M244" t="s">
        <v>44</v>
      </c>
      <c r="N244" s="2">
        <v>23</v>
      </c>
      <c r="O244" s="5">
        <v>1</v>
      </c>
      <c r="P244" s="5">
        <v>1</v>
      </c>
      <c r="Q244" s="5">
        <f t="shared" si="66"/>
        <v>2</v>
      </c>
      <c r="R244" s="4">
        <v>2</v>
      </c>
      <c r="V244" s="5">
        <f t="shared" si="67"/>
        <v>0</v>
      </c>
      <c r="AG244">
        <v>0</v>
      </c>
      <c r="AH244" s="14">
        <v>7.2352941176470589</v>
      </c>
      <c r="AI244" s="14">
        <v>26.288235294117648</v>
      </c>
      <c r="AJ244" s="14">
        <v>33.523529411764706</v>
      </c>
      <c r="AK244" s="14">
        <v>13.505882352941176</v>
      </c>
      <c r="AL244" s="3" t="s">
        <v>605</v>
      </c>
      <c r="AM244" s="22">
        <v>22</v>
      </c>
      <c r="AN244" s="22">
        <v>217</v>
      </c>
      <c r="AO244">
        <f t="shared" ref="AO244:AO245" si="75">AM244/AN244</f>
        <v>0.10138248847926268</v>
      </c>
    </row>
    <row r="245" spans="1:41">
      <c r="A245" t="s">
        <v>498</v>
      </c>
      <c r="B245" t="s">
        <v>505</v>
      </c>
      <c r="C245">
        <v>12</v>
      </c>
      <c r="D245" t="s">
        <v>34</v>
      </c>
      <c r="E245">
        <v>6</v>
      </c>
      <c r="F245">
        <v>8</v>
      </c>
      <c r="G245" s="1">
        <f t="shared" si="64"/>
        <v>80</v>
      </c>
      <c r="H245">
        <v>229</v>
      </c>
      <c r="I245">
        <v>1990</v>
      </c>
      <c r="J245">
        <v>2008</v>
      </c>
      <c r="K245" s="1">
        <f t="shared" si="65"/>
        <v>18</v>
      </c>
      <c r="L245" t="s">
        <v>42</v>
      </c>
      <c r="M245" t="s">
        <v>43</v>
      </c>
      <c r="N245" s="2">
        <v>72</v>
      </c>
      <c r="O245" s="5">
        <v>7</v>
      </c>
      <c r="P245" s="5">
        <v>14</v>
      </c>
      <c r="Q245" s="5">
        <f t="shared" si="66"/>
        <v>21</v>
      </c>
      <c r="R245" s="4">
        <v>107</v>
      </c>
      <c r="S245" s="2">
        <v>59</v>
      </c>
      <c r="T245" s="5">
        <v>2</v>
      </c>
      <c r="U245" s="5">
        <v>13</v>
      </c>
      <c r="V245" s="5">
        <f t="shared" si="67"/>
        <v>15</v>
      </c>
      <c r="W245" s="4">
        <v>78</v>
      </c>
      <c r="AG245">
        <v>0</v>
      </c>
      <c r="AH245" s="14">
        <v>9.2218844984802431</v>
      </c>
      <c r="AI245" s="14">
        <v>24.300911854103344</v>
      </c>
      <c r="AJ245" s="14">
        <v>33.52279635258359</v>
      </c>
      <c r="AK245" s="14">
        <v>60.565349544072951</v>
      </c>
      <c r="AL245" s="3" t="s">
        <v>599</v>
      </c>
      <c r="AM245" s="22">
        <v>21</v>
      </c>
      <c r="AN245" s="22">
        <v>182</v>
      </c>
      <c r="AO245">
        <f t="shared" si="75"/>
        <v>0.11538461538461539</v>
      </c>
    </row>
    <row r="246" spans="1:41">
      <c r="A246" s="6" t="s">
        <v>87</v>
      </c>
      <c r="B246" t="s">
        <v>101</v>
      </c>
      <c r="C246">
        <v>179</v>
      </c>
      <c r="D246" t="s">
        <v>35</v>
      </c>
      <c r="E246">
        <v>5</v>
      </c>
      <c r="F246">
        <v>9</v>
      </c>
      <c r="G246" s="1">
        <f t="shared" si="64"/>
        <v>69</v>
      </c>
      <c r="H246">
        <v>163</v>
      </c>
      <c r="I246">
        <v>1989</v>
      </c>
      <c r="J246">
        <v>2007</v>
      </c>
      <c r="K246" s="1">
        <f t="shared" si="65"/>
        <v>18</v>
      </c>
      <c r="L246" t="s">
        <v>41</v>
      </c>
      <c r="M246" t="s">
        <v>44</v>
      </c>
      <c r="N246" s="2">
        <v>68</v>
      </c>
      <c r="O246" s="5">
        <v>21</v>
      </c>
      <c r="P246" s="5">
        <v>23</v>
      </c>
      <c r="Q246" s="5">
        <f t="shared" si="66"/>
        <v>44</v>
      </c>
      <c r="R246" s="4">
        <v>46</v>
      </c>
      <c r="S246" s="2">
        <v>33</v>
      </c>
      <c r="T246" s="5">
        <v>20</v>
      </c>
      <c r="U246" s="5">
        <v>23</v>
      </c>
      <c r="V246" s="3">
        <f t="shared" si="67"/>
        <v>43</v>
      </c>
      <c r="W246" s="4">
        <v>33</v>
      </c>
      <c r="X246">
        <f t="shared" ref="X246:X251" si="76">O246/N246</f>
        <v>0.30882352941176472</v>
      </c>
      <c r="Y246">
        <f>T246/S246</f>
        <v>0.60606060606060608</v>
      </c>
      <c r="Z246">
        <f>X246-Y246</f>
        <v>-0.29723707664884136</v>
      </c>
      <c r="AA246">
        <f t="shared" ref="AA246:AA251" si="77">P246/N246</f>
        <v>0.33823529411764708</v>
      </c>
      <c r="AB246">
        <f>U246/S246</f>
        <v>0.69696969696969702</v>
      </c>
      <c r="AC246">
        <f>AA246-AB246</f>
        <v>-0.35873440285204994</v>
      </c>
      <c r="AD246">
        <f t="shared" ref="AD246:AD251" si="78">Q246/N246</f>
        <v>0.6470588235294118</v>
      </c>
      <c r="AE246">
        <f>V246/S246</f>
        <v>1.303030303030303</v>
      </c>
      <c r="AF246">
        <f>AD246-AE246</f>
        <v>-0.65597147950089119</v>
      </c>
      <c r="AG246">
        <v>0</v>
      </c>
      <c r="AH246" s="14">
        <v>16.100456621004565</v>
      </c>
      <c r="AI246" s="14">
        <v>17.410958904109588</v>
      </c>
      <c r="AJ246" s="14">
        <v>33.511415525114153</v>
      </c>
      <c r="AK246" s="14">
        <v>23.401826484018265</v>
      </c>
      <c r="AL246" s="3" t="s">
        <v>614</v>
      </c>
    </row>
    <row r="247" spans="1:41">
      <c r="A247" s="6" t="s">
        <v>135</v>
      </c>
      <c r="B247" t="s">
        <v>143</v>
      </c>
      <c r="C247">
        <v>96</v>
      </c>
      <c r="D247" t="s">
        <v>35</v>
      </c>
      <c r="E247">
        <v>5</v>
      </c>
      <c r="F247">
        <v>10</v>
      </c>
      <c r="G247" s="1">
        <f t="shared" si="64"/>
        <v>70</v>
      </c>
      <c r="H247">
        <v>184</v>
      </c>
      <c r="I247">
        <v>1992</v>
      </c>
      <c r="J247">
        <v>2011</v>
      </c>
      <c r="K247" s="1">
        <f t="shared" si="65"/>
        <v>19</v>
      </c>
      <c r="L247" t="s">
        <v>41</v>
      </c>
      <c r="M247" t="s">
        <v>43</v>
      </c>
      <c r="N247" s="2">
        <v>67</v>
      </c>
      <c r="O247" s="5">
        <v>32</v>
      </c>
      <c r="P247" s="5">
        <v>47</v>
      </c>
      <c r="Q247" s="5">
        <f t="shared" si="66"/>
        <v>79</v>
      </c>
      <c r="R247" s="4">
        <v>22</v>
      </c>
      <c r="S247" s="2">
        <v>62</v>
      </c>
      <c r="T247" s="5">
        <v>16</v>
      </c>
      <c r="U247" s="5">
        <v>15</v>
      </c>
      <c r="V247" s="5">
        <f t="shared" si="67"/>
        <v>31</v>
      </c>
      <c r="W247" s="4">
        <v>20</v>
      </c>
      <c r="X247">
        <f t="shared" si="76"/>
        <v>0.47761194029850745</v>
      </c>
      <c r="Y247">
        <f>T247/S247</f>
        <v>0.25806451612903225</v>
      </c>
      <c r="Z247">
        <f>X247-Y247</f>
        <v>0.2195474241694752</v>
      </c>
      <c r="AA247">
        <f t="shared" si="77"/>
        <v>0.70149253731343286</v>
      </c>
      <c r="AB247">
        <f>U247/S247</f>
        <v>0.24193548387096775</v>
      </c>
      <c r="AC247">
        <f>AA247-AB247</f>
        <v>0.45955705344246511</v>
      </c>
      <c r="AD247">
        <f t="shared" si="78"/>
        <v>1.1791044776119404</v>
      </c>
      <c r="AE247">
        <f>V247/S247</f>
        <v>0.5</v>
      </c>
      <c r="AF247">
        <f>AD247-AE247</f>
        <v>0.67910447761194037</v>
      </c>
      <c r="AG247">
        <v>0</v>
      </c>
      <c r="AH247" s="14">
        <v>15.97948717948718</v>
      </c>
      <c r="AI247" s="14">
        <v>17.451282051282053</v>
      </c>
      <c r="AJ247" s="14">
        <v>33.430769230769229</v>
      </c>
      <c r="AK247" s="14">
        <v>28.174358974358974</v>
      </c>
      <c r="AL247" s="5" t="s">
        <v>614</v>
      </c>
    </row>
    <row r="248" spans="1:41">
      <c r="A248" t="s">
        <v>322</v>
      </c>
      <c r="B248" t="s">
        <v>326</v>
      </c>
      <c r="C248">
        <v>35</v>
      </c>
      <c r="D248" t="s">
        <v>34</v>
      </c>
      <c r="E248">
        <v>6</v>
      </c>
      <c r="F248">
        <v>0</v>
      </c>
      <c r="G248" s="1">
        <f t="shared" si="64"/>
        <v>72</v>
      </c>
      <c r="H248">
        <v>190</v>
      </c>
      <c r="I248">
        <v>1995</v>
      </c>
      <c r="J248">
        <v>2013</v>
      </c>
      <c r="K248" s="1">
        <f t="shared" si="65"/>
        <v>18</v>
      </c>
      <c r="L248" t="s">
        <v>41</v>
      </c>
      <c r="M248" t="s">
        <v>43</v>
      </c>
      <c r="N248" s="2">
        <f>21+7+52</f>
        <v>80</v>
      </c>
      <c r="O248" s="3">
        <f>28</f>
        <v>28</v>
      </c>
      <c r="P248" s="5">
        <v>53</v>
      </c>
      <c r="Q248" s="5">
        <f t="shared" si="66"/>
        <v>81</v>
      </c>
      <c r="R248" s="4">
        <v>82</v>
      </c>
      <c r="S248" s="2">
        <f>58+32+6+5</f>
        <v>101</v>
      </c>
      <c r="T248" s="3">
        <f>23+13+2+3</f>
        <v>41</v>
      </c>
      <c r="U248" s="3">
        <f>32+14+3+6</f>
        <v>55</v>
      </c>
      <c r="V248" s="5">
        <f t="shared" si="67"/>
        <v>96</v>
      </c>
      <c r="W248" s="4">
        <f>57+37+4+14</f>
        <v>112</v>
      </c>
      <c r="X248">
        <f t="shared" si="76"/>
        <v>0.35</v>
      </c>
      <c r="Y248">
        <f>T248/S248</f>
        <v>0.40594059405940597</v>
      </c>
      <c r="Z248">
        <f>X248-Y248</f>
        <v>-5.594059405940599E-2</v>
      </c>
      <c r="AA248">
        <f t="shared" si="77"/>
        <v>0.66249999999999998</v>
      </c>
      <c r="AB248">
        <f>U248/S248</f>
        <v>0.54455445544554459</v>
      </c>
      <c r="AC248">
        <f>AA248-AB248</f>
        <v>0.11794554455445538</v>
      </c>
      <c r="AD248">
        <f t="shared" si="78"/>
        <v>1.0125</v>
      </c>
      <c r="AE248">
        <f>V248/S248</f>
        <v>0.95049504950495045</v>
      </c>
      <c r="AF248">
        <f>AD248-AE248</f>
        <v>6.2004950495049505E-2</v>
      </c>
      <c r="AG248">
        <v>0</v>
      </c>
      <c r="AH248" s="14">
        <v>15.931428571428572</v>
      </c>
      <c r="AI248" s="14">
        <v>17.337142857142858</v>
      </c>
      <c r="AJ248" s="14">
        <v>33.268571428571427</v>
      </c>
      <c r="AK248" s="14">
        <v>27.645714285714288</v>
      </c>
      <c r="AL248" s="3" t="s">
        <v>608</v>
      </c>
    </row>
    <row r="249" spans="1:41">
      <c r="A249" t="s">
        <v>397</v>
      </c>
      <c r="B249" t="s">
        <v>399</v>
      </c>
      <c r="C249">
        <v>25</v>
      </c>
      <c r="D249" t="s">
        <v>35</v>
      </c>
      <c r="E249">
        <v>5</v>
      </c>
      <c r="F249">
        <v>10</v>
      </c>
      <c r="G249" s="1">
        <f t="shared" si="64"/>
        <v>70</v>
      </c>
      <c r="H249">
        <v>177</v>
      </c>
      <c r="I249">
        <v>1987</v>
      </c>
      <c r="J249">
        <v>2005</v>
      </c>
      <c r="K249" s="1">
        <f t="shared" si="65"/>
        <v>18</v>
      </c>
      <c r="L249" t="s">
        <v>41</v>
      </c>
      <c r="M249" t="s">
        <v>44</v>
      </c>
      <c r="N249" s="2">
        <v>49</v>
      </c>
      <c r="O249" s="5">
        <v>36</v>
      </c>
      <c r="P249" s="5">
        <v>66</v>
      </c>
      <c r="Q249" s="5">
        <f t="shared" si="66"/>
        <v>102</v>
      </c>
      <c r="R249" s="4">
        <v>33</v>
      </c>
      <c r="S249" s="2">
        <v>36</v>
      </c>
      <c r="T249" s="5">
        <v>26</v>
      </c>
      <c r="U249" s="5">
        <v>47</v>
      </c>
      <c r="V249" s="5">
        <f t="shared" si="67"/>
        <v>73</v>
      </c>
      <c r="W249" s="4">
        <v>14</v>
      </c>
      <c r="X249">
        <f t="shared" si="76"/>
        <v>0.73469387755102045</v>
      </c>
      <c r="AA249">
        <f t="shared" si="77"/>
        <v>1.346938775510204</v>
      </c>
      <c r="AD249">
        <f t="shared" si="78"/>
        <v>2.0816326530612246</v>
      </c>
      <c r="AG249">
        <v>0</v>
      </c>
      <c r="AH249" s="14">
        <v>13.751552795031056</v>
      </c>
      <c r="AI249" s="14">
        <v>19.184265010351968</v>
      </c>
      <c r="AJ249" s="14">
        <v>32.935817805383024</v>
      </c>
      <c r="AK249" s="14">
        <v>27.757763975155278</v>
      </c>
      <c r="AL249" s="5" t="s">
        <v>626</v>
      </c>
    </row>
    <row r="250" spans="1:41">
      <c r="A250" t="s">
        <v>251</v>
      </c>
      <c r="B250" t="s">
        <v>253</v>
      </c>
      <c r="C250">
        <v>117</v>
      </c>
      <c r="D250" t="s">
        <v>65</v>
      </c>
      <c r="E250">
        <v>6</v>
      </c>
      <c r="F250">
        <v>0</v>
      </c>
      <c r="G250" s="1">
        <f t="shared" si="64"/>
        <v>72</v>
      </c>
      <c r="H250">
        <v>190</v>
      </c>
      <c r="I250">
        <v>1999</v>
      </c>
      <c r="J250">
        <v>2017</v>
      </c>
      <c r="K250" s="1">
        <f t="shared" si="65"/>
        <v>18</v>
      </c>
      <c r="L250" t="s">
        <v>41</v>
      </c>
      <c r="M250" t="s">
        <v>43</v>
      </c>
      <c r="N250" s="2">
        <v>57</v>
      </c>
      <c r="O250" s="5">
        <v>26</v>
      </c>
      <c r="P250" s="5">
        <v>17</v>
      </c>
      <c r="Q250" s="5">
        <f t="shared" si="66"/>
        <v>43</v>
      </c>
      <c r="R250" s="4">
        <v>55</v>
      </c>
      <c r="S250" s="2">
        <v>44</v>
      </c>
      <c r="T250" s="5">
        <v>18</v>
      </c>
      <c r="U250" s="5">
        <v>22</v>
      </c>
      <c r="V250" s="5">
        <f t="shared" si="67"/>
        <v>40</v>
      </c>
      <c r="W250" s="4">
        <v>10</v>
      </c>
      <c r="X250">
        <f t="shared" si="76"/>
        <v>0.45614035087719296</v>
      </c>
      <c r="Y250">
        <f>T250/S250</f>
        <v>0.40909090909090912</v>
      </c>
      <c r="Z250">
        <f>X250-Y250</f>
        <v>4.7049441786283841E-2</v>
      </c>
      <c r="AA250">
        <f t="shared" si="77"/>
        <v>0.2982456140350877</v>
      </c>
      <c r="AB250">
        <f>U250/S250</f>
        <v>0.5</v>
      </c>
      <c r="AC250">
        <f>AA250-AB250</f>
        <v>-0.2017543859649123</v>
      </c>
      <c r="AD250">
        <f t="shared" si="78"/>
        <v>0.75438596491228072</v>
      </c>
      <c r="AE250">
        <f>V250/S250</f>
        <v>0.90909090909090906</v>
      </c>
      <c r="AF250">
        <f>AD250-AE250</f>
        <v>-0.15470494417862835</v>
      </c>
      <c r="AG250">
        <v>0</v>
      </c>
      <c r="AH250" s="14">
        <v>12.299999999999999</v>
      </c>
      <c r="AI250" s="14">
        <v>20.5</v>
      </c>
      <c r="AJ250" s="14">
        <v>32.799999999999997</v>
      </c>
      <c r="AK250" s="14">
        <v>0</v>
      </c>
      <c r="AL250" s="5" t="s">
        <v>621</v>
      </c>
    </row>
    <row r="251" spans="1:41">
      <c r="A251" t="s">
        <v>204</v>
      </c>
      <c r="B251" t="s">
        <v>218</v>
      </c>
      <c r="C251">
        <v>137</v>
      </c>
      <c r="D251" t="s">
        <v>37</v>
      </c>
      <c r="E251">
        <v>5</v>
      </c>
      <c r="F251">
        <v>11</v>
      </c>
      <c r="G251" s="1">
        <f t="shared" si="64"/>
        <v>71</v>
      </c>
      <c r="H251">
        <v>190</v>
      </c>
      <c r="I251">
        <v>1994</v>
      </c>
      <c r="J251">
        <v>2015</v>
      </c>
      <c r="K251" s="1">
        <f t="shared" si="65"/>
        <v>21</v>
      </c>
      <c r="L251" t="s">
        <v>41</v>
      </c>
      <c r="M251" t="s">
        <v>44</v>
      </c>
      <c r="N251" s="2">
        <f>10+52+23+10</f>
        <v>95</v>
      </c>
      <c r="O251" s="3">
        <f>26</f>
        <v>26</v>
      </c>
      <c r="P251" s="5">
        <v>23</v>
      </c>
      <c r="Q251" s="5">
        <f t="shared" si="66"/>
        <v>49</v>
      </c>
      <c r="R251" s="4">
        <v>24</v>
      </c>
      <c r="S251" s="2">
        <f>7+46+3+9+5</f>
        <v>70</v>
      </c>
      <c r="T251" s="3">
        <f>13</f>
        <v>13</v>
      </c>
      <c r="U251" s="3">
        <f>1+4+1+2+2</f>
        <v>10</v>
      </c>
      <c r="V251" s="5">
        <f t="shared" si="67"/>
        <v>23</v>
      </c>
      <c r="W251" s="4">
        <f>6+4+12+4+2</f>
        <v>28</v>
      </c>
      <c r="X251">
        <f t="shared" si="76"/>
        <v>0.27368421052631581</v>
      </c>
      <c r="Y251">
        <f>T251/S251</f>
        <v>0.18571428571428572</v>
      </c>
      <c r="Z251">
        <f>X251-Y251</f>
        <v>8.7969924812030087E-2</v>
      </c>
      <c r="AA251">
        <f t="shared" si="77"/>
        <v>0.24210526315789474</v>
      </c>
      <c r="AB251">
        <f>U251/S251</f>
        <v>0.14285714285714285</v>
      </c>
      <c r="AC251">
        <f>AA251-AB251</f>
        <v>9.9248120300751891E-2</v>
      </c>
      <c r="AD251">
        <f t="shared" si="78"/>
        <v>0.51578947368421058</v>
      </c>
      <c r="AE251">
        <f>V251/S251</f>
        <v>0.32857142857142857</v>
      </c>
      <c r="AF251">
        <f>AD251-AE251</f>
        <v>0.18721804511278201</v>
      </c>
      <c r="AG251">
        <v>0</v>
      </c>
      <c r="AH251" s="14">
        <v>8.8307692307692314</v>
      </c>
      <c r="AI251" s="14">
        <v>23.969230769230769</v>
      </c>
      <c r="AJ251" s="14">
        <v>32.799999999999997</v>
      </c>
      <c r="AK251" s="14">
        <v>25.23076923076923</v>
      </c>
      <c r="AL251" s="5" t="s">
        <v>607</v>
      </c>
    </row>
    <row r="252" spans="1:41">
      <c r="A252" t="s">
        <v>478</v>
      </c>
      <c r="B252" t="s">
        <v>488</v>
      </c>
      <c r="C252">
        <v>5</v>
      </c>
      <c r="D252" t="s">
        <v>35</v>
      </c>
      <c r="E252">
        <v>6</v>
      </c>
      <c r="F252">
        <v>1</v>
      </c>
      <c r="G252" s="1">
        <f t="shared" si="64"/>
        <v>73</v>
      </c>
      <c r="H252">
        <v>192</v>
      </c>
      <c r="I252">
        <v>2000</v>
      </c>
      <c r="J252">
        <v>2018</v>
      </c>
      <c r="K252" s="1">
        <f t="shared" si="65"/>
        <v>18</v>
      </c>
      <c r="L252" t="s">
        <v>41</v>
      </c>
      <c r="M252" t="s">
        <v>44</v>
      </c>
      <c r="N252" s="2">
        <v>63</v>
      </c>
      <c r="O252" s="5">
        <v>21</v>
      </c>
      <c r="P252" s="5">
        <v>39</v>
      </c>
      <c r="Q252" s="5">
        <f t="shared" si="66"/>
        <v>60</v>
      </c>
      <c r="R252" s="4">
        <v>32</v>
      </c>
      <c r="S252" s="2">
        <v>69</v>
      </c>
      <c r="T252" s="5">
        <v>10</v>
      </c>
      <c r="U252" s="5">
        <v>19</v>
      </c>
      <c r="V252" s="5">
        <f t="shared" si="67"/>
        <v>29</v>
      </c>
      <c r="W252" s="4">
        <v>38</v>
      </c>
      <c r="AG252">
        <v>0</v>
      </c>
      <c r="AH252" s="14">
        <v>8.1999999999999993</v>
      </c>
      <c r="AI252" s="14">
        <v>24.599999999999998</v>
      </c>
      <c r="AJ252" s="14">
        <v>32.799999999999997</v>
      </c>
      <c r="AK252" s="14">
        <v>82</v>
      </c>
      <c r="AL252" s="5" t="s">
        <v>600</v>
      </c>
    </row>
    <row r="253" spans="1:41">
      <c r="A253" t="s">
        <v>322</v>
      </c>
      <c r="B253" t="s">
        <v>330</v>
      </c>
      <c r="C253">
        <v>1</v>
      </c>
      <c r="D253" t="s">
        <v>34</v>
      </c>
      <c r="E253">
        <v>6</v>
      </c>
      <c r="F253">
        <v>4</v>
      </c>
      <c r="G253" s="1">
        <f t="shared" si="64"/>
        <v>76</v>
      </c>
      <c r="H253">
        <v>225</v>
      </c>
      <c r="I253">
        <v>1988</v>
      </c>
      <c r="J253">
        <v>2006</v>
      </c>
      <c r="K253" s="1">
        <f t="shared" si="65"/>
        <v>18</v>
      </c>
      <c r="L253" t="s">
        <v>42</v>
      </c>
      <c r="M253" t="s">
        <v>43</v>
      </c>
      <c r="N253" s="2">
        <f>36+11+7+6</f>
        <v>60</v>
      </c>
      <c r="O253" s="3">
        <f>12+4+1+4</f>
        <v>21</v>
      </c>
      <c r="P253" s="3">
        <f>22+11+3+6</f>
        <v>42</v>
      </c>
      <c r="Q253" s="5">
        <f t="shared" si="66"/>
        <v>63</v>
      </c>
      <c r="R253" s="4">
        <f>78+10+18+27</f>
        <v>133</v>
      </c>
      <c r="S253" s="2">
        <f>26+31+6</f>
        <v>63</v>
      </c>
      <c r="T253" s="5">
        <v>11</v>
      </c>
      <c r="U253" s="5">
        <v>15</v>
      </c>
      <c r="V253" s="5">
        <f t="shared" si="67"/>
        <v>26</v>
      </c>
      <c r="W253" s="4">
        <v>26</v>
      </c>
      <c r="X253">
        <f>O253/N253</f>
        <v>0.35</v>
      </c>
      <c r="Y253">
        <f>T253/S253</f>
        <v>0.17460317460317459</v>
      </c>
      <c r="Z253">
        <f>X253-Y253</f>
        <v>0.17539682539682538</v>
      </c>
      <c r="AA253">
        <f>P253/N253</f>
        <v>0.7</v>
      </c>
      <c r="AB253">
        <f>U253/S253</f>
        <v>0.23809523809523808</v>
      </c>
      <c r="AC253">
        <f>AA253-AB253</f>
        <v>0.46190476190476187</v>
      </c>
      <c r="AD253">
        <f>Q253/N253</f>
        <v>1.05</v>
      </c>
      <c r="AE253">
        <f>V253/S253</f>
        <v>0.41269841269841268</v>
      </c>
      <c r="AF253">
        <f>AD253-AE253</f>
        <v>0.63730158730158737</v>
      </c>
      <c r="AG253">
        <v>0</v>
      </c>
      <c r="AH253" s="14">
        <v>8.6549391069012174</v>
      </c>
      <c r="AI253" s="14">
        <v>23.745602165087956</v>
      </c>
      <c r="AJ253" s="14">
        <v>32.400541271989177</v>
      </c>
      <c r="AK253" s="14">
        <v>51.263870094722598</v>
      </c>
      <c r="AL253" s="5" t="s">
        <v>608</v>
      </c>
      <c r="AM253" s="22">
        <v>20</v>
      </c>
      <c r="AN253" s="22">
        <v>51</v>
      </c>
      <c r="AO253">
        <f>AM253/AN253</f>
        <v>0.39215686274509803</v>
      </c>
    </row>
    <row r="254" spans="1:41">
      <c r="A254" t="s">
        <v>354</v>
      </c>
      <c r="B254" t="s">
        <v>346</v>
      </c>
      <c r="C254">
        <v>51</v>
      </c>
      <c r="D254" t="s">
        <v>65</v>
      </c>
      <c r="E254">
        <v>5</v>
      </c>
      <c r="F254">
        <v>11</v>
      </c>
      <c r="G254" s="1">
        <f t="shared" si="64"/>
        <v>71</v>
      </c>
      <c r="H254">
        <v>186</v>
      </c>
      <c r="I254">
        <v>1991</v>
      </c>
      <c r="J254">
        <v>2010</v>
      </c>
      <c r="K254" s="1">
        <f t="shared" si="65"/>
        <v>19</v>
      </c>
      <c r="L254" t="s">
        <v>41</v>
      </c>
      <c r="M254" t="s">
        <v>43</v>
      </c>
      <c r="N254" s="2">
        <v>33</v>
      </c>
      <c r="O254" s="5">
        <v>4</v>
      </c>
      <c r="P254" s="5">
        <v>6</v>
      </c>
      <c r="Q254" s="5">
        <f t="shared" si="66"/>
        <v>10</v>
      </c>
      <c r="R254" s="4">
        <v>2</v>
      </c>
      <c r="V254" s="5">
        <f t="shared" si="67"/>
        <v>0</v>
      </c>
      <c r="X254">
        <f>O254/N254</f>
        <v>0.12121212121212122</v>
      </c>
      <c r="Y254" t="e">
        <f>T254/S254</f>
        <v>#DIV/0!</v>
      </c>
      <c r="Z254" t="e">
        <f>X254-Y254</f>
        <v>#DIV/0!</v>
      </c>
      <c r="AA254">
        <f>P254/N254</f>
        <v>0.18181818181818182</v>
      </c>
      <c r="AB254" t="e">
        <f>U254/S254</f>
        <v>#DIV/0!</v>
      </c>
      <c r="AC254" t="e">
        <f>AA254-AB254</f>
        <v>#DIV/0!</v>
      </c>
      <c r="AD254">
        <f>Q254/N254</f>
        <v>0.30303030303030304</v>
      </c>
      <c r="AE254" t="e">
        <f>V254/S254</f>
        <v>#DIV/0!</v>
      </c>
      <c r="AF254" t="e">
        <f>AD254-AE254</f>
        <v>#DIV/0!</v>
      </c>
      <c r="AG254">
        <v>0</v>
      </c>
      <c r="AH254" s="14">
        <v>14.389423076923077</v>
      </c>
      <c r="AI254" s="14">
        <v>17.740384615384613</v>
      </c>
      <c r="AJ254" s="14">
        <v>32.129807692307693</v>
      </c>
      <c r="AK254" s="14">
        <v>16.754807692307693</v>
      </c>
      <c r="AL254" s="3" t="s">
        <v>605</v>
      </c>
    </row>
    <row r="255" spans="1:41">
      <c r="A255" t="s">
        <v>397</v>
      </c>
      <c r="B255" t="s">
        <v>412</v>
      </c>
      <c r="C255">
        <v>13</v>
      </c>
      <c r="D255" t="s">
        <v>37</v>
      </c>
      <c r="E255">
        <v>6</v>
      </c>
      <c r="F255">
        <v>3</v>
      </c>
      <c r="G255" s="1">
        <f t="shared" si="64"/>
        <v>75</v>
      </c>
      <c r="H255">
        <v>220</v>
      </c>
      <c r="I255">
        <v>1994</v>
      </c>
      <c r="J255">
        <v>2012</v>
      </c>
      <c r="K255" s="1">
        <f t="shared" si="65"/>
        <v>18</v>
      </c>
      <c r="L255" t="s">
        <v>41</v>
      </c>
      <c r="M255" t="s">
        <v>44</v>
      </c>
      <c r="N255" s="2">
        <v>62</v>
      </c>
      <c r="O255" s="5">
        <v>29</v>
      </c>
      <c r="P255" s="5">
        <v>38</v>
      </c>
      <c r="Q255" s="5">
        <f t="shared" si="66"/>
        <v>67</v>
      </c>
      <c r="R255" s="4">
        <v>47</v>
      </c>
      <c r="V255" s="5">
        <f t="shared" si="67"/>
        <v>0</v>
      </c>
      <c r="X255">
        <f>O255/N255</f>
        <v>0.46774193548387094</v>
      </c>
      <c r="AA255">
        <f>P255/N255</f>
        <v>0.61290322580645162</v>
      </c>
      <c r="AD255">
        <f>Q255/N255</f>
        <v>1.0806451612903225</v>
      </c>
      <c r="AG255">
        <v>0</v>
      </c>
      <c r="AH255" s="14">
        <v>14.642857142857142</v>
      </c>
      <c r="AI255" s="14">
        <v>17.305194805194805</v>
      </c>
      <c r="AJ255" s="14">
        <v>31.948051948051944</v>
      </c>
      <c r="AK255" s="14">
        <v>49.785714285714285</v>
      </c>
      <c r="AL255" s="3" t="s">
        <v>600</v>
      </c>
    </row>
    <row r="256" spans="1:41">
      <c r="A256" t="s">
        <v>556</v>
      </c>
      <c r="B256" t="s">
        <v>567</v>
      </c>
      <c r="C256">
        <v>6</v>
      </c>
      <c r="D256" t="s">
        <v>65</v>
      </c>
      <c r="E256">
        <v>6</v>
      </c>
      <c r="F256">
        <v>3</v>
      </c>
      <c r="G256" s="1">
        <f t="shared" si="64"/>
        <v>75</v>
      </c>
      <c r="H256">
        <v>211</v>
      </c>
      <c r="I256">
        <v>1994</v>
      </c>
      <c r="J256">
        <v>2012</v>
      </c>
      <c r="K256" s="1">
        <f t="shared" si="65"/>
        <v>18</v>
      </c>
      <c r="L256" t="s">
        <v>42</v>
      </c>
      <c r="M256" t="s">
        <v>44</v>
      </c>
      <c r="N256" s="2">
        <v>20</v>
      </c>
      <c r="O256" s="5">
        <v>1</v>
      </c>
      <c r="P256" s="5">
        <v>3</v>
      </c>
      <c r="Q256" s="5">
        <f t="shared" si="66"/>
        <v>4</v>
      </c>
      <c r="R256" s="4">
        <v>12</v>
      </c>
      <c r="V256" s="5">
        <f t="shared" si="67"/>
        <v>0</v>
      </c>
      <c r="AG256">
        <v>0</v>
      </c>
      <c r="AH256" s="14">
        <v>8.5010799136069117</v>
      </c>
      <c r="AI256" s="14">
        <v>23.377969762419006</v>
      </c>
      <c r="AJ256" s="14">
        <v>31.879049676025915</v>
      </c>
      <c r="AK256" s="14">
        <v>41.796976241900644</v>
      </c>
      <c r="AL256" s="3" t="s">
        <v>606</v>
      </c>
      <c r="AM256" s="22">
        <v>20</v>
      </c>
      <c r="AN256" s="22">
        <v>274</v>
      </c>
      <c r="AO256">
        <f>AM256/AN256</f>
        <v>7.2992700729927001E-2</v>
      </c>
    </row>
    <row r="257" spans="1:41">
      <c r="A257" t="s">
        <v>283</v>
      </c>
      <c r="B257" t="s">
        <v>297</v>
      </c>
      <c r="C257">
        <v>6</v>
      </c>
      <c r="D257" t="s">
        <v>37</v>
      </c>
      <c r="E257">
        <v>6</v>
      </c>
      <c r="F257">
        <v>3</v>
      </c>
      <c r="G257" s="1">
        <f t="shared" si="64"/>
        <v>75</v>
      </c>
      <c r="H257">
        <v>210</v>
      </c>
      <c r="I257">
        <v>1997</v>
      </c>
      <c r="J257">
        <v>2015</v>
      </c>
      <c r="K257" s="1">
        <f t="shared" si="65"/>
        <v>18</v>
      </c>
      <c r="L257" t="s">
        <v>41</v>
      </c>
      <c r="M257" t="s">
        <v>44</v>
      </c>
      <c r="N257" s="2">
        <f>11+37+5+5</f>
        <v>58</v>
      </c>
      <c r="O257" s="3">
        <f>8+16+1+5</f>
        <v>30</v>
      </c>
      <c r="P257" s="3">
        <f>1+18+1</f>
        <v>20</v>
      </c>
      <c r="Q257" s="5">
        <f t="shared" si="66"/>
        <v>50</v>
      </c>
      <c r="R257" s="4">
        <f>12+56+10</f>
        <v>78</v>
      </c>
      <c r="S257" s="2">
        <f>24+5+7+4+10+7+38+12</f>
        <v>107</v>
      </c>
      <c r="T257" s="3">
        <f>6+3+1+6+4+4</f>
        <v>24</v>
      </c>
      <c r="U257" s="3">
        <f>5+2+2+11+2+4+5</f>
        <v>31</v>
      </c>
      <c r="V257" s="5">
        <f t="shared" si="67"/>
        <v>55</v>
      </c>
      <c r="W257" s="4">
        <f>45+4+4+64+2+10+6</f>
        <v>135</v>
      </c>
      <c r="X257">
        <f t="shared" ref="X257:X267" si="79">O257/N257</f>
        <v>0.51724137931034486</v>
      </c>
      <c r="Y257">
        <f t="shared" ref="Y257:Y262" si="80">T257/S257</f>
        <v>0.22429906542056074</v>
      </c>
      <c r="Z257">
        <f t="shared" ref="Z257:Z262" si="81">X257-Y257</f>
        <v>0.29294231388978409</v>
      </c>
      <c r="AA257">
        <f t="shared" ref="AA257:AA267" si="82">P257/N257</f>
        <v>0.34482758620689657</v>
      </c>
      <c r="AB257">
        <f t="shared" ref="AB257:AB262" si="83">U257/S257</f>
        <v>0.28971962616822428</v>
      </c>
      <c r="AC257">
        <f t="shared" ref="AC257:AC262" si="84">AA257-AB257</f>
        <v>5.5107960038672299E-2</v>
      </c>
      <c r="AD257">
        <f t="shared" ref="AD257:AD267" si="85">Q257/N257</f>
        <v>0.86206896551724133</v>
      </c>
      <c r="AE257">
        <f t="shared" ref="AE257:AE262" si="86">V257/S257</f>
        <v>0.51401869158878499</v>
      </c>
      <c r="AF257">
        <f t="shared" ref="AF257:AF262" si="87">AD257-AE257</f>
        <v>0.34805027392845633</v>
      </c>
      <c r="AG257">
        <v>0</v>
      </c>
      <c r="AH257" s="14">
        <v>11.554545454545455</v>
      </c>
      <c r="AI257" s="14">
        <v>20.127272727272729</v>
      </c>
      <c r="AJ257" s="14">
        <v>31.681818181818183</v>
      </c>
      <c r="AK257" s="14">
        <v>25.345454545454547</v>
      </c>
      <c r="AL257" s="5" t="s">
        <v>600</v>
      </c>
    </row>
    <row r="258" spans="1:41">
      <c r="A258" t="s">
        <v>169</v>
      </c>
      <c r="B258" t="s">
        <v>171</v>
      </c>
      <c r="C258">
        <v>177</v>
      </c>
      <c r="D258" t="s">
        <v>34</v>
      </c>
      <c r="E258">
        <v>5</v>
      </c>
      <c r="F258">
        <v>11</v>
      </c>
      <c r="G258" s="1">
        <f t="shared" ref="G258:G321" si="88">E258*12+F258</f>
        <v>71</v>
      </c>
      <c r="H258">
        <v>185</v>
      </c>
      <c r="I258">
        <v>1993</v>
      </c>
      <c r="J258">
        <v>2011</v>
      </c>
      <c r="K258" s="1">
        <f t="shared" ref="K258:K321" si="89">J258-I258</f>
        <v>18</v>
      </c>
      <c r="L258" t="s">
        <v>41</v>
      </c>
      <c r="M258" t="s">
        <v>44</v>
      </c>
      <c r="N258" s="2">
        <v>66</v>
      </c>
      <c r="O258" s="5">
        <v>15</v>
      </c>
      <c r="P258" s="5">
        <v>29</v>
      </c>
      <c r="Q258" s="5">
        <f t="shared" ref="Q258:Q321" si="90">O258+P258</f>
        <v>44</v>
      </c>
      <c r="R258" s="4">
        <v>18</v>
      </c>
      <c r="S258" s="2">
        <v>53</v>
      </c>
      <c r="T258" s="5">
        <v>10</v>
      </c>
      <c r="U258" s="5">
        <v>14</v>
      </c>
      <c r="V258" s="5">
        <f t="shared" si="67"/>
        <v>24</v>
      </c>
      <c r="W258" s="4">
        <v>22</v>
      </c>
      <c r="X258">
        <f t="shared" si="79"/>
        <v>0.22727272727272727</v>
      </c>
      <c r="Y258">
        <f t="shared" si="80"/>
        <v>0.18867924528301888</v>
      </c>
      <c r="Z258">
        <f t="shared" si="81"/>
        <v>3.8593481989708384E-2</v>
      </c>
      <c r="AA258">
        <f t="shared" si="82"/>
        <v>0.43939393939393939</v>
      </c>
      <c r="AB258">
        <f t="shared" si="83"/>
        <v>0.26415094339622641</v>
      </c>
      <c r="AC258">
        <f t="shared" si="84"/>
        <v>0.17524299599771298</v>
      </c>
      <c r="AD258">
        <f t="shared" si="85"/>
        <v>0.66666666666666663</v>
      </c>
      <c r="AE258">
        <f t="shared" si="86"/>
        <v>0.45283018867924529</v>
      </c>
      <c r="AF258">
        <f t="shared" si="87"/>
        <v>0.21383647798742134</v>
      </c>
      <c r="AG258">
        <v>0</v>
      </c>
      <c r="AH258" s="14">
        <v>7.0285714285714285</v>
      </c>
      <c r="AI258" s="14">
        <v>24.6</v>
      </c>
      <c r="AJ258" s="14">
        <v>31.62857142857143</v>
      </c>
      <c r="AK258" s="14">
        <v>9.3714285714285719</v>
      </c>
      <c r="AL258" s="5" t="s">
        <v>608</v>
      </c>
    </row>
    <row r="259" spans="1:41">
      <c r="A259" t="s">
        <v>234</v>
      </c>
      <c r="B259" t="s">
        <v>246</v>
      </c>
      <c r="C259">
        <v>120</v>
      </c>
      <c r="D259" t="s">
        <v>34</v>
      </c>
      <c r="E259">
        <v>6</v>
      </c>
      <c r="F259">
        <v>3</v>
      </c>
      <c r="G259" s="1">
        <f t="shared" si="88"/>
        <v>75</v>
      </c>
      <c r="H259">
        <v>207</v>
      </c>
      <c r="I259">
        <v>1994</v>
      </c>
      <c r="J259">
        <v>2012</v>
      </c>
      <c r="K259" s="1">
        <f t="shared" si="89"/>
        <v>18</v>
      </c>
      <c r="L259" t="s">
        <v>42</v>
      </c>
      <c r="M259" t="s">
        <v>44</v>
      </c>
      <c r="N259" s="2">
        <v>60</v>
      </c>
      <c r="O259" s="5">
        <v>3</v>
      </c>
      <c r="P259" s="5">
        <v>27</v>
      </c>
      <c r="Q259" s="5">
        <f t="shared" si="90"/>
        <v>30</v>
      </c>
      <c r="R259" s="4">
        <v>12</v>
      </c>
      <c r="S259" s="2">
        <v>17</v>
      </c>
      <c r="T259" s="5">
        <v>1</v>
      </c>
      <c r="U259" s="5">
        <v>0</v>
      </c>
      <c r="V259" s="5">
        <f t="shared" ref="V259:V322" si="91">T259+U259</f>
        <v>1</v>
      </c>
      <c r="W259" s="4">
        <v>10</v>
      </c>
      <c r="X259">
        <f t="shared" si="79"/>
        <v>0.05</v>
      </c>
      <c r="Y259">
        <f t="shared" si="80"/>
        <v>5.8823529411764705E-2</v>
      </c>
      <c r="Z259">
        <f t="shared" si="81"/>
        <v>-8.8235294117647023E-3</v>
      </c>
      <c r="AA259">
        <f t="shared" si="82"/>
        <v>0.45</v>
      </c>
      <c r="AB259">
        <f t="shared" si="83"/>
        <v>0</v>
      </c>
      <c r="AC259">
        <f t="shared" si="84"/>
        <v>0.45</v>
      </c>
      <c r="AD259">
        <f t="shared" si="85"/>
        <v>0.5</v>
      </c>
      <c r="AE259">
        <f t="shared" si="86"/>
        <v>5.8823529411764705E-2</v>
      </c>
      <c r="AF259">
        <f t="shared" si="87"/>
        <v>0.44117647058823528</v>
      </c>
      <c r="AG259">
        <v>0</v>
      </c>
      <c r="AH259" s="14">
        <v>6.2121212121212119</v>
      </c>
      <c r="AI259" s="14">
        <v>25.345454545454544</v>
      </c>
      <c r="AJ259" s="14">
        <v>31.557575757575755</v>
      </c>
      <c r="AK259" s="14">
        <v>12.424242424242424</v>
      </c>
      <c r="AL259" s="3" t="s">
        <v>608</v>
      </c>
      <c r="AM259" s="22">
        <v>19</v>
      </c>
      <c r="AN259" s="22">
        <v>192</v>
      </c>
      <c r="AO259">
        <f t="shared" ref="AO259:AO260" si="92">AM259/AN259</f>
        <v>9.8958333333333329E-2</v>
      </c>
    </row>
    <row r="260" spans="1:41">
      <c r="A260" s="6" t="s">
        <v>69</v>
      </c>
      <c r="B260" t="s">
        <v>77</v>
      </c>
      <c r="C260">
        <v>151</v>
      </c>
      <c r="D260" t="s">
        <v>35</v>
      </c>
      <c r="E260">
        <v>6</v>
      </c>
      <c r="F260">
        <v>1</v>
      </c>
      <c r="G260" s="1">
        <f t="shared" si="88"/>
        <v>73</v>
      </c>
      <c r="H260">
        <v>196</v>
      </c>
      <c r="I260">
        <v>1992</v>
      </c>
      <c r="J260">
        <v>2012</v>
      </c>
      <c r="K260" s="1">
        <f t="shared" si="89"/>
        <v>20</v>
      </c>
      <c r="L260" t="s">
        <v>42</v>
      </c>
      <c r="M260" t="s">
        <v>43</v>
      </c>
      <c r="N260" s="2">
        <v>54</v>
      </c>
      <c r="O260" s="5">
        <v>8</v>
      </c>
      <c r="P260" s="5">
        <v>20</v>
      </c>
      <c r="Q260" s="3">
        <f t="shared" si="90"/>
        <v>28</v>
      </c>
      <c r="R260" s="4">
        <v>79</v>
      </c>
      <c r="S260" s="2">
        <v>66</v>
      </c>
      <c r="T260" s="5">
        <v>3</v>
      </c>
      <c r="U260" s="5">
        <v>19</v>
      </c>
      <c r="V260" s="3">
        <f t="shared" si="91"/>
        <v>22</v>
      </c>
      <c r="W260" s="4">
        <v>44</v>
      </c>
      <c r="X260">
        <f t="shared" si="79"/>
        <v>0.14814814814814814</v>
      </c>
      <c r="Y260">
        <f t="shared" si="80"/>
        <v>4.5454545454545456E-2</v>
      </c>
      <c r="Z260">
        <f t="shared" si="81"/>
        <v>0.10269360269360268</v>
      </c>
      <c r="AA260">
        <f t="shared" si="82"/>
        <v>0.37037037037037035</v>
      </c>
      <c r="AB260">
        <f t="shared" si="83"/>
        <v>0.2878787878787879</v>
      </c>
      <c r="AC260">
        <f t="shared" si="84"/>
        <v>8.2491582491582449E-2</v>
      </c>
      <c r="AD260">
        <f t="shared" si="85"/>
        <v>0.51851851851851849</v>
      </c>
      <c r="AE260">
        <f t="shared" si="86"/>
        <v>0.33333333333333331</v>
      </c>
      <c r="AF260">
        <f t="shared" si="87"/>
        <v>0.18518518518518517</v>
      </c>
      <c r="AG260">
        <v>0</v>
      </c>
      <c r="AH260" s="14">
        <v>6.7313432835820892</v>
      </c>
      <c r="AI260" s="14">
        <v>24.783582089552237</v>
      </c>
      <c r="AJ260" s="14">
        <v>31.514925373134329</v>
      </c>
      <c r="AK260" s="14">
        <v>60.276119402985074</v>
      </c>
      <c r="AL260" s="5" t="s">
        <v>600</v>
      </c>
      <c r="AM260" s="22">
        <v>19</v>
      </c>
      <c r="AN260" s="22">
        <v>117</v>
      </c>
      <c r="AO260">
        <f t="shared" si="92"/>
        <v>0.1623931623931624</v>
      </c>
    </row>
    <row r="261" spans="1:41">
      <c r="A261" t="s">
        <v>204</v>
      </c>
      <c r="B261" t="s">
        <v>215</v>
      </c>
      <c r="C261">
        <v>24</v>
      </c>
      <c r="D261" t="s">
        <v>35</v>
      </c>
      <c r="E261">
        <v>6</v>
      </c>
      <c r="F261">
        <v>1</v>
      </c>
      <c r="G261" s="1">
        <f t="shared" si="88"/>
        <v>73</v>
      </c>
      <c r="H261">
        <v>185</v>
      </c>
      <c r="I261">
        <v>1996</v>
      </c>
      <c r="J261">
        <v>2014</v>
      </c>
      <c r="K261" s="1">
        <f t="shared" si="89"/>
        <v>18</v>
      </c>
      <c r="L261" t="s">
        <v>41</v>
      </c>
      <c r="M261" t="s">
        <v>44</v>
      </c>
      <c r="N261" s="2">
        <v>64</v>
      </c>
      <c r="O261" s="5">
        <v>27</v>
      </c>
      <c r="P261" s="5">
        <v>35</v>
      </c>
      <c r="Q261" s="5">
        <f t="shared" si="90"/>
        <v>62</v>
      </c>
      <c r="R261" s="4">
        <v>51</v>
      </c>
      <c r="S261" s="2">
        <v>64</v>
      </c>
      <c r="T261" s="5">
        <v>21</v>
      </c>
      <c r="U261" s="5">
        <v>23</v>
      </c>
      <c r="V261" s="5">
        <f t="shared" si="91"/>
        <v>44</v>
      </c>
      <c r="W261" s="4">
        <v>35</v>
      </c>
      <c r="X261">
        <f t="shared" si="79"/>
        <v>0.421875</v>
      </c>
      <c r="Y261">
        <f t="shared" si="80"/>
        <v>0.328125</v>
      </c>
      <c r="Z261">
        <f t="shared" si="81"/>
        <v>9.375E-2</v>
      </c>
      <c r="AA261">
        <f t="shared" si="82"/>
        <v>0.546875</v>
      </c>
      <c r="AB261">
        <f t="shared" si="83"/>
        <v>0.359375</v>
      </c>
      <c r="AC261">
        <f t="shared" si="84"/>
        <v>0.1875</v>
      </c>
      <c r="AD261">
        <f t="shared" si="85"/>
        <v>0.96875</v>
      </c>
      <c r="AE261">
        <f t="shared" si="86"/>
        <v>0.6875</v>
      </c>
      <c r="AF261">
        <f t="shared" si="87"/>
        <v>0.28125</v>
      </c>
      <c r="AG261">
        <v>0</v>
      </c>
      <c r="AH261" s="14">
        <v>14.03041825095057</v>
      </c>
      <c r="AI261" s="14">
        <v>17.460076045627375</v>
      </c>
      <c r="AJ261" s="14">
        <v>31.490494296577946</v>
      </c>
      <c r="AK261" s="14">
        <v>30.866920152091254</v>
      </c>
      <c r="AL261" s="5" t="s">
        <v>600</v>
      </c>
    </row>
    <row r="262" spans="1:41">
      <c r="A262" s="6" t="s">
        <v>69</v>
      </c>
      <c r="B262" t="s">
        <v>79</v>
      </c>
      <c r="C262">
        <v>55</v>
      </c>
      <c r="D262" t="s">
        <v>35</v>
      </c>
      <c r="E262">
        <v>6</v>
      </c>
      <c r="F262">
        <v>0</v>
      </c>
      <c r="G262" s="1">
        <f t="shared" si="88"/>
        <v>72</v>
      </c>
      <c r="H262">
        <v>193</v>
      </c>
      <c r="I262">
        <v>1994</v>
      </c>
      <c r="J262">
        <v>2014</v>
      </c>
      <c r="K262" s="1">
        <f t="shared" si="89"/>
        <v>20</v>
      </c>
      <c r="L262" t="s">
        <v>42</v>
      </c>
      <c r="M262" t="s">
        <v>43</v>
      </c>
      <c r="N262" s="2">
        <v>60</v>
      </c>
      <c r="O262" s="5">
        <v>14</v>
      </c>
      <c r="P262" s="5">
        <v>48</v>
      </c>
      <c r="Q262" s="3">
        <f t="shared" si="90"/>
        <v>62</v>
      </c>
      <c r="R262" s="4">
        <v>36</v>
      </c>
      <c r="S262" s="2">
        <v>49</v>
      </c>
      <c r="T262" s="5">
        <v>18</v>
      </c>
      <c r="U262" s="5">
        <v>49</v>
      </c>
      <c r="V262" s="3">
        <f t="shared" si="91"/>
        <v>67</v>
      </c>
      <c r="W262" s="4">
        <v>94</v>
      </c>
      <c r="X262">
        <f t="shared" si="79"/>
        <v>0.23333333333333334</v>
      </c>
      <c r="Y262">
        <f t="shared" si="80"/>
        <v>0.36734693877551022</v>
      </c>
      <c r="Z262">
        <f t="shared" si="81"/>
        <v>-0.13401360544217689</v>
      </c>
      <c r="AA262">
        <f t="shared" si="82"/>
        <v>0.8</v>
      </c>
      <c r="AB262">
        <f t="shared" si="83"/>
        <v>1</v>
      </c>
      <c r="AC262">
        <f t="shared" si="84"/>
        <v>-0.19999999999999996</v>
      </c>
      <c r="AD262">
        <f t="shared" si="85"/>
        <v>1.0333333333333334</v>
      </c>
      <c r="AE262">
        <f t="shared" si="86"/>
        <v>1.3673469387755102</v>
      </c>
      <c r="AF262">
        <f t="shared" si="87"/>
        <v>-0.33401360544217673</v>
      </c>
      <c r="AG262">
        <v>0</v>
      </c>
      <c r="AH262" s="14">
        <v>8.3673469387755102</v>
      </c>
      <c r="AI262" s="14">
        <v>23.010204081632654</v>
      </c>
      <c r="AJ262" s="14">
        <v>31.377551020408166</v>
      </c>
      <c r="AK262" s="14">
        <v>49.367346938775512</v>
      </c>
      <c r="AL262" s="3" t="s">
        <v>608</v>
      </c>
      <c r="AM262" s="22">
        <v>19</v>
      </c>
      <c r="AN262" s="22">
        <v>133</v>
      </c>
      <c r="AO262">
        <f>AM262/AN262</f>
        <v>0.14285714285714285</v>
      </c>
    </row>
    <row r="263" spans="1:41">
      <c r="A263" t="s">
        <v>397</v>
      </c>
      <c r="B263" t="s">
        <v>400</v>
      </c>
      <c r="C263">
        <v>47</v>
      </c>
      <c r="D263" t="s">
        <v>35</v>
      </c>
      <c r="E263">
        <v>6</v>
      </c>
      <c r="F263">
        <v>1</v>
      </c>
      <c r="G263" s="1">
        <f t="shared" si="88"/>
        <v>73</v>
      </c>
      <c r="H263">
        <v>200</v>
      </c>
      <c r="I263">
        <v>1986</v>
      </c>
      <c r="J263">
        <v>2004</v>
      </c>
      <c r="K263" s="1">
        <f t="shared" si="89"/>
        <v>18</v>
      </c>
      <c r="L263" t="s">
        <v>41</v>
      </c>
      <c r="M263" t="s">
        <v>43</v>
      </c>
      <c r="N263" s="2">
        <v>71</v>
      </c>
      <c r="O263" s="5">
        <v>10</v>
      </c>
      <c r="P263" s="5">
        <v>23</v>
      </c>
      <c r="Q263" s="5">
        <f t="shared" si="90"/>
        <v>33</v>
      </c>
      <c r="R263" s="4">
        <v>123</v>
      </c>
      <c r="S263" s="2">
        <v>54</v>
      </c>
      <c r="T263" s="5">
        <v>5</v>
      </c>
      <c r="U263" s="5">
        <v>18</v>
      </c>
      <c r="V263" s="5">
        <f t="shared" si="91"/>
        <v>23</v>
      </c>
      <c r="W263" s="4">
        <v>77</v>
      </c>
      <c r="X263">
        <f t="shared" si="79"/>
        <v>0.14084507042253522</v>
      </c>
      <c r="AA263">
        <f t="shared" si="82"/>
        <v>0.323943661971831</v>
      </c>
      <c r="AD263">
        <f t="shared" si="85"/>
        <v>0.46478873239436619</v>
      </c>
      <c r="AG263">
        <v>0</v>
      </c>
      <c r="AH263" s="14">
        <v>13.225806451612904</v>
      </c>
      <c r="AI263" s="14">
        <v>17.905707196029777</v>
      </c>
      <c r="AJ263" s="14">
        <v>31.131513647642681</v>
      </c>
      <c r="AK263" s="14">
        <v>51.275434243176178</v>
      </c>
      <c r="AL263" s="5" t="s">
        <v>599</v>
      </c>
    </row>
    <row r="264" spans="1:41">
      <c r="A264" s="6" t="s">
        <v>102</v>
      </c>
      <c r="B264" t="s">
        <v>118</v>
      </c>
      <c r="C264">
        <v>6</v>
      </c>
      <c r="D264" t="s">
        <v>35</v>
      </c>
      <c r="E264">
        <v>6</v>
      </c>
      <c r="F264">
        <v>3</v>
      </c>
      <c r="G264" s="1">
        <f t="shared" si="88"/>
        <v>75</v>
      </c>
      <c r="H264">
        <v>195</v>
      </c>
      <c r="I264">
        <v>1992</v>
      </c>
      <c r="J264">
        <v>2010</v>
      </c>
      <c r="K264" s="1">
        <f t="shared" si="89"/>
        <v>18</v>
      </c>
      <c r="L264" t="s">
        <v>41</v>
      </c>
      <c r="M264" t="s">
        <v>43</v>
      </c>
      <c r="N264" s="2">
        <v>20</v>
      </c>
      <c r="O264" s="5">
        <v>11</v>
      </c>
      <c r="P264" s="5">
        <v>9</v>
      </c>
      <c r="Q264" s="5">
        <f t="shared" si="90"/>
        <v>20</v>
      </c>
      <c r="R264" s="4">
        <v>18</v>
      </c>
      <c r="S264" s="2">
        <v>71</v>
      </c>
      <c r="T264" s="5">
        <v>33</v>
      </c>
      <c r="U264" s="5">
        <v>33</v>
      </c>
      <c r="V264" s="5">
        <f t="shared" si="91"/>
        <v>66</v>
      </c>
      <c r="W264" s="4">
        <v>42</v>
      </c>
      <c r="X264">
        <f t="shared" si="79"/>
        <v>0.55000000000000004</v>
      </c>
      <c r="Y264">
        <f>T264/S264</f>
        <v>0.46478873239436619</v>
      </c>
      <c r="Z264">
        <f>X264-Y264</f>
        <v>8.5211267605633856E-2</v>
      </c>
      <c r="AA264">
        <f t="shared" si="82"/>
        <v>0.45</v>
      </c>
      <c r="AB264">
        <f>U264/S264</f>
        <v>0.46478873239436619</v>
      </c>
      <c r="AC264">
        <f>AA264-AB264</f>
        <v>-1.4788732394366177E-2</v>
      </c>
      <c r="AD264">
        <f t="shared" si="85"/>
        <v>1</v>
      </c>
      <c r="AE264">
        <f>V264/S264</f>
        <v>0.92957746478873238</v>
      </c>
      <c r="AF264">
        <f>AD264-AE264</f>
        <v>7.0422535211267623E-2</v>
      </c>
      <c r="AG264">
        <v>0</v>
      </c>
      <c r="AH264" s="14">
        <v>15.9241071428571</v>
      </c>
      <c r="AI264" s="14">
        <v>15.191964285714285</v>
      </c>
      <c r="AJ264" s="14">
        <v>31.116071428571427</v>
      </c>
      <c r="AK264" s="14">
        <v>37.339285714285715</v>
      </c>
      <c r="AL264" s="5" t="s">
        <v>599</v>
      </c>
    </row>
    <row r="265" spans="1:41">
      <c r="A265" t="s">
        <v>397</v>
      </c>
      <c r="B265" t="s">
        <v>403</v>
      </c>
      <c r="C265">
        <v>79</v>
      </c>
      <c r="D265" t="s">
        <v>65</v>
      </c>
      <c r="E265">
        <v>6</v>
      </c>
      <c r="F265">
        <v>1</v>
      </c>
      <c r="G265" s="1">
        <f t="shared" si="88"/>
        <v>73</v>
      </c>
      <c r="H265">
        <v>195</v>
      </c>
      <c r="I265">
        <v>1992</v>
      </c>
      <c r="J265">
        <v>2013</v>
      </c>
      <c r="K265" s="1">
        <f t="shared" si="89"/>
        <v>21</v>
      </c>
      <c r="L265" t="s">
        <v>41</v>
      </c>
      <c r="M265" t="s">
        <v>44</v>
      </c>
      <c r="N265" s="2">
        <v>55</v>
      </c>
      <c r="O265" s="5">
        <v>14</v>
      </c>
      <c r="P265" s="5">
        <v>17</v>
      </c>
      <c r="Q265" s="5">
        <f t="shared" si="90"/>
        <v>31</v>
      </c>
      <c r="R265" s="4">
        <v>32</v>
      </c>
      <c r="S265" s="2">
        <v>18</v>
      </c>
      <c r="T265" s="5">
        <v>0</v>
      </c>
      <c r="U265" s="5">
        <v>0</v>
      </c>
      <c r="V265" s="5">
        <f t="shared" si="91"/>
        <v>0</v>
      </c>
      <c r="W265" s="4">
        <v>2</v>
      </c>
      <c r="X265">
        <f t="shared" si="79"/>
        <v>0.25454545454545452</v>
      </c>
      <c r="AA265">
        <f t="shared" si="82"/>
        <v>0.30909090909090908</v>
      </c>
      <c r="AD265">
        <f t="shared" si="85"/>
        <v>0.5636363636363636</v>
      </c>
      <c r="AG265">
        <v>0</v>
      </c>
      <c r="AH265" s="14">
        <v>13.881889763779526</v>
      </c>
      <c r="AI265" s="14">
        <v>17.110236220472441</v>
      </c>
      <c r="AJ265" s="14">
        <v>30.992125984251967</v>
      </c>
      <c r="AK265" s="14">
        <v>21.952755905511811</v>
      </c>
      <c r="AL265" s="3" t="s">
        <v>605</v>
      </c>
    </row>
    <row r="266" spans="1:41">
      <c r="A266" t="s">
        <v>169</v>
      </c>
      <c r="B266" t="s">
        <v>174</v>
      </c>
      <c r="C266">
        <v>13</v>
      </c>
      <c r="D266" t="s">
        <v>64</v>
      </c>
      <c r="E266">
        <v>6</v>
      </c>
      <c r="F266">
        <v>2</v>
      </c>
      <c r="G266" s="1">
        <f t="shared" si="88"/>
        <v>74</v>
      </c>
      <c r="H266">
        <v>207</v>
      </c>
      <c r="I266">
        <v>1989</v>
      </c>
      <c r="J266">
        <v>2007</v>
      </c>
      <c r="K266" s="1">
        <f t="shared" si="89"/>
        <v>18</v>
      </c>
      <c r="L266" t="s">
        <v>41</v>
      </c>
      <c r="M266" t="s">
        <v>44</v>
      </c>
      <c r="N266" s="2">
        <v>52</v>
      </c>
      <c r="O266" s="5">
        <v>24</v>
      </c>
      <c r="P266" s="5">
        <v>53</v>
      </c>
      <c r="Q266" s="5">
        <f t="shared" si="90"/>
        <v>77</v>
      </c>
      <c r="R266" s="4">
        <v>86</v>
      </c>
      <c r="S266" s="2">
        <v>49</v>
      </c>
      <c r="T266" s="5">
        <v>14</v>
      </c>
      <c r="U266" s="5">
        <v>16</v>
      </c>
      <c r="V266" s="5">
        <f t="shared" si="91"/>
        <v>30</v>
      </c>
      <c r="W266" s="4">
        <v>24</v>
      </c>
      <c r="X266">
        <f t="shared" si="79"/>
        <v>0.46153846153846156</v>
      </c>
      <c r="Y266">
        <f>T266/S266</f>
        <v>0.2857142857142857</v>
      </c>
      <c r="Z266">
        <f>X266-Y266</f>
        <v>0.17582417582417587</v>
      </c>
      <c r="AA266">
        <f t="shared" si="82"/>
        <v>1.0192307692307692</v>
      </c>
      <c r="AB266">
        <f>U266/S266</f>
        <v>0.32653061224489793</v>
      </c>
      <c r="AC266">
        <f>AA266-AB266</f>
        <v>0.69270015698587128</v>
      </c>
      <c r="AD266">
        <f t="shared" si="85"/>
        <v>1.4807692307692308</v>
      </c>
      <c r="AE266">
        <f>V266/S266</f>
        <v>0.61224489795918369</v>
      </c>
      <c r="AF266">
        <f>AD266-AE266</f>
        <v>0.86852433281004715</v>
      </c>
      <c r="AG266">
        <v>0</v>
      </c>
      <c r="AH266" s="14">
        <v>13.994358251057829</v>
      </c>
      <c r="AI266" s="14">
        <v>16.885754583921017</v>
      </c>
      <c r="AJ266" s="14">
        <v>30.880112834978842</v>
      </c>
      <c r="AK266" s="14">
        <v>49.500705218617775</v>
      </c>
      <c r="AL266" s="5" t="s">
        <v>65</v>
      </c>
    </row>
    <row r="267" spans="1:41">
      <c r="A267" t="s">
        <v>306</v>
      </c>
      <c r="B267" t="s">
        <v>310</v>
      </c>
      <c r="C267">
        <v>56</v>
      </c>
      <c r="D267" t="s">
        <v>35</v>
      </c>
      <c r="E267">
        <v>6</v>
      </c>
      <c r="F267">
        <v>0</v>
      </c>
      <c r="G267" s="1">
        <f t="shared" si="88"/>
        <v>72</v>
      </c>
      <c r="H267">
        <v>203</v>
      </c>
      <c r="I267">
        <v>1996</v>
      </c>
      <c r="J267">
        <v>2015</v>
      </c>
      <c r="K267" s="1">
        <f t="shared" si="89"/>
        <v>19</v>
      </c>
      <c r="L267" t="s">
        <v>42</v>
      </c>
      <c r="M267" t="s">
        <v>44</v>
      </c>
      <c r="N267" s="2">
        <v>68</v>
      </c>
      <c r="O267" s="5">
        <v>18</v>
      </c>
      <c r="P267" s="5">
        <v>38</v>
      </c>
      <c r="Q267" s="5">
        <f t="shared" si="90"/>
        <v>56</v>
      </c>
      <c r="R267" s="4">
        <v>59</v>
      </c>
      <c r="S267" s="2">
        <v>63</v>
      </c>
      <c r="T267" s="5">
        <v>5</v>
      </c>
      <c r="U267" s="5">
        <v>28</v>
      </c>
      <c r="V267" s="5">
        <f t="shared" si="91"/>
        <v>33</v>
      </c>
      <c r="W267" s="4">
        <v>45</v>
      </c>
      <c r="X267">
        <f t="shared" si="79"/>
        <v>0.26470588235294118</v>
      </c>
      <c r="Y267">
        <f>T267/S267</f>
        <v>7.9365079365079361E-2</v>
      </c>
      <c r="Z267">
        <f>X267-Y267</f>
        <v>0.18534080298786182</v>
      </c>
      <c r="AA267">
        <f t="shared" si="82"/>
        <v>0.55882352941176472</v>
      </c>
      <c r="AB267">
        <f>U267/S267</f>
        <v>0.44444444444444442</v>
      </c>
      <c r="AC267">
        <f>AA267-AB267</f>
        <v>0.1143790849673203</v>
      </c>
      <c r="AD267">
        <f t="shared" si="85"/>
        <v>0.82352941176470584</v>
      </c>
      <c r="AE267">
        <f>V267/S267</f>
        <v>0.52380952380952384</v>
      </c>
      <c r="AF267">
        <f>AD267-AE267</f>
        <v>0.29971988795518201</v>
      </c>
      <c r="AG267">
        <v>0</v>
      </c>
      <c r="AH267" s="14">
        <v>9.7840909090909083</v>
      </c>
      <c r="AI267" s="14">
        <v>20.96590909090909</v>
      </c>
      <c r="AJ267" s="14">
        <v>30.75</v>
      </c>
      <c r="AK267" s="14">
        <v>32.147727272727273</v>
      </c>
      <c r="AL267" s="5" t="s">
        <v>600</v>
      </c>
    </row>
    <row r="268" spans="1:41">
      <c r="A268" t="s">
        <v>576</v>
      </c>
      <c r="B268" t="s">
        <v>587</v>
      </c>
      <c r="C268">
        <v>121</v>
      </c>
      <c r="D268" t="s">
        <v>66</v>
      </c>
      <c r="E268">
        <v>6</v>
      </c>
      <c r="F268">
        <v>2</v>
      </c>
      <c r="G268" s="1">
        <f t="shared" si="88"/>
        <v>74</v>
      </c>
      <c r="H268">
        <v>201</v>
      </c>
      <c r="I268">
        <v>1993</v>
      </c>
      <c r="J268">
        <v>2012</v>
      </c>
      <c r="K268" s="1">
        <f t="shared" si="89"/>
        <v>19</v>
      </c>
      <c r="L268" t="s">
        <v>41</v>
      </c>
      <c r="M268" t="s">
        <v>44</v>
      </c>
      <c r="N268" s="2">
        <v>30</v>
      </c>
      <c r="O268" s="5">
        <v>10</v>
      </c>
      <c r="P268" s="5">
        <v>18</v>
      </c>
      <c r="Q268" s="5">
        <f t="shared" si="90"/>
        <v>28</v>
      </c>
      <c r="R268" s="4">
        <v>51</v>
      </c>
      <c r="S268" s="2">
        <v>52</v>
      </c>
      <c r="T268" s="5">
        <v>23</v>
      </c>
      <c r="U268" s="5">
        <v>17</v>
      </c>
      <c r="V268" s="5">
        <f t="shared" si="91"/>
        <v>40</v>
      </c>
      <c r="W268" s="4">
        <v>42</v>
      </c>
      <c r="AG268">
        <v>0</v>
      </c>
      <c r="AH268" s="14">
        <v>20.5</v>
      </c>
      <c r="AI268" s="14">
        <v>10.25</v>
      </c>
      <c r="AJ268" s="14">
        <v>30.75</v>
      </c>
      <c r="AK268" s="14">
        <v>20.5</v>
      </c>
      <c r="AL268" s="3" t="s">
        <v>624</v>
      </c>
      <c r="AM268" s="22">
        <v>15</v>
      </c>
      <c r="AN268" s="22">
        <v>74</v>
      </c>
      <c r="AO268">
        <f>AM268/AN268</f>
        <v>0.20270270270270271</v>
      </c>
    </row>
    <row r="269" spans="1:41">
      <c r="A269" t="s">
        <v>430</v>
      </c>
      <c r="B269" t="s">
        <v>438</v>
      </c>
      <c r="C269">
        <v>8</v>
      </c>
      <c r="D269" t="s">
        <v>35</v>
      </c>
      <c r="E269">
        <v>6</v>
      </c>
      <c r="F269">
        <v>1</v>
      </c>
      <c r="G269" s="1">
        <f t="shared" si="88"/>
        <v>73</v>
      </c>
      <c r="H269">
        <v>192</v>
      </c>
      <c r="I269">
        <v>1998</v>
      </c>
      <c r="J269">
        <v>2016</v>
      </c>
      <c r="K269" s="1">
        <f t="shared" si="89"/>
        <v>18</v>
      </c>
      <c r="L269" t="s">
        <v>41</v>
      </c>
      <c r="M269" t="s">
        <v>43</v>
      </c>
      <c r="N269" s="2">
        <f>22+7+7+5+57</f>
        <v>98</v>
      </c>
      <c r="O269" s="3">
        <f>11+4+3+2+28</f>
        <v>48</v>
      </c>
      <c r="P269" s="3">
        <f>19+5+8+4+47</f>
        <v>83</v>
      </c>
      <c r="Q269" s="5">
        <f t="shared" si="90"/>
        <v>131</v>
      </c>
      <c r="R269" s="4">
        <f>8+6+18</f>
        <v>32</v>
      </c>
      <c r="S269" s="2">
        <f>6+42+2+5+3+17</f>
        <v>75</v>
      </c>
      <c r="T269" s="3">
        <f>2+15+2+4</f>
        <v>23</v>
      </c>
      <c r="U269" s="5">
        <f>5+25+2+11+6</f>
        <v>49</v>
      </c>
      <c r="V269" s="5">
        <f t="shared" si="91"/>
        <v>72</v>
      </c>
      <c r="W269" s="4">
        <f>12+2</f>
        <v>14</v>
      </c>
      <c r="AG269">
        <v>0</v>
      </c>
      <c r="AH269" s="14">
        <v>14.349999999999998</v>
      </c>
      <c r="AI269" s="14">
        <v>16.399999999999999</v>
      </c>
      <c r="AJ269" s="14">
        <v>30.749999999999996</v>
      </c>
      <c r="AK269" s="14">
        <v>12.299999999999999</v>
      </c>
      <c r="AL269" s="3" t="s">
        <v>600</v>
      </c>
    </row>
    <row r="270" spans="1:41">
      <c r="A270" t="s">
        <v>576</v>
      </c>
      <c r="B270" t="s">
        <v>583</v>
      </c>
      <c r="C270">
        <v>29</v>
      </c>
      <c r="D270" t="s">
        <v>65</v>
      </c>
      <c r="E270">
        <v>6</v>
      </c>
      <c r="F270">
        <v>2</v>
      </c>
      <c r="G270" s="1">
        <f t="shared" si="88"/>
        <v>74</v>
      </c>
      <c r="H270">
        <v>201</v>
      </c>
      <c r="I270">
        <v>1996</v>
      </c>
      <c r="J270">
        <v>2014</v>
      </c>
      <c r="K270" s="1">
        <f t="shared" si="89"/>
        <v>18</v>
      </c>
      <c r="L270" t="s">
        <v>41</v>
      </c>
      <c r="M270" t="s">
        <v>44</v>
      </c>
      <c r="N270" s="2">
        <v>97</v>
      </c>
      <c r="O270" s="3">
        <v>19</v>
      </c>
      <c r="P270" s="3">
        <v>40</v>
      </c>
      <c r="Q270" s="5">
        <f t="shared" si="90"/>
        <v>59</v>
      </c>
      <c r="R270" s="4">
        <v>110</v>
      </c>
      <c r="S270" s="2">
        <f>21+39+1+2+5</f>
        <v>68</v>
      </c>
      <c r="T270" s="3">
        <f>14+6+1+5</f>
        <v>26</v>
      </c>
      <c r="U270" s="3">
        <f>19+7+1</f>
        <v>27</v>
      </c>
      <c r="V270" s="5">
        <f t="shared" si="91"/>
        <v>53</v>
      </c>
      <c r="W270" s="4">
        <f>30+36+4</f>
        <v>70</v>
      </c>
      <c r="AG270">
        <v>0</v>
      </c>
      <c r="AH270" s="14">
        <v>12.555023923444976</v>
      </c>
      <c r="AI270" s="14">
        <v>18.047846889952154</v>
      </c>
      <c r="AJ270" s="14">
        <v>30.602870813397129</v>
      </c>
      <c r="AK270" s="14">
        <v>45.904306220095691</v>
      </c>
      <c r="AL270" s="3" t="s">
        <v>618</v>
      </c>
    </row>
    <row r="271" spans="1:41">
      <c r="A271" t="s">
        <v>413</v>
      </c>
      <c r="B271" t="s">
        <v>421</v>
      </c>
      <c r="C271">
        <v>13</v>
      </c>
      <c r="D271" t="s">
        <v>35</v>
      </c>
      <c r="E271">
        <v>6</v>
      </c>
      <c r="F271">
        <v>0</v>
      </c>
      <c r="G271" s="1">
        <f t="shared" si="88"/>
        <v>72</v>
      </c>
      <c r="H271">
        <v>195</v>
      </c>
      <c r="I271">
        <v>1995</v>
      </c>
      <c r="J271">
        <v>2013</v>
      </c>
      <c r="K271" s="1">
        <f t="shared" si="89"/>
        <v>18</v>
      </c>
      <c r="L271" t="s">
        <v>42</v>
      </c>
      <c r="M271" t="s">
        <v>44</v>
      </c>
      <c r="N271" s="2">
        <f>72</f>
        <v>72</v>
      </c>
      <c r="O271" s="5">
        <v>19</v>
      </c>
      <c r="P271" s="5">
        <v>44</v>
      </c>
      <c r="Q271" s="5">
        <f t="shared" si="90"/>
        <v>63</v>
      </c>
      <c r="R271" s="4">
        <f>91+4+14</f>
        <v>109</v>
      </c>
      <c r="S271" s="2">
        <f>80</f>
        <v>80</v>
      </c>
      <c r="T271" s="5">
        <v>11</v>
      </c>
      <c r="U271" s="5">
        <v>32</v>
      </c>
      <c r="V271" s="5">
        <f t="shared" si="91"/>
        <v>43</v>
      </c>
      <c r="W271" s="4">
        <v>92</v>
      </c>
      <c r="AG271">
        <v>0</v>
      </c>
      <c r="AH271" s="14">
        <v>7.0573770491803272</v>
      </c>
      <c r="AI271" s="14">
        <v>23.524590163934427</v>
      </c>
      <c r="AJ271" s="14">
        <v>30.581967213114751</v>
      </c>
      <c r="AK271" s="14">
        <v>33.942622950819668</v>
      </c>
      <c r="AL271" s="5" t="s">
        <v>599</v>
      </c>
      <c r="AM271" s="22">
        <v>15</v>
      </c>
      <c r="AN271" s="22">
        <v>505</v>
      </c>
      <c r="AO271">
        <f>AM271/AN271</f>
        <v>2.9702970297029702E-2</v>
      </c>
    </row>
    <row r="272" spans="1:41">
      <c r="A272" t="s">
        <v>556</v>
      </c>
      <c r="B272" t="s">
        <v>570</v>
      </c>
      <c r="C272">
        <v>10</v>
      </c>
      <c r="D272" t="s">
        <v>35</v>
      </c>
      <c r="E272">
        <v>6</v>
      </c>
      <c r="F272">
        <v>2</v>
      </c>
      <c r="G272" s="1">
        <f t="shared" si="88"/>
        <v>74</v>
      </c>
      <c r="H272">
        <v>234</v>
      </c>
      <c r="I272">
        <v>1995</v>
      </c>
      <c r="J272">
        <v>2014</v>
      </c>
      <c r="K272" s="1">
        <f t="shared" si="89"/>
        <v>19</v>
      </c>
      <c r="L272" t="s">
        <v>41</v>
      </c>
      <c r="M272" t="s">
        <v>44</v>
      </c>
      <c r="N272" s="2">
        <v>61</v>
      </c>
      <c r="O272" s="5">
        <v>39</v>
      </c>
      <c r="P272" s="5">
        <v>35</v>
      </c>
      <c r="Q272" s="5">
        <f t="shared" si="90"/>
        <v>74</v>
      </c>
      <c r="R272" s="4">
        <v>136</v>
      </c>
      <c r="S272" s="2">
        <v>41</v>
      </c>
      <c r="T272" s="5">
        <v>18</v>
      </c>
      <c r="U272" s="5">
        <v>17</v>
      </c>
      <c r="V272" s="5">
        <f t="shared" si="91"/>
        <v>35</v>
      </c>
      <c r="W272" s="4">
        <v>50</v>
      </c>
      <c r="AG272">
        <v>0</v>
      </c>
      <c r="AH272" s="14">
        <v>11.626865671641792</v>
      </c>
      <c r="AI272" s="14">
        <v>18.664179104477611</v>
      </c>
      <c r="AJ272" s="14">
        <v>30.291044776119403</v>
      </c>
      <c r="AK272" s="14">
        <v>92.708955223880594</v>
      </c>
      <c r="AL272" s="3" t="s">
        <v>600</v>
      </c>
    </row>
    <row r="273" spans="1:41">
      <c r="A273" t="s">
        <v>220</v>
      </c>
      <c r="B273" t="s">
        <v>227</v>
      </c>
      <c r="C273">
        <v>28</v>
      </c>
      <c r="D273" t="s">
        <v>34</v>
      </c>
      <c r="E273">
        <v>6</v>
      </c>
      <c r="F273">
        <v>1</v>
      </c>
      <c r="G273" s="1">
        <f t="shared" si="88"/>
        <v>73</v>
      </c>
      <c r="H273">
        <v>203</v>
      </c>
      <c r="I273">
        <v>1986</v>
      </c>
      <c r="J273">
        <v>2005</v>
      </c>
      <c r="K273" s="1">
        <f t="shared" si="89"/>
        <v>19</v>
      </c>
      <c r="L273" t="s">
        <v>42</v>
      </c>
      <c r="M273" t="s">
        <v>43</v>
      </c>
      <c r="N273" s="2">
        <v>29</v>
      </c>
      <c r="O273" s="5">
        <v>27</v>
      </c>
      <c r="P273" s="5">
        <v>38</v>
      </c>
      <c r="Q273" s="5">
        <f t="shared" si="90"/>
        <v>65</v>
      </c>
      <c r="R273" s="4">
        <v>34</v>
      </c>
      <c r="V273" s="5">
        <f t="shared" si="91"/>
        <v>0</v>
      </c>
      <c r="X273">
        <f t="shared" ref="X273:X278" si="93">O273/N273</f>
        <v>0.93103448275862066</v>
      </c>
      <c r="Y273" t="e">
        <f t="shared" ref="Y273:Y278" si="94">T273/S273</f>
        <v>#DIV/0!</v>
      </c>
      <c r="Z273" t="e">
        <f t="shared" ref="Z273:Z278" si="95">X273-Y273</f>
        <v>#DIV/0!</v>
      </c>
      <c r="AA273">
        <f t="shared" ref="AA273:AA278" si="96">P273/N273</f>
        <v>1.3103448275862069</v>
      </c>
      <c r="AB273" t="e">
        <f t="shared" ref="AB273:AB278" si="97">U273/S273</f>
        <v>#DIV/0!</v>
      </c>
      <c r="AC273" t="e">
        <f t="shared" ref="AC273:AC278" si="98">AA273-AB273</f>
        <v>#DIV/0!</v>
      </c>
      <c r="AD273">
        <f t="shared" ref="AD273:AD278" si="99">Q273/N273</f>
        <v>2.2413793103448274</v>
      </c>
      <c r="AE273" t="e">
        <f t="shared" ref="AE273:AE278" si="100">V273/S273</f>
        <v>#DIV/0!</v>
      </c>
      <c r="AF273" t="e">
        <f t="shared" ref="AF273:AF278" si="101">AD273-AE273</f>
        <v>#DIV/0!</v>
      </c>
      <c r="AG273">
        <v>0</v>
      </c>
      <c r="AH273" s="14">
        <v>6</v>
      </c>
      <c r="AI273" s="14">
        <v>24.181818181818183</v>
      </c>
      <c r="AJ273" s="14">
        <v>30.181818181818183</v>
      </c>
      <c r="AK273" s="14">
        <v>43</v>
      </c>
      <c r="AL273" s="3" t="s">
        <v>603</v>
      </c>
      <c r="AM273" s="22">
        <v>14</v>
      </c>
      <c r="AN273" s="22">
        <v>635</v>
      </c>
      <c r="AO273">
        <f>AM273/AN273</f>
        <v>2.2047244094488189E-2</v>
      </c>
    </row>
    <row r="274" spans="1:41">
      <c r="A274" t="s">
        <v>251</v>
      </c>
      <c r="B274" t="s">
        <v>259</v>
      </c>
      <c r="C274">
        <v>16</v>
      </c>
      <c r="D274" t="s">
        <v>34</v>
      </c>
      <c r="E274">
        <v>6</v>
      </c>
      <c r="F274">
        <v>0</v>
      </c>
      <c r="G274" s="1">
        <f t="shared" si="88"/>
        <v>72</v>
      </c>
      <c r="H274">
        <v>194</v>
      </c>
      <c r="I274">
        <v>1996</v>
      </c>
      <c r="J274">
        <v>2014</v>
      </c>
      <c r="K274" s="1">
        <f t="shared" si="89"/>
        <v>18</v>
      </c>
      <c r="L274" t="s">
        <v>41</v>
      </c>
      <c r="M274" t="s">
        <v>44</v>
      </c>
      <c r="N274" s="2">
        <f>25+7+58</f>
        <v>90</v>
      </c>
      <c r="O274" s="5">
        <v>46</v>
      </c>
      <c r="P274" s="5">
        <v>89</v>
      </c>
      <c r="Q274" s="5">
        <f t="shared" si="90"/>
        <v>135</v>
      </c>
      <c r="R274" s="4">
        <v>48</v>
      </c>
      <c r="S274" s="2">
        <f>6+56+38</f>
        <v>100</v>
      </c>
      <c r="T274" s="5">
        <v>34</v>
      </c>
      <c r="U274" s="5">
        <v>45</v>
      </c>
      <c r="V274" s="5">
        <f t="shared" si="91"/>
        <v>79</v>
      </c>
      <c r="W274" s="4">
        <v>38</v>
      </c>
      <c r="X274">
        <f t="shared" si="93"/>
        <v>0.51111111111111107</v>
      </c>
      <c r="Y274">
        <f t="shared" si="94"/>
        <v>0.34</v>
      </c>
      <c r="Z274">
        <f t="shared" si="95"/>
        <v>0.17111111111111105</v>
      </c>
      <c r="AA274">
        <f t="shared" si="96"/>
        <v>0.98888888888888893</v>
      </c>
      <c r="AB274">
        <f t="shared" si="97"/>
        <v>0.45</v>
      </c>
      <c r="AC274">
        <f t="shared" si="98"/>
        <v>0.53888888888888897</v>
      </c>
      <c r="AD274">
        <f t="shared" si="99"/>
        <v>1.5</v>
      </c>
      <c r="AE274">
        <f t="shared" si="100"/>
        <v>0.79</v>
      </c>
      <c r="AF274">
        <f t="shared" si="101"/>
        <v>0.71</v>
      </c>
      <c r="AG274">
        <v>0</v>
      </c>
      <c r="AH274" s="14">
        <v>16.772727272727273</v>
      </c>
      <c r="AI274" s="14">
        <v>13.045454545454545</v>
      </c>
      <c r="AJ274" s="14">
        <v>29.818181818181817</v>
      </c>
      <c r="AK274" s="14">
        <v>20.5</v>
      </c>
      <c r="AL274" s="3" t="s">
        <v>608</v>
      </c>
    </row>
    <row r="275" spans="1:41">
      <c r="A275" s="6" t="s">
        <v>121</v>
      </c>
      <c r="B275" t="s">
        <v>126</v>
      </c>
      <c r="C275">
        <v>120</v>
      </c>
      <c r="D275" t="s">
        <v>35</v>
      </c>
      <c r="E275">
        <v>6</v>
      </c>
      <c r="F275">
        <v>1</v>
      </c>
      <c r="G275" s="1">
        <f t="shared" si="88"/>
        <v>73</v>
      </c>
      <c r="H275">
        <v>190</v>
      </c>
      <c r="I275">
        <v>1997</v>
      </c>
      <c r="J275">
        <v>2015</v>
      </c>
      <c r="K275" s="1">
        <f t="shared" si="89"/>
        <v>18</v>
      </c>
      <c r="L275" t="s">
        <v>41</v>
      </c>
      <c r="M275" t="s">
        <v>43</v>
      </c>
      <c r="N275" s="2">
        <v>59</v>
      </c>
      <c r="O275" s="5">
        <v>21</v>
      </c>
      <c r="P275" s="5">
        <v>21</v>
      </c>
      <c r="Q275" s="5">
        <f t="shared" si="90"/>
        <v>42</v>
      </c>
      <c r="R275" s="4">
        <v>46</v>
      </c>
      <c r="S275" s="2">
        <v>62</v>
      </c>
      <c r="T275" s="5">
        <v>12</v>
      </c>
      <c r="U275" s="5">
        <v>35</v>
      </c>
      <c r="V275" s="5">
        <f t="shared" si="91"/>
        <v>47</v>
      </c>
      <c r="W275" s="4">
        <v>78</v>
      </c>
      <c r="X275">
        <f t="shared" si="93"/>
        <v>0.3559322033898305</v>
      </c>
      <c r="Y275">
        <f t="shared" si="94"/>
        <v>0.19354838709677419</v>
      </c>
      <c r="Z275">
        <f t="shared" si="95"/>
        <v>0.16238381629305632</v>
      </c>
      <c r="AA275">
        <f t="shared" si="96"/>
        <v>0.3559322033898305</v>
      </c>
      <c r="AB275">
        <f t="shared" si="97"/>
        <v>0.56451612903225812</v>
      </c>
      <c r="AC275">
        <f t="shared" si="98"/>
        <v>-0.20858392564242761</v>
      </c>
      <c r="AD275">
        <f t="shared" si="99"/>
        <v>0.71186440677966101</v>
      </c>
      <c r="AE275">
        <f t="shared" si="100"/>
        <v>0.75806451612903225</v>
      </c>
      <c r="AF275">
        <f t="shared" si="101"/>
        <v>-4.6200109349371243E-2</v>
      </c>
      <c r="AG275">
        <v>0</v>
      </c>
      <c r="AH275" s="14">
        <v>15.84090909090909</v>
      </c>
      <c r="AI275" s="14">
        <v>13.977272727272727</v>
      </c>
      <c r="AJ275" s="14">
        <v>29.818181818181817</v>
      </c>
      <c r="AK275" s="14">
        <v>29.818181818181817</v>
      </c>
      <c r="AL275" s="5" t="s">
        <v>614</v>
      </c>
    </row>
    <row r="276" spans="1:41">
      <c r="A276" s="6" t="s">
        <v>87</v>
      </c>
      <c r="B276" t="s">
        <v>92</v>
      </c>
      <c r="C276">
        <v>55</v>
      </c>
      <c r="D276" t="s">
        <v>38</v>
      </c>
      <c r="E276">
        <v>6</v>
      </c>
      <c r="F276">
        <v>0</v>
      </c>
      <c r="G276" s="1">
        <f t="shared" si="88"/>
        <v>72</v>
      </c>
      <c r="H276">
        <v>177</v>
      </c>
      <c r="I276">
        <v>1995</v>
      </c>
      <c r="J276">
        <v>2013</v>
      </c>
      <c r="K276" s="1">
        <f t="shared" si="89"/>
        <v>18</v>
      </c>
      <c r="L276" t="s">
        <v>41</v>
      </c>
      <c r="M276" t="s">
        <v>44</v>
      </c>
      <c r="N276" s="2">
        <f>19+7+45+7+6</f>
        <v>84</v>
      </c>
      <c r="O276" s="3">
        <f>9+3+14+5+3</f>
        <v>34</v>
      </c>
      <c r="P276" s="3">
        <f>10+6+16+3+1</f>
        <v>36</v>
      </c>
      <c r="Q276" s="5">
        <f t="shared" si="90"/>
        <v>70</v>
      </c>
      <c r="R276" s="4">
        <f>22+12+12+2+4</f>
        <v>52</v>
      </c>
      <c r="S276" s="2">
        <f>19+40+1+18+7+5</f>
        <v>90</v>
      </c>
      <c r="T276" s="3">
        <f>15+28+2+2+7+2</f>
        <v>56</v>
      </c>
      <c r="U276" s="3">
        <f>10+26+1+2+3+3</f>
        <v>45</v>
      </c>
      <c r="V276" s="3">
        <f t="shared" si="91"/>
        <v>101</v>
      </c>
      <c r="W276" s="4">
        <f>12+54+8+6+4</f>
        <v>84</v>
      </c>
      <c r="X276">
        <f t="shared" si="93"/>
        <v>0.40476190476190477</v>
      </c>
      <c r="Y276">
        <f t="shared" si="94"/>
        <v>0.62222222222222223</v>
      </c>
      <c r="Z276">
        <f t="shared" si="95"/>
        <v>-0.21746031746031746</v>
      </c>
      <c r="AA276">
        <f t="shared" si="96"/>
        <v>0.42857142857142855</v>
      </c>
      <c r="AB276">
        <f t="shared" si="97"/>
        <v>0.5</v>
      </c>
      <c r="AC276">
        <f t="shared" si="98"/>
        <v>-7.1428571428571452E-2</v>
      </c>
      <c r="AD276">
        <f t="shared" si="99"/>
        <v>0.83333333333333337</v>
      </c>
      <c r="AE276">
        <f t="shared" si="100"/>
        <v>1.1222222222222222</v>
      </c>
      <c r="AF276">
        <f t="shared" si="101"/>
        <v>-0.28888888888888886</v>
      </c>
      <c r="AG276">
        <v>0</v>
      </c>
      <c r="AH276" s="14">
        <v>14.847736625514404</v>
      </c>
      <c r="AI276" s="14">
        <v>14.847736625514404</v>
      </c>
      <c r="AJ276" s="14">
        <v>29.695473251028808</v>
      </c>
      <c r="AK276" s="14">
        <v>24.971193415637863</v>
      </c>
      <c r="AL276" s="5" t="s">
        <v>618</v>
      </c>
    </row>
    <row r="277" spans="1:41">
      <c r="A277" t="s">
        <v>266</v>
      </c>
      <c r="B277" t="s">
        <v>269</v>
      </c>
      <c r="C277">
        <v>21</v>
      </c>
      <c r="D277" t="s">
        <v>37</v>
      </c>
      <c r="E277">
        <v>6</v>
      </c>
      <c r="F277">
        <v>2</v>
      </c>
      <c r="G277" s="1">
        <f t="shared" si="88"/>
        <v>74</v>
      </c>
      <c r="H277">
        <v>208</v>
      </c>
      <c r="I277">
        <v>1999</v>
      </c>
      <c r="J277">
        <v>2017</v>
      </c>
      <c r="K277" s="1">
        <f t="shared" si="89"/>
        <v>18</v>
      </c>
      <c r="L277" t="s">
        <v>41</v>
      </c>
      <c r="M277" t="s">
        <v>44</v>
      </c>
      <c r="N277" s="2">
        <v>45</v>
      </c>
      <c r="O277" s="5">
        <v>6</v>
      </c>
      <c r="P277" s="5">
        <v>7</v>
      </c>
      <c r="Q277" s="5">
        <f t="shared" si="90"/>
        <v>13</v>
      </c>
      <c r="R277" s="4">
        <v>18</v>
      </c>
      <c r="S277" s="2">
        <v>30</v>
      </c>
      <c r="T277" s="5">
        <v>28</v>
      </c>
      <c r="U277" s="5">
        <v>22</v>
      </c>
      <c r="V277" s="5">
        <f t="shared" si="91"/>
        <v>50</v>
      </c>
      <c r="W277" s="4">
        <v>8</v>
      </c>
      <c r="X277">
        <f t="shared" si="93"/>
        <v>0.13333333333333333</v>
      </c>
      <c r="Y277">
        <f t="shared" si="94"/>
        <v>0.93333333333333335</v>
      </c>
      <c r="Z277">
        <f t="shared" si="95"/>
        <v>-0.8</v>
      </c>
      <c r="AA277">
        <f t="shared" si="96"/>
        <v>0.15555555555555556</v>
      </c>
      <c r="AB277">
        <f t="shared" si="97"/>
        <v>0.73333333333333328</v>
      </c>
      <c r="AC277">
        <f t="shared" si="98"/>
        <v>-0.57777777777777772</v>
      </c>
      <c r="AD277">
        <f t="shared" si="99"/>
        <v>0.28888888888888886</v>
      </c>
      <c r="AE277">
        <f t="shared" si="100"/>
        <v>1.6666666666666667</v>
      </c>
      <c r="AF277">
        <f t="shared" si="101"/>
        <v>-1.3777777777777778</v>
      </c>
      <c r="AG277">
        <v>0</v>
      </c>
      <c r="AH277" s="14">
        <v>15.702127659574469</v>
      </c>
      <c r="AI277" s="14">
        <v>13.957446808510639</v>
      </c>
      <c r="AJ277" s="14">
        <v>29.659574468085108</v>
      </c>
      <c r="AK277" s="14">
        <v>10.468085106382979</v>
      </c>
      <c r="AL277" s="5" t="s">
        <v>607</v>
      </c>
    </row>
    <row r="278" spans="1:41">
      <c r="A278" t="s">
        <v>322</v>
      </c>
      <c r="B278" t="s">
        <v>324</v>
      </c>
      <c r="C278">
        <v>127</v>
      </c>
      <c r="D278" t="s">
        <v>35</v>
      </c>
      <c r="E278">
        <v>5</v>
      </c>
      <c r="F278">
        <v>11</v>
      </c>
      <c r="G278" s="1">
        <f t="shared" si="88"/>
        <v>71</v>
      </c>
      <c r="H278">
        <v>186</v>
      </c>
      <c r="I278">
        <v>1989</v>
      </c>
      <c r="J278">
        <v>2008</v>
      </c>
      <c r="K278" s="1">
        <f t="shared" si="89"/>
        <v>19</v>
      </c>
      <c r="L278" t="s">
        <v>41</v>
      </c>
      <c r="M278" t="s">
        <v>44</v>
      </c>
      <c r="N278" s="2">
        <v>72</v>
      </c>
      <c r="O278" s="5">
        <v>24</v>
      </c>
      <c r="P278" s="5">
        <v>40</v>
      </c>
      <c r="Q278" s="5">
        <f t="shared" si="90"/>
        <v>64</v>
      </c>
      <c r="R278" s="4">
        <v>53</v>
      </c>
      <c r="S278" s="2">
        <v>31</v>
      </c>
      <c r="T278" s="5">
        <v>28</v>
      </c>
      <c r="U278" s="5">
        <v>55</v>
      </c>
      <c r="V278" s="5">
        <f t="shared" si="91"/>
        <v>83</v>
      </c>
      <c r="W278" s="4">
        <v>61</v>
      </c>
      <c r="X278">
        <f t="shared" si="93"/>
        <v>0.33333333333333331</v>
      </c>
      <c r="Y278">
        <f t="shared" si="94"/>
        <v>0.90322580645161288</v>
      </c>
      <c r="Z278">
        <f t="shared" si="95"/>
        <v>-0.56989247311827951</v>
      </c>
      <c r="AA278">
        <f t="shared" si="96"/>
        <v>0.55555555555555558</v>
      </c>
      <c r="AB278">
        <f t="shared" si="97"/>
        <v>1.7741935483870968</v>
      </c>
      <c r="AC278">
        <f t="shared" si="98"/>
        <v>-1.2186379928315412</v>
      </c>
      <c r="AD278">
        <f t="shared" si="99"/>
        <v>0.88888888888888884</v>
      </c>
      <c r="AE278">
        <f t="shared" si="100"/>
        <v>2.6774193548387095</v>
      </c>
      <c r="AF278">
        <f t="shared" si="101"/>
        <v>-1.7885304659498207</v>
      </c>
      <c r="AG278">
        <v>0</v>
      </c>
      <c r="AH278" s="14">
        <v>13.772200772200771</v>
      </c>
      <c r="AI278" s="14">
        <v>15.83011583011583</v>
      </c>
      <c r="AJ278" s="14">
        <v>29.602316602316602</v>
      </c>
      <c r="AK278" s="14">
        <v>55.722007722007717</v>
      </c>
      <c r="AL278" s="3" t="s">
        <v>599</v>
      </c>
    </row>
    <row r="279" spans="1:41">
      <c r="A279" t="s">
        <v>556</v>
      </c>
      <c r="B279" t="s">
        <v>557</v>
      </c>
      <c r="C279">
        <v>20</v>
      </c>
      <c r="D279" t="s">
        <v>35</v>
      </c>
      <c r="E279">
        <v>6</v>
      </c>
      <c r="F279">
        <v>0</v>
      </c>
      <c r="G279" s="1">
        <f t="shared" si="88"/>
        <v>72</v>
      </c>
      <c r="H279">
        <v>201</v>
      </c>
      <c r="I279">
        <v>1990</v>
      </c>
      <c r="J279">
        <v>2008</v>
      </c>
      <c r="K279" s="1">
        <f t="shared" si="89"/>
        <v>18</v>
      </c>
      <c r="L279" t="s">
        <v>42</v>
      </c>
      <c r="M279" t="s">
        <v>44</v>
      </c>
      <c r="N279" s="2">
        <v>64</v>
      </c>
      <c r="O279" s="5">
        <v>16</v>
      </c>
      <c r="P279" s="5">
        <v>47</v>
      </c>
      <c r="Q279" s="5">
        <f t="shared" si="90"/>
        <v>63</v>
      </c>
      <c r="R279" s="4">
        <v>82</v>
      </c>
      <c r="S279" s="2">
        <v>64</v>
      </c>
      <c r="T279" s="5">
        <v>10</v>
      </c>
      <c r="U279" s="5">
        <v>47</v>
      </c>
      <c r="V279" s="5">
        <f t="shared" si="91"/>
        <v>57</v>
      </c>
      <c r="W279" s="4">
        <v>78</v>
      </c>
      <c r="AG279">
        <v>0</v>
      </c>
      <c r="AH279" s="14">
        <v>7.2160000000000002</v>
      </c>
      <c r="AI279" s="14">
        <v>22.304000000000002</v>
      </c>
      <c r="AJ279" s="14">
        <v>29.520000000000003</v>
      </c>
      <c r="AK279" s="14">
        <v>34.374400000000001</v>
      </c>
      <c r="AL279" s="5" t="s">
        <v>600</v>
      </c>
      <c r="AM279" s="22">
        <v>12</v>
      </c>
      <c r="AN279" s="22">
        <v>203</v>
      </c>
      <c r="AO279">
        <f>AM279/AN279</f>
        <v>5.9113300492610835E-2</v>
      </c>
    </row>
    <row r="280" spans="1:41">
      <c r="A280" t="s">
        <v>510</v>
      </c>
      <c r="B280" t="s">
        <v>514</v>
      </c>
      <c r="C280">
        <v>6</v>
      </c>
      <c r="D280" t="s">
        <v>35</v>
      </c>
      <c r="E280">
        <v>6</v>
      </c>
      <c r="F280">
        <v>2</v>
      </c>
      <c r="G280" s="1">
        <f t="shared" si="88"/>
        <v>74</v>
      </c>
      <c r="H280">
        <v>179</v>
      </c>
      <c r="I280">
        <v>1999</v>
      </c>
      <c r="J280">
        <v>2017</v>
      </c>
      <c r="K280" s="1">
        <f t="shared" si="89"/>
        <v>18</v>
      </c>
      <c r="L280" t="s">
        <v>41</v>
      </c>
      <c r="M280" t="s">
        <v>43</v>
      </c>
      <c r="N280" s="2">
        <v>72</v>
      </c>
      <c r="O280" s="5">
        <v>34</v>
      </c>
      <c r="P280" s="5">
        <v>63</v>
      </c>
      <c r="Q280" s="5">
        <f t="shared" si="90"/>
        <v>97</v>
      </c>
      <c r="R280" s="4">
        <v>36</v>
      </c>
      <c r="S280" s="2">
        <v>71</v>
      </c>
      <c r="T280" s="5">
        <v>10</v>
      </c>
      <c r="U280" s="5">
        <v>17</v>
      </c>
      <c r="V280" s="5">
        <f t="shared" si="91"/>
        <v>27</v>
      </c>
      <c r="W280" s="4">
        <v>20</v>
      </c>
      <c r="AG280">
        <v>0</v>
      </c>
      <c r="AH280" s="14">
        <v>13.12</v>
      </c>
      <c r="AI280" s="14">
        <v>16.399999999999999</v>
      </c>
      <c r="AJ280" s="14">
        <v>29.52</v>
      </c>
      <c r="AK280" s="14">
        <v>13.12</v>
      </c>
      <c r="AL280" s="5" t="s">
        <v>599</v>
      </c>
    </row>
    <row r="281" spans="1:41">
      <c r="A281" t="s">
        <v>556</v>
      </c>
      <c r="B281" t="s">
        <v>568</v>
      </c>
      <c r="C281">
        <v>85</v>
      </c>
      <c r="D281" t="s">
        <v>35</v>
      </c>
      <c r="E281">
        <v>6</v>
      </c>
      <c r="F281">
        <v>1</v>
      </c>
      <c r="G281" s="1">
        <f t="shared" si="88"/>
        <v>73</v>
      </c>
      <c r="H281">
        <v>192</v>
      </c>
      <c r="I281">
        <v>1998</v>
      </c>
      <c r="J281">
        <v>2016</v>
      </c>
      <c r="K281" s="1">
        <f t="shared" si="89"/>
        <v>18</v>
      </c>
      <c r="L281" t="s">
        <v>42</v>
      </c>
      <c r="M281" t="s">
        <v>44</v>
      </c>
      <c r="N281" s="2">
        <v>2</v>
      </c>
      <c r="O281" s="5">
        <v>0</v>
      </c>
      <c r="P281" s="5">
        <v>1</v>
      </c>
      <c r="Q281" s="5">
        <f t="shared" si="90"/>
        <v>1</v>
      </c>
      <c r="R281" s="4">
        <v>0</v>
      </c>
      <c r="S281" s="2">
        <v>51</v>
      </c>
      <c r="T281" s="5">
        <v>2</v>
      </c>
      <c r="U281" s="5">
        <v>6</v>
      </c>
      <c r="V281" s="5">
        <f t="shared" si="91"/>
        <v>8</v>
      </c>
      <c r="W281" s="4">
        <v>20</v>
      </c>
      <c r="AG281">
        <v>0</v>
      </c>
      <c r="AH281" s="14">
        <v>6.56</v>
      </c>
      <c r="AI281" s="14">
        <v>22.959999999999997</v>
      </c>
      <c r="AJ281" s="14">
        <v>29.52</v>
      </c>
      <c r="AK281" s="14">
        <v>19.68</v>
      </c>
      <c r="AL281" s="3" t="s">
        <v>599</v>
      </c>
      <c r="AM281" s="22">
        <v>12</v>
      </c>
      <c r="AN281" s="22">
        <v>121</v>
      </c>
      <c r="AO281">
        <f t="shared" ref="AO281:AO282" si="102">AM281/AN281</f>
        <v>9.9173553719008267E-2</v>
      </c>
    </row>
    <row r="282" spans="1:41">
      <c r="A282" t="s">
        <v>266</v>
      </c>
      <c r="B282" t="s">
        <v>279</v>
      </c>
      <c r="C282">
        <v>28</v>
      </c>
      <c r="D282" t="s">
        <v>34</v>
      </c>
      <c r="E282">
        <v>6</v>
      </c>
      <c r="F282">
        <v>3</v>
      </c>
      <c r="G282" s="1">
        <f t="shared" si="88"/>
        <v>75</v>
      </c>
      <c r="H282">
        <v>214</v>
      </c>
      <c r="I282">
        <v>1994</v>
      </c>
      <c r="J282">
        <v>2012</v>
      </c>
      <c r="K282" s="1">
        <f t="shared" si="89"/>
        <v>18</v>
      </c>
      <c r="L282" t="s">
        <v>42</v>
      </c>
      <c r="M282" t="s">
        <v>44</v>
      </c>
      <c r="N282" s="2">
        <v>24</v>
      </c>
      <c r="O282" s="5">
        <v>3</v>
      </c>
      <c r="P282" s="5">
        <v>9</v>
      </c>
      <c r="Q282" s="5">
        <f t="shared" si="90"/>
        <v>12</v>
      </c>
      <c r="R282" s="4">
        <v>12</v>
      </c>
      <c r="S282" s="2">
        <v>36</v>
      </c>
      <c r="T282" s="5">
        <v>1</v>
      </c>
      <c r="U282" s="5">
        <v>5</v>
      </c>
      <c r="V282" s="5">
        <f t="shared" si="91"/>
        <v>6</v>
      </c>
      <c r="W282" s="4">
        <v>14</v>
      </c>
      <c r="X282">
        <f t="shared" ref="X282:X287" si="103">O282/N282</f>
        <v>0.125</v>
      </c>
      <c r="Y282">
        <f t="shared" ref="Y282:Y287" si="104">T282/S282</f>
        <v>2.7777777777777776E-2</v>
      </c>
      <c r="Z282">
        <f t="shared" ref="Z282:Z287" si="105">X282-Y282</f>
        <v>9.7222222222222224E-2</v>
      </c>
      <c r="AA282">
        <f t="shared" ref="AA282:AA287" si="106">P282/N282</f>
        <v>0.375</v>
      </c>
      <c r="AB282">
        <f t="shared" ref="AB282:AB287" si="107">U282/S282</f>
        <v>0.1388888888888889</v>
      </c>
      <c r="AC282">
        <f t="shared" ref="AC282:AC287" si="108">AA282-AB282</f>
        <v>0.2361111111111111</v>
      </c>
      <c r="AD282">
        <f t="shared" ref="AD282:AD287" si="109">Q282/N282</f>
        <v>0.5</v>
      </c>
      <c r="AE282">
        <f t="shared" ref="AE282:AE287" si="110">V282/S282</f>
        <v>0.16666666666666666</v>
      </c>
      <c r="AF282">
        <f t="shared" ref="AF282:AF287" si="111">AD282-AE282</f>
        <v>0.33333333333333337</v>
      </c>
      <c r="AG282">
        <v>0</v>
      </c>
      <c r="AH282" s="14">
        <v>5.879245283018868</v>
      </c>
      <c r="AI282" s="14">
        <v>23.516981132075472</v>
      </c>
      <c r="AJ282" s="14">
        <v>29.39622641509434</v>
      </c>
      <c r="AK282" s="14">
        <v>44.249056603773582</v>
      </c>
      <c r="AL282" s="5" t="s">
        <v>608</v>
      </c>
      <c r="AM282" s="22">
        <v>10</v>
      </c>
      <c r="AN282" s="22">
        <v>26</v>
      </c>
      <c r="AO282">
        <f t="shared" si="102"/>
        <v>0.38461538461538464</v>
      </c>
    </row>
    <row r="283" spans="1:41">
      <c r="A283" s="6" t="s">
        <v>87</v>
      </c>
      <c r="B283" t="s">
        <v>88</v>
      </c>
      <c r="C283">
        <v>16</v>
      </c>
      <c r="D283" t="s">
        <v>38</v>
      </c>
      <c r="E283">
        <v>6</v>
      </c>
      <c r="F283">
        <v>4</v>
      </c>
      <c r="G283" s="1">
        <f t="shared" si="88"/>
        <v>76</v>
      </c>
      <c r="H283">
        <v>210</v>
      </c>
      <c r="I283">
        <v>1993</v>
      </c>
      <c r="J283">
        <v>2011</v>
      </c>
      <c r="K283" s="1">
        <f t="shared" si="89"/>
        <v>18</v>
      </c>
      <c r="L283" t="s">
        <v>41</v>
      </c>
      <c r="M283" t="s">
        <v>43</v>
      </c>
      <c r="N283" s="2">
        <v>48</v>
      </c>
      <c r="O283" s="5">
        <v>18</v>
      </c>
      <c r="P283" s="5">
        <v>11</v>
      </c>
      <c r="Q283" s="5">
        <f t="shared" si="90"/>
        <v>29</v>
      </c>
      <c r="R283" s="4">
        <v>24</v>
      </c>
      <c r="V283" s="3">
        <f t="shared" si="91"/>
        <v>0</v>
      </c>
      <c r="X283">
        <f t="shared" si="103"/>
        <v>0.375</v>
      </c>
      <c r="Y283" t="e">
        <f t="shared" si="104"/>
        <v>#DIV/0!</v>
      </c>
      <c r="Z283" t="e">
        <f t="shared" si="105"/>
        <v>#DIV/0!</v>
      </c>
      <c r="AA283">
        <f t="shared" si="106"/>
        <v>0.22916666666666666</v>
      </c>
      <c r="AB283" t="e">
        <f t="shared" si="107"/>
        <v>#DIV/0!</v>
      </c>
      <c r="AC283" t="e">
        <f t="shared" si="108"/>
        <v>#DIV/0!</v>
      </c>
      <c r="AD283">
        <f t="shared" si="109"/>
        <v>0.60416666666666663</v>
      </c>
      <c r="AE283" t="e">
        <f t="shared" si="110"/>
        <v>#DIV/0!</v>
      </c>
      <c r="AF283" t="e">
        <f t="shared" si="111"/>
        <v>#DIV/0!</v>
      </c>
      <c r="AG283">
        <v>0</v>
      </c>
      <c r="AH283" s="14">
        <v>14.67704280155642</v>
      </c>
      <c r="AI283" s="14">
        <v>14.67704280155642</v>
      </c>
      <c r="AJ283" s="14">
        <v>29.354085603112839</v>
      </c>
      <c r="AK283" s="14">
        <v>22.334630350194551</v>
      </c>
      <c r="AL283" s="3" t="s">
        <v>615</v>
      </c>
    </row>
    <row r="284" spans="1:41">
      <c r="A284" s="6" t="s">
        <v>148</v>
      </c>
      <c r="B284" t="s">
        <v>159</v>
      </c>
      <c r="C284">
        <v>132</v>
      </c>
      <c r="D284" t="s">
        <v>35</v>
      </c>
      <c r="E284">
        <v>6</v>
      </c>
      <c r="F284">
        <v>0</v>
      </c>
      <c r="G284" s="1">
        <f t="shared" si="88"/>
        <v>72</v>
      </c>
      <c r="H284">
        <v>192</v>
      </c>
      <c r="I284">
        <v>1987</v>
      </c>
      <c r="J284">
        <v>2005</v>
      </c>
      <c r="K284" s="1">
        <f t="shared" si="89"/>
        <v>18</v>
      </c>
      <c r="L284" t="s">
        <v>41</v>
      </c>
      <c r="M284" t="s">
        <v>44</v>
      </c>
      <c r="N284" s="2">
        <v>72</v>
      </c>
      <c r="O284" s="5">
        <v>10</v>
      </c>
      <c r="P284" s="5">
        <v>14</v>
      </c>
      <c r="Q284" s="5">
        <f t="shared" si="90"/>
        <v>24</v>
      </c>
      <c r="R284" s="4">
        <v>27</v>
      </c>
      <c r="S284" s="2">
        <v>34</v>
      </c>
      <c r="T284" s="5">
        <v>39</v>
      </c>
      <c r="U284" s="5">
        <v>32</v>
      </c>
      <c r="V284" s="5">
        <f t="shared" si="91"/>
        <v>71</v>
      </c>
      <c r="W284" s="4">
        <v>34</v>
      </c>
      <c r="X284">
        <f t="shared" si="103"/>
        <v>0.1388888888888889</v>
      </c>
      <c r="Y284">
        <f t="shared" si="104"/>
        <v>1.1470588235294117</v>
      </c>
      <c r="Z284">
        <f t="shared" si="105"/>
        <v>-1.0081699346405228</v>
      </c>
      <c r="AA284">
        <f t="shared" si="106"/>
        <v>0.19444444444444445</v>
      </c>
      <c r="AB284">
        <f t="shared" si="107"/>
        <v>0.94117647058823528</v>
      </c>
      <c r="AC284">
        <f t="shared" si="108"/>
        <v>-0.74673202614379086</v>
      </c>
      <c r="AD284">
        <f t="shared" si="109"/>
        <v>0.33333333333333331</v>
      </c>
      <c r="AE284">
        <f t="shared" si="110"/>
        <v>2.0882352941176472</v>
      </c>
      <c r="AF284">
        <f t="shared" si="111"/>
        <v>-1.7549019607843139</v>
      </c>
      <c r="AG284">
        <v>0</v>
      </c>
      <c r="AH284" s="14">
        <v>13.079754601226993</v>
      </c>
      <c r="AI284" s="14">
        <v>16.223926380368098</v>
      </c>
      <c r="AJ284" s="14">
        <v>29.30368098159509</v>
      </c>
      <c r="AK284" s="14">
        <v>26.662576687116562</v>
      </c>
      <c r="AL284" s="3" t="s">
        <v>599</v>
      </c>
    </row>
    <row r="285" spans="1:41">
      <c r="A285" s="6" t="s">
        <v>148</v>
      </c>
      <c r="B285" t="s">
        <v>149</v>
      </c>
      <c r="C285">
        <v>42</v>
      </c>
      <c r="D285" t="s">
        <v>34</v>
      </c>
      <c r="E285">
        <v>6</v>
      </c>
      <c r="F285">
        <v>2</v>
      </c>
      <c r="G285" s="1">
        <f t="shared" si="88"/>
        <v>74</v>
      </c>
      <c r="H285">
        <v>213</v>
      </c>
      <c r="I285">
        <v>1987</v>
      </c>
      <c r="J285">
        <v>2005</v>
      </c>
      <c r="K285" s="1">
        <f t="shared" si="89"/>
        <v>18</v>
      </c>
      <c r="L285" t="s">
        <v>41</v>
      </c>
      <c r="M285" t="s">
        <v>44</v>
      </c>
      <c r="N285" s="2">
        <v>60</v>
      </c>
      <c r="O285" s="5">
        <v>27</v>
      </c>
      <c r="P285" s="5">
        <v>25</v>
      </c>
      <c r="Q285" s="5">
        <f t="shared" si="90"/>
        <v>52</v>
      </c>
      <c r="R285" s="4">
        <v>86</v>
      </c>
      <c r="S285" s="2">
        <v>28</v>
      </c>
      <c r="T285" s="5">
        <v>37</v>
      </c>
      <c r="U285" s="5">
        <v>43</v>
      </c>
      <c r="V285" s="5">
        <f t="shared" si="91"/>
        <v>80</v>
      </c>
      <c r="W285" s="4">
        <v>0</v>
      </c>
      <c r="X285">
        <f t="shared" si="103"/>
        <v>0.45</v>
      </c>
      <c r="Y285">
        <f t="shared" si="104"/>
        <v>1.3214285714285714</v>
      </c>
      <c r="Z285">
        <f t="shared" si="105"/>
        <v>-0.87142857142857144</v>
      </c>
      <c r="AA285">
        <f t="shared" si="106"/>
        <v>0.41666666666666669</v>
      </c>
      <c r="AB285">
        <f t="shared" si="107"/>
        <v>1.5357142857142858</v>
      </c>
      <c r="AC285">
        <f t="shared" si="108"/>
        <v>-1.1190476190476191</v>
      </c>
      <c r="AD285">
        <f t="shared" si="109"/>
        <v>0.8666666666666667</v>
      </c>
      <c r="AE285">
        <f t="shared" si="110"/>
        <v>2.8571428571428572</v>
      </c>
      <c r="AF285">
        <f t="shared" si="111"/>
        <v>-1.9904761904761905</v>
      </c>
      <c r="AG285">
        <v>0</v>
      </c>
      <c r="AH285" s="14">
        <v>12.311614730878187</v>
      </c>
      <c r="AI285" s="14">
        <v>16.957507082152976</v>
      </c>
      <c r="AJ285" s="14">
        <v>29.269121813031159</v>
      </c>
      <c r="AK285" s="14">
        <v>68.178470254957503</v>
      </c>
      <c r="AL285" s="3" t="s">
        <v>608</v>
      </c>
    </row>
    <row r="286" spans="1:41">
      <c r="A286" s="6" t="s">
        <v>69</v>
      </c>
      <c r="B286" t="s">
        <v>83</v>
      </c>
      <c r="C286">
        <v>66</v>
      </c>
      <c r="D286" t="s">
        <v>34</v>
      </c>
      <c r="E286">
        <v>6</v>
      </c>
      <c r="F286">
        <v>3</v>
      </c>
      <c r="G286" s="1">
        <f t="shared" si="88"/>
        <v>75</v>
      </c>
      <c r="H286">
        <v>199</v>
      </c>
      <c r="I286">
        <v>1993</v>
      </c>
      <c r="J286">
        <v>2012</v>
      </c>
      <c r="K286" s="1">
        <f t="shared" si="89"/>
        <v>19</v>
      </c>
      <c r="L286" t="s">
        <v>41</v>
      </c>
      <c r="M286" t="s">
        <v>44</v>
      </c>
      <c r="N286" s="2">
        <v>48</v>
      </c>
      <c r="O286" s="5">
        <v>51</v>
      </c>
      <c r="P286" s="5">
        <v>43</v>
      </c>
      <c r="Q286" s="3">
        <f t="shared" si="90"/>
        <v>94</v>
      </c>
      <c r="R286" s="4">
        <v>52</v>
      </c>
      <c r="S286" s="2">
        <v>32</v>
      </c>
      <c r="T286" s="5">
        <v>23</v>
      </c>
      <c r="U286" s="5">
        <v>12</v>
      </c>
      <c r="V286" s="3">
        <f t="shared" si="91"/>
        <v>35</v>
      </c>
      <c r="W286" s="4">
        <v>30</v>
      </c>
      <c r="X286">
        <f t="shared" si="103"/>
        <v>1.0625</v>
      </c>
      <c r="Y286">
        <f t="shared" si="104"/>
        <v>0.71875</v>
      </c>
      <c r="Z286">
        <f t="shared" si="105"/>
        <v>0.34375</v>
      </c>
      <c r="AA286">
        <f t="shared" si="106"/>
        <v>0.89583333333333337</v>
      </c>
      <c r="AB286">
        <f t="shared" si="107"/>
        <v>0.375</v>
      </c>
      <c r="AC286">
        <f t="shared" si="108"/>
        <v>0.52083333333333337</v>
      </c>
      <c r="AD286">
        <f t="shared" si="109"/>
        <v>1.9583333333333333</v>
      </c>
      <c r="AE286">
        <f t="shared" si="110"/>
        <v>1.09375</v>
      </c>
      <c r="AF286">
        <f t="shared" si="111"/>
        <v>0.86458333333333326</v>
      </c>
      <c r="AG286">
        <v>0</v>
      </c>
      <c r="AH286" s="14">
        <v>15.891472868217054</v>
      </c>
      <c r="AI286" s="14">
        <v>13.348837209302326</v>
      </c>
      <c r="AJ286" s="14">
        <v>29.240310077519382</v>
      </c>
      <c r="AK286" s="14">
        <v>23.519379844961239</v>
      </c>
      <c r="AL286" s="5" t="s">
        <v>632</v>
      </c>
    </row>
    <row r="287" spans="1:41">
      <c r="A287" s="6" t="s">
        <v>87</v>
      </c>
      <c r="B287" t="s">
        <v>94</v>
      </c>
      <c r="C287">
        <v>45</v>
      </c>
      <c r="D287" t="s">
        <v>34</v>
      </c>
      <c r="E287">
        <v>6</v>
      </c>
      <c r="F287">
        <v>3</v>
      </c>
      <c r="G287" s="1">
        <f t="shared" si="88"/>
        <v>75</v>
      </c>
      <c r="H287">
        <v>197</v>
      </c>
      <c r="I287">
        <v>1987</v>
      </c>
      <c r="J287">
        <v>2006</v>
      </c>
      <c r="K287" s="1">
        <f t="shared" si="89"/>
        <v>19</v>
      </c>
      <c r="L287" t="s">
        <v>42</v>
      </c>
      <c r="M287" t="s">
        <v>43</v>
      </c>
      <c r="N287" s="2">
        <v>81</v>
      </c>
      <c r="O287" s="5">
        <v>8</v>
      </c>
      <c r="P287" s="5">
        <v>35</v>
      </c>
      <c r="Q287" s="5">
        <f t="shared" si="90"/>
        <v>43</v>
      </c>
      <c r="R287" s="4">
        <v>92</v>
      </c>
      <c r="S287" s="2">
        <v>23</v>
      </c>
      <c r="T287" s="5">
        <v>2</v>
      </c>
      <c r="U287" s="5">
        <v>8</v>
      </c>
      <c r="V287" s="3">
        <f t="shared" si="91"/>
        <v>10</v>
      </c>
      <c r="W287" s="4">
        <v>0</v>
      </c>
      <c r="X287">
        <f t="shared" si="103"/>
        <v>9.8765432098765427E-2</v>
      </c>
      <c r="Y287">
        <f t="shared" si="104"/>
        <v>8.6956521739130432E-2</v>
      </c>
      <c r="Z287">
        <f t="shared" si="105"/>
        <v>1.1808910359634994E-2</v>
      </c>
      <c r="AA287">
        <f t="shared" si="106"/>
        <v>0.43209876543209874</v>
      </c>
      <c r="AB287">
        <f t="shared" si="107"/>
        <v>0.34782608695652173</v>
      </c>
      <c r="AC287">
        <f t="shared" si="108"/>
        <v>8.4272678475577012E-2</v>
      </c>
      <c r="AD287">
        <f t="shared" si="109"/>
        <v>0.53086419753086422</v>
      </c>
      <c r="AE287">
        <f t="shared" si="110"/>
        <v>0.43478260869565216</v>
      </c>
      <c r="AF287">
        <f t="shared" si="111"/>
        <v>9.6081588835212062E-2</v>
      </c>
      <c r="AG287">
        <v>0</v>
      </c>
      <c r="AH287" s="14">
        <v>7.7971473851030106</v>
      </c>
      <c r="AI287" s="14">
        <v>21.442155309033279</v>
      </c>
      <c r="AJ287" s="14">
        <v>29.239302694136292</v>
      </c>
      <c r="AK287" s="14">
        <v>32.61806656101426</v>
      </c>
      <c r="AL287" s="5" t="s">
        <v>608</v>
      </c>
      <c r="AM287" s="22">
        <v>10</v>
      </c>
      <c r="AN287" s="22">
        <v>40</v>
      </c>
      <c r="AO287">
        <f t="shared" ref="AO287:AO288" si="112">AM287/AN287</f>
        <v>0.25</v>
      </c>
    </row>
    <row r="288" spans="1:41">
      <c r="A288" t="s">
        <v>525</v>
      </c>
      <c r="B288" t="s">
        <v>531</v>
      </c>
      <c r="C288">
        <v>5</v>
      </c>
      <c r="D288" t="s">
        <v>34</v>
      </c>
      <c r="E288">
        <v>6</v>
      </c>
      <c r="F288">
        <v>3</v>
      </c>
      <c r="G288" s="1">
        <f t="shared" si="88"/>
        <v>75</v>
      </c>
      <c r="H288">
        <v>215</v>
      </c>
      <c r="I288">
        <v>1997</v>
      </c>
      <c r="J288">
        <v>2015</v>
      </c>
      <c r="K288" s="1">
        <f t="shared" si="89"/>
        <v>18</v>
      </c>
      <c r="L288" t="s">
        <v>42</v>
      </c>
      <c r="M288" t="s">
        <v>44</v>
      </c>
      <c r="N288" s="2">
        <v>42</v>
      </c>
      <c r="O288" s="5">
        <v>5</v>
      </c>
      <c r="P288" s="5">
        <v>20</v>
      </c>
      <c r="Q288" s="5">
        <f t="shared" si="90"/>
        <v>25</v>
      </c>
      <c r="R288" s="4">
        <v>16</v>
      </c>
      <c r="S288" s="2">
        <f>59+7+6+31</f>
        <v>103</v>
      </c>
      <c r="T288" s="5">
        <v>18</v>
      </c>
      <c r="U288" s="3">
        <f>35+4+2+14</f>
        <v>55</v>
      </c>
      <c r="V288" s="5">
        <f t="shared" si="91"/>
        <v>73</v>
      </c>
      <c r="W288" s="4">
        <f>38+4+10+18</f>
        <v>70</v>
      </c>
      <c r="AG288">
        <v>0</v>
      </c>
      <c r="AH288" s="14">
        <v>6.1797101449275367</v>
      </c>
      <c r="AI288" s="14">
        <v>23.055072463768116</v>
      </c>
      <c r="AJ288" s="14">
        <v>29.234782608695653</v>
      </c>
      <c r="AK288" s="14">
        <v>19.727536231884059</v>
      </c>
      <c r="AL288" s="3" t="s">
        <v>611</v>
      </c>
      <c r="AM288" s="22">
        <v>10</v>
      </c>
      <c r="AN288" s="22">
        <v>55</v>
      </c>
      <c r="AO288">
        <f t="shared" si="112"/>
        <v>0.18181818181818182</v>
      </c>
    </row>
    <row r="289" spans="1:41">
      <c r="A289" t="s">
        <v>322</v>
      </c>
      <c r="B289" t="s">
        <v>331</v>
      </c>
      <c r="C289">
        <v>10</v>
      </c>
      <c r="D289" t="s">
        <v>35</v>
      </c>
      <c r="E289">
        <v>5</v>
      </c>
      <c r="F289">
        <v>11</v>
      </c>
      <c r="G289" s="1">
        <f t="shared" si="88"/>
        <v>71</v>
      </c>
      <c r="H289">
        <v>187</v>
      </c>
      <c r="I289">
        <v>1998</v>
      </c>
      <c r="J289">
        <v>2016</v>
      </c>
      <c r="K289" s="1">
        <f t="shared" si="89"/>
        <v>18</v>
      </c>
      <c r="L289" t="s">
        <v>41</v>
      </c>
      <c r="M289" t="s">
        <v>44</v>
      </c>
      <c r="N289" s="2">
        <f>7+4+3+48+4</f>
        <v>66</v>
      </c>
      <c r="O289" s="3">
        <f>6+3+1+42+3</f>
        <v>55</v>
      </c>
      <c r="P289" s="3">
        <f>9+1+62+6</f>
        <v>78</v>
      </c>
      <c r="Q289" s="5">
        <f t="shared" si="90"/>
        <v>133</v>
      </c>
      <c r="R289" s="4">
        <f>2+2+43+2</f>
        <v>49</v>
      </c>
      <c r="S289" s="2">
        <f>3+5+5+46+5+4</f>
        <v>68</v>
      </c>
      <c r="T289" s="3">
        <f>2+5+3+23+1+2</f>
        <v>36</v>
      </c>
      <c r="U289" s="3">
        <f>6+1+1+22+2+1</f>
        <v>33</v>
      </c>
      <c r="V289" s="5">
        <f t="shared" si="91"/>
        <v>69</v>
      </c>
      <c r="W289" s="4">
        <f>2+16+10</f>
        <v>28</v>
      </c>
      <c r="X289">
        <f>O289/N289</f>
        <v>0.83333333333333337</v>
      </c>
      <c r="Y289">
        <f>T289/S289</f>
        <v>0.52941176470588236</v>
      </c>
      <c r="Z289">
        <f>X289-Y289</f>
        <v>0.30392156862745101</v>
      </c>
      <c r="AA289">
        <f>P289/N289</f>
        <v>1.1818181818181819</v>
      </c>
      <c r="AB289">
        <f>U289/S289</f>
        <v>0.48529411764705882</v>
      </c>
      <c r="AC289">
        <f>AA289-AB289</f>
        <v>0.696524064171123</v>
      </c>
      <c r="AD289">
        <f>Q289/N289</f>
        <v>2.0151515151515151</v>
      </c>
      <c r="AE289">
        <f>V289/S289</f>
        <v>1.0147058823529411</v>
      </c>
      <c r="AF289">
        <f>AD289-AE289</f>
        <v>1.000445632798574</v>
      </c>
      <c r="AG289">
        <v>0</v>
      </c>
      <c r="AH289" s="14">
        <v>14.349999999999998</v>
      </c>
      <c r="AI289" s="14">
        <v>14.862499999999999</v>
      </c>
      <c r="AJ289" s="14">
        <v>29.212499999999999</v>
      </c>
      <c r="AK289" s="14">
        <v>25.624999999999996</v>
      </c>
      <c r="AL289" s="3" t="s">
        <v>602</v>
      </c>
    </row>
    <row r="290" spans="1:41">
      <c r="A290" t="s">
        <v>413</v>
      </c>
      <c r="B290" t="s">
        <v>423</v>
      </c>
      <c r="C290">
        <v>25</v>
      </c>
      <c r="D290" t="s">
        <v>34</v>
      </c>
      <c r="E290">
        <v>6</v>
      </c>
      <c r="F290">
        <v>1</v>
      </c>
      <c r="G290" s="1">
        <f t="shared" si="88"/>
        <v>73</v>
      </c>
      <c r="H290">
        <v>187</v>
      </c>
      <c r="I290">
        <v>1997</v>
      </c>
      <c r="J290">
        <v>2015</v>
      </c>
      <c r="K290" s="1">
        <f t="shared" si="89"/>
        <v>18</v>
      </c>
      <c r="L290" t="s">
        <v>41</v>
      </c>
      <c r="M290" t="s">
        <v>43</v>
      </c>
      <c r="N290" s="2">
        <f>25+7+65</f>
        <v>97</v>
      </c>
      <c r="O290" s="3">
        <f>11+6+27</f>
        <v>44</v>
      </c>
      <c r="P290" s="3">
        <f>27+5+52</f>
        <v>84</v>
      </c>
      <c r="Q290" s="5">
        <f t="shared" si="90"/>
        <v>128</v>
      </c>
      <c r="R290" s="4">
        <f>8+4+28</f>
        <v>40</v>
      </c>
      <c r="S290" s="2">
        <f>54+34+6</f>
        <v>94</v>
      </c>
      <c r="T290" s="3">
        <f>14+6</f>
        <v>20</v>
      </c>
      <c r="U290" s="3">
        <f>18+10+4</f>
        <v>32</v>
      </c>
      <c r="V290" s="5">
        <f t="shared" si="91"/>
        <v>52</v>
      </c>
      <c r="W290" s="4">
        <f>30+14+14</f>
        <v>58</v>
      </c>
      <c r="AG290">
        <v>0</v>
      </c>
      <c r="AH290" s="14">
        <v>11.181818181818182</v>
      </c>
      <c r="AI290" s="14">
        <v>18.015151515151516</v>
      </c>
      <c r="AJ290" s="14">
        <v>29.196969696969695</v>
      </c>
      <c r="AK290" s="14">
        <v>6.2121212121212119</v>
      </c>
      <c r="AL290" s="5" t="s">
        <v>608</v>
      </c>
    </row>
    <row r="291" spans="1:41">
      <c r="A291" s="6" t="s">
        <v>69</v>
      </c>
      <c r="B291" t="s">
        <v>78</v>
      </c>
      <c r="C291">
        <v>8</v>
      </c>
      <c r="D291" t="s">
        <v>34</v>
      </c>
      <c r="E291">
        <v>6</v>
      </c>
      <c r="F291">
        <v>0</v>
      </c>
      <c r="G291" s="1">
        <f t="shared" si="88"/>
        <v>72</v>
      </c>
      <c r="H291">
        <v>209</v>
      </c>
      <c r="I291">
        <v>1998</v>
      </c>
      <c r="J291">
        <v>2017</v>
      </c>
      <c r="K291" s="1">
        <f t="shared" si="89"/>
        <v>19</v>
      </c>
      <c r="L291" t="s">
        <v>41</v>
      </c>
      <c r="M291" t="s">
        <v>44</v>
      </c>
      <c r="N291" s="2">
        <v>49</v>
      </c>
      <c r="O291" s="5">
        <v>34</v>
      </c>
      <c r="P291" s="5">
        <v>60</v>
      </c>
      <c r="Q291" s="3">
        <f t="shared" si="90"/>
        <v>94</v>
      </c>
      <c r="R291" s="4">
        <v>10</v>
      </c>
      <c r="S291" s="2">
        <v>25</v>
      </c>
      <c r="T291" s="5">
        <v>22</v>
      </c>
      <c r="U291" s="5">
        <v>25</v>
      </c>
      <c r="V291" s="3">
        <f t="shared" si="91"/>
        <v>47</v>
      </c>
      <c r="W291" s="4">
        <v>4</v>
      </c>
      <c r="X291">
        <f>O291/N291</f>
        <v>0.69387755102040816</v>
      </c>
      <c r="Y291">
        <f>T291/S291</f>
        <v>0.88</v>
      </c>
      <c r="Z291">
        <f>X291-Y291</f>
        <v>-0.18612244897959185</v>
      </c>
      <c r="AA291">
        <f>P291/N291</f>
        <v>1.2244897959183674</v>
      </c>
      <c r="AB291">
        <f>U291/S291</f>
        <v>1</v>
      </c>
      <c r="AC291">
        <f>AA291-AB291</f>
        <v>0.22448979591836737</v>
      </c>
      <c r="AD291">
        <f>Q291/N291</f>
        <v>1.9183673469387754</v>
      </c>
      <c r="AE291">
        <f>V291/S291</f>
        <v>1.88</v>
      </c>
      <c r="AF291">
        <f>AD291-AE291</f>
        <v>3.8367346938775526E-2</v>
      </c>
      <c r="AG291">
        <v>0</v>
      </c>
      <c r="AH291" s="14">
        <v>12.615384615384615</v>
      </c>
      <c r="AI291" s="14">
        <v>16.557692307692307</v>
      </c>
      <c r="AJ291" s="14">
        <v>29.173076923076923</v>
      </c>
      <c r="AK291" s="14">
        <v>11.038461538461538</v>
      </c>
      <c r="AL291" s="3" t="s">
        <v>608</v>
      </c>
    </row>
    <row r="292" spans="1:41">
      <c r="A292" t="s">
        <v>283</v>
      </c>
      <c r="B292" t="s">
        <v>287</v>
      </c>
      <c r="C292">
        <v>75</v>
      </c>
      <c r="D292" t="s">
        <v>34</v>
      </c>
      <c r="E292">
        <v>5</v>
      </c>
      <c r="F292">
        <v>11</v>
      </c>
      <c r="G292" s="1">
        <f t="shared" si="88"/>
        <v>71</v>
      </c>
      <c r="H292">
        <v>200</v>
      </c>
      <c r="I292">
        <v>1991</v>
      </c>
      <c r="J292">
        <v>2011</v>
      </c>
      <c r="K292" s="1">
        <f t="shared" si="89"/>
        <v>20</v>
      </c>
      <c r="L292" t="s">
        <v>41</v>
      </c>
      <c r="M292" t="s">
        <v>44</v>
      </c>
      <c r="N292" s="2">
        <v>59</v>
      </c>
      <c r="O292" s="3">
        <v>34</v>
      </c>
      <c r="P292" s="3">
        <v>58</v>
      </c>
      <c r="Q292" s="5">
        <f t="shared" si="90"/>
        <v>92</v>
      </c>
      <c r="R292" s="4">
        <v>72</v>
      </c>
      <c r="S292" s="2">
        <v>58</v>
      </c>
      <c r="T292" s="5">
        <v>10</v>
      </c>
      <c r="U292" s="5">
        <v>18</v>
      </c>
      <c r="V292" s="5">
        <f t="shared" si="91"/>
        <v>28</v>
      </c>
      <c r="W292" s="4">
        <v>56</v>
      </c>
      <c r="X292">
        <f>O292/N292</f>
        <v>0.57627118644067798</v>
      </c>
      <c r="Y292">
        <f>T292/S292</f>
        <v>0.17241379310344829</v>
      </c>
      <c r="Z292">
        <f>X292-Y292</f>
        <v>0.4038573933372297</v>
      </c>
      <c r="AA292">
        <f>P292/N292</f>
        <v>0.98305084745762716</v>
      </c>
      <c r="AB292">
        <f>U292/S292</f>
        <v>0.31034482758620691</v>
      </c>
      <c r="AC292">
        <f>AA292-AB292</f>
        <v>0.67270601987142031</v>
      </c>
      <c r="AD292">
        <f>Q292/N292</f>
        <v>1.5593220338983051</v>
      </c>
      <c r="AE292">
        <f>V292/S292</f>
        <v>0.48275862068965519</v>
      </c>
      <c r="AF292">
        <f>AD292-AE292</f>
        <v>1.0765634132086499</v>
      </c>
      <c r="AG292">
        <v>0</v>
      </c>
      <c r="AH292" s="14">
        <v>16.809999999999999</v>
      </c>
      <c r="AI292" s="14">
        <v>12.299999999999999</v>
      </c>
      <c r="AJ292" s="14">
        <v>29.11</v>
      </c>
      <c r="AK292" s="14">
        <v>66.42</v>
      </c>
      <c r="AL292" s="5" t="s">
        <v>608</v>
      </c>
    </row>
    <row r="293" spans="1:41">
      <c r="A293" t="s">
        <v>283</v>
      </c>
      <c r="B293" t="s">
        <v>296</v>
      </c>
      <c r="C293">
        <v>100</v>
      </c>
      <c r="D293" t="s">
        <v>34</v>
      </c>
      <c r="E293">
        <v>6</v>
      </c>
      <c r="F293">
        <v>2</v>
      </c>
      <c r="G293" s="1">
        <f t="shared" si="88"/>
        <v>74</v>
      </c>
      <c r="H293">
        <v>195</v>
      </c>
      <c r="I293">
        <v>1995</v>
      </c>
      <c r="J293">
        <v>2013</v>
      </c>
      <c r="K293" s="1">
        <f t="shared" si="89"/>
        <v>18</v>
      </c>
      <c r="L293" t="s">
        <v>41</v>
      </c>
      <c r="M293" t="s">
        <v>44</v>
      </c>
      <c r="N293" s="2">
        <v>21</v>
      </c>
      <c r="O293" s="5">
        <v>8</v>
      </c>
      <c r="P293" s="5">
        <v>10</v>
      </c>
      <c r="Q293" s="5">
        <f t="shared" si="90"/>
        <v>18</v>
      </c>
      <c r="R293" s="4">
        <v>18</v>
      </c>
      <c r="S293" s="2">
        <v>14</v>
      </c>
      <c r="T293" s="5">
        <v>8</v>
      </c>
      <c r="U293" s="5">
        <v>1</v>
      </c>
      <c r="V293" s="5">
        <f t="shared" si="91"/>
        <v>9</v>
      </c>
      <c r="W293" s="4">
        <v>28</v>
      </c>
      <c r="X293">
        <f>O293/N293</f>
        <v>0.38095238095238093</v>
      </c>
      <c r="Y293">
        <f>T293/S293</f>
        <v>0.5714285714285714</v>
      </c>
      <c r="Z293">
        <f>X293-Y293</f>
        <v>-0.19047619047619047</v>
      </c>
      <c r="AA293">
        <f>P293/N293</f>
        <v>0.47619047619047616</v>
      </c>
      <c r="AB293">
        <f>U293/S293</f>
        <v>7.1428571428571425E-2</v>
      </c>
      <c r="AC293">
        <f>AA293-AB293</f>
        <v>0.40476190476190477</v>
      </c>
      <c r="AD293">
        <f>Q293/N293</f>
        <v>0.8571428571428571</v>
      </c>
      <c r="AE293">
        <f>V293/S293</f>
        <v>0.6428571428571429</v>
      </c>
      <c r="AF293">
        <f>AD293-AE293</f>
        <v>0.21428571428571419</v>
      </c>
      <c r="AG293">
        <v>0</v>
      </c>
      <c r="AH293" s="14">
        <v>14.536363636363637</v>
      </c>
      <c r="AI293" s="14">
        <v>14.536363636363637</v>
      </c>
      <c r="AJ293" s="14">
        <v>29.072727272727274</v>
      </c>
      <c r="AK293" s="14">
        <v>102.5</v>
      </c>
      <c r="AL293" s="5" t="s">
        <v>631</v>
      </c>
    </row>
    <row r="294" spans="1:41">
      <c r="A294" t="s">
        <v>354</v>
      </c>
      <c r="B294" t="s">
        <v>341</v>
      </c>
      <c r="C294">
        <v>102</v>
      </c>
      <c r="D294" t="s">
        <v>65</v>
      </c>
      <c r="E294">
        <v>6</v>
      </c>
      <c r="F294">
        <v>4</v>
      </c>
      <c r="G294" s="1">
        <f t="shared" si="88"/>
        <v>76</v>
      </c>
      <c r="H294">
        <v>215</v>
      </c>
      <c r="I294">
        <v>1990</v>
      </c>
      <c r="J294">
        <v>2009</v>
      </c>
      <c r="K294" s="1">
        <f t="shared" si="89"/>
        <v>19</v>
      </c>
      <c r="L294" t="s">
        <v>42</v>
      </c>
      <c r="M294" t="s">
        <v>44</v>
      </c>
      <c r="N294" s="2">
        <v>59</v>
      </c>
      <c r="O294" s="5">
        <v>5</v>
      </c>
      <c r="P294" s="5">
        <v>16</v>
      </c>
      <c r="Q294" s="5">
        <f t="shared" si="90"/>
        <v>21</v>
      </c>
      <c r="R294" s="4">
        <v>44</v>
      </c>
      <c r="S294" s="2">
        <f>1+9+37+1+6+6</f>
        <v>60</v>
      </c>
      <c r="T294" s="3">
        <f>4+5+1</f>
        <v>10</v>
      </c>
      <c r="U294" s="3">
        <f>5+7</f>
        <v>12</v>
      </c>
      <c r="V294" s="5">
        <f t="shared" si="91"/>
        <v>22</v>
      </c>
      <c r="W294" s="4">
        <f>12+54+2+2</f>
        <v>70</v>
      </c>
      <c r="X294">
        <f>O294/N294</f>
        <v>8.4745762711864403E-2</v>
      </c>
      <c r="Y294">
        <f>T294/S294</f>
        <v>0.16666666666666666</v>
      </c>
      <c r="Z294">
        <f>X294-Y294</f>
        <v>-8.1920903954802254E-2</v>
      </c>
      <c r="AA294">
        <f>P294/N294</f>
        <v>0.2711864406779661</v>
      </c>
      <c r="AB294">
        <f>U294/S294</f>
        <v>0.2</v>
      </c>
      <c r="AC294">
        <f>AA294-AB294</f>
        <v>7.118644067796609E-2</v>
      </c>
      <c r="AD294">
        <f>Q294/N294</f>
        <v>0.3559322033898305</v>
      </c>
      <c r="AE294">
        <f>V294/S294</f>
        <v>0.36666666666666664</v>
      </c>
      <c r="AF294">
        <f>AD294-AE294</f>
        <v>-1.0734463276836137E-2</v>
      </c>
      <c r="AG294">
        <v>0</v>
      </c>
      <c r="AH294" s="14">
        <v>6.6802443991853355</v>
      </c>
      <c r="AI294" s="14">
        <v>22.211812627291241</v>
      </c>
      <c r="AJ294" s="14">
        <v>28.892057026476575</v>
      </c>
      <c r="AK294" s="14">
        <v>40.582484725050911</v>
      </c>
      <c r="AL294" s="3" t="s">
        <v>606</v>
      </c>
      <c r="AM294" s="22">
        <v>10</v>
      </c>
      <c r="AN294" s="22">
        <v>43</v>
      </c>
      <c r="AO294">
        <f>AM294/AN294</f>
        <v>0.23255813953488372</v>
      </c>
    </row>
    <row r="295" spans="1:41">
      <c r="A295" t="s">
        <v>461</v>
      </c>
      <c r="B295" t="s">
        <v>464</v>
      </c>
      <c r="C295">
        <v>38</v>
      </c>
      <c r="D295" t="s">
        <v>35</v>
      </c>
      <c r="E295">
        <v>6</v>
      </c>
      <c r="F295">
        <v>4</v>
      </c>
      <c r="G295" s="1">
        <f t="shared" si="88"/>
        <v>76</v>
      </c>
      <c r="H295">
        <v>208</v>
      </c>
      <c r="I295">
        <v>1990</v>
      </c>
      <c r="J295">
        <v>2009</v>
      </c>
      <c r="K295" s="1">
        <f t="shared" si="89"/>
        <v>19</v>
      </c>
      <c r="L295" t="s">
        <v>41</v>
      </c>
      <c r="M295" t="s">
        <v>43</v>
      </c>
      <c r="N295" s="2">
        <v>56</v>
      </c>
      <c r="O295" s="5">
        <v>17</v>
      </c>
      <c r="P295" s="5">
        <v>33</v>
      </c>
      <c r="Q295" s="5">
        <f t="shared" si="90"/>
        <v>50</v>
      </c>
      <c r="R295" s="4">
        <v>101</v>
      </c>
      <c r="S295" s="2">
        <v>45</v>
      </c>
      <c r="T295" s="5">
        <v>35</v>
      </c>
      <c r="U295" s="5">
        <v>46</v>
      </c>
      <c r="V295" s="5">
        <f t="shared" si="91"/>
        <v>81</v>
      </c>
      <c r="W295" s="4">
        <v>0</v>
      </c>
      <c r="AG295">
        <v>0</v>
      </c>
      <c r="AH295" s="14">
        <v>14.185654008438819</v>
      </c>
      <c r="AI295" s="14">
        <v>14.70464135021097</v>
      </c>
      <c r="AJ295" s="14">
        <v>28.890295358649787</v>
      </c>
      <c r="AK295" s="14">
        <v>47.054852320675103</v>
      </c>
      <c r="AL295" s="3" t="s">
        <v>608</v>
      </c>
    </row>
    <row r="296" spans="1:41">
      <c r="A296" s="6" t="s">
        <v>148</v>
      </c>
      <c r="B296" t="s">
        <v>163</v>
      </c>
      <c r="C296">
        <v>12</v>
      </c>
      <c r="D296" t="s">
        <v>166</v>
      </c>
      <c r="E296">
        <v>6</v>
      </c>
      <c r="F296">
        <v>3</v>
      </c>
      <c r="G296" s="1">
        <f t="shared" si="88"/>
        <v>75</v>
      </c>
      <c r="H296">
        <v>211</v>
      </c>
      <c r="I296">
        <v>1996</v>
      </c>
      <c r="J296">
        <v>2014</v>
      </c>
      <c r="K296" s="1">
        <f t="shared" si="89"/>
        <v>18</v>
      </c>
      <c r="L296" t="s">
        <v>41</v>
      </c>
      <c r="M296" t="s">
        <v>44</v>
      </c>
      <c r="N296" s="2">
        <v>65</v>
      </c>
      <c r="O296" s="5">
        <v>37</v>
      </c>
      <c r="P296" s="5">
        <v>38</v>
      </c>
      <c r="Q296" s="5">
        <f t="shared" si="90"/>
        <v>75</v>
      </c>
      <c r="R296" s="4">
        <v>42</v>
      </c>
      <c r="S296" s="2">
        <v>59</v>
      </c>
      <c r="T296" s="5">
        <v>8</v>
      </c>
      <c r="U296" s="5">
        <v>4</v>
      </c>
      <c r="V296" s="5">
        <f t="shared" si="91"/>
        <v>12</v>
      </c>
      <c r="W296" s="4">
        <v>8</v>
      </c>
      <c r="X296">
        <f t="shared" ref="X296:X301" si="113">O296/N296</f>
        <v>0.56923076923076921</v>
      </c>
      <c r="Y296">
        <f t="shared" ref="Y296:Y301" si="114">T296/S296</f>
        <v>0.13559322033898305</v>
      </c>
      <c r="Z296">
        <f t="shared" ref="Z296:Z301" si="115">X296-Y296</f>
        <v>0.43363754889178618</v>
      </c>
      <c r="AA296">
        <f t="shared" ref="AA296:AA301" si="116">P296/N296</f>
        <v>0.58461538461538465</v>
      </c>
      <c r="AB296">
        <f t="shared" ref="AB296:AB301" si="117">U296/S296</f>
        <v>6.7796610169491525E-2</v>
      </c>
      <c r="AC296">
        <f t="shared" ref="AC296:AC301" si="118">AA296-AB296</f>
        <v>0.51681877444589308</v>
      </c>
      <c r="AD296">
        <f t="shared" ref="AD296:AD301" si="119">Q296/N296</f>
        <v>1.1538461538461537</v>
      </c>
      <c r="AE296">
        <f t="shared" ref="AE296:AE301" si="120">V296/S296</f>
        <v>0.20338983050847459</v>
      </c>
      <c r="AF296">
        <f t="shared" ref="AF296:AF301" si="121">AD296-AE296</f>
        <v>0.95045632333767915</v>
      </c>
      <c r="AG296">
        <v>0</v>
      </c>
      <c r="AH296" s="14">
        <v>17.571428571428573</v>
      </c>
      <c r="AI296" s="14">
        <v>10.933333333333334</v>
      </c>
      <c r="AJ296" s="14">
        <v>28.504761904761907</v>
      </c>
      <c r="AK296" s="14">
        <v>31.238095238095237</v>
      </c>
      <c r="AL296" s="5" t="s">
        <v>600</v>
      </c>
    </row>
    <row r="297" spans="1:41">
      <c r="A297" t="s">
        <v>306</v>
      </c>
      <c r="B297" t="s">
        <v>309</v>
      </c>
      <c r="C297">
        <v>3</v>
      </c>
      <c r="D297" t="s">
        <v>35</v>
      </c>
      <c r="E297">
        <v>6</v>
      </c>
      <c r="F297">
        <v>4</v>
      </c>
      <c r="G297" s="1">
        <f t="shared" si="88"/>
        <v>76</v>
      </c>
      <c r="H297">
        <v>206</v>
      </c>
      <c r="I297">
        <v>1983</v>
      </c>
      <c r="J297">
        <v>2002</v>
      </c>
      <c r="K297" s="1">
        <f t="shared" si="89"/>
        <v>19</v>
      </c>
      <c r="L297" t="s">
        <v>42</v>
      </c>
      <c r="M297" t="s">
        <v>44</v>
      </c>
      <c r="N297" s="2">
        <v>68</v>
      </c>
      <c r="O297" s="5">
        <v>11</v>
      </c>
      <c r="P297" s="5">
        <v>52</v>
      </c>
      <c r="Q297" s="5">
        <f t="shared" si="90"/>
        <v>63</v>
      </c>
      <c r="R297" s="4">
        <v>52</v>
      </c>
      <c r="S297" s="2">
        <v>68</v>
      </c>
      <c r="T297" s="5">
        <v>14</v>
      </c>
      <c r="U297" s="5">
        <v>41</v>
      </c>
      <c r="V297" s="5">
        <f t="shared" si="91"/>
        <v>55</v>
      </c>
      <c r="W297" s="4">
        <v>50</v>
      </c>
      <c r="X297">
        <f t="shared" si="113"/>
        <v>0.16176470588235295</v>
      </c>
      <c r="Y297">
        <f t="shared" si="114"/>
        <v>0.20588235294117646</v>
      </c>
      <c r="Z297">
        <f t="shared" si="115"/>
        <v>-4.4117647058823511E-2</v>
      </c>
      <c r="AA297">
        <f t="shared" si="116"/>
        <v>0.76470588235294112</v>
      </c>
      <c r="AB297">
        <f t="shared" si="117"/>
        <v>0.6029411764705882</v>
      </c>
      <c r="AC297">
        <f t="shared" si="118"/>
        <v>0.16176470588235292</v>
      </c>
      <c r="AD297">
        <f t="shared" si="119"/>
        <v>0.92647058823529416</v>
      </c>
      <c r="AE297">
        <f t="shared" si="120"/>
        <v>0.80882352941176472</v>
      </c>
      <c r="AF297">
        <f t="shared" si="121"/>
        <v>0.11764705882352944</v>
      </c>
      <c r="AG297">
        <v>0</v>
      </c>
      <c r="AH297" s="14">
        <v>5.9784589892294946</v>
      </c>
      <c r="AI297" s="14">
        <v>22.419221209610605</v>
      </c>
      <c r="AJ297" s="14">
        <v>28.397680198840099</v>
      </c>
      <c r="AK297" s="14">
        <v>42.460646230323114</v>
      </c>
      <c r="AL297" s="3" t="s">
        <v>599</v>
      </c>
      <c r="AM297" s="22">
        <v>9</v>
      </c>
      <c r="AN297" s="22">
        <v>25</v>
      </c>
      <c r="AO297">
        <f t="shared" ref="AO297:AO298" si="122">AM297/AN297</f>
        <v>0.36</v>
      </c>
    </row>
    <row r="298" spans="1:41">
      <c r="A298" t="s">
        <v>169</v>
      </c>
      <c r="B298" t="s">
        <v>180</v>
      </c>
      <c r="C298">
        <v>55</v>
      </c>
      <c r="D298" t="s">
        <v>66</v>
      </c>
      <c r="E298">
        <v>5</v>
      </c>
      <c r="F298">
        <v>11</v>
      </c>
      <c r="G298" s="1">
        <f t="shared" si="88"/>
        <v>71</v>
      </c>
      <c r="H298">
        <v>212</v>
      </c>
      <c r="I298">
        <v>1991</v>
      </c>
      <c r="J298">
        <v>2009</v>
      </c>
      <c r="K298" s="1">
        <f t="shared" si="89"/>
        <v>18</v>
      </c>
      <c r="L298" t="s">
        <v>42</v>
      </c>
      <c r="M298" t="s">
        <v>44</v>
      </c>
      <c r="N298" s="2">
        <v>39</v>
      </c>
      <c r="O298" s="5">
        <v>4</v>
      </c>
      <c r="P298" s="5">
        <v>2</v>
      </c>
      <c r="Q298" s="5">
        <f t="shared" si="90"/>
        <v>6</v>
      </c>
      <c r="R298" s="4">
        <v>14</v>
      </c>
      <c r="S298" s="2">
        <v>18</v>
      </c>
      <c r="T298" s="5">
        <v>0</v>
      </c>
      <c r="U298" s="5">
        <v>1</v>
      </c>
      <c r="V298" s="5">
        <f t="shared" si="91"/>
        <v>1</v>
      </c>
      <c r="W298" s="4">
        <v>0</v>
      </c>
      <c r="X298">
        <f t="shared" si="113"/>
        <v>0.10256410256410256</v>
      </c>
      <c r="Y298">
        <f t="shared" si="114"/>
        <v>0</v>
      </c>
      <c r="Z298">
        <f t="shared" si="115"/>
        <v>0.10256410256410256</v>
      </c>
      <c r="AA298">
        <f t="shared" si="116"/>
        <v>5.128205128205128E-2</v>
      </c>
      <c r="AB298">
        <f t="shared" si="117"/>
        <v>5.5555555555555552E-2</v>
      </c>
      <c r="AC298">
        <f t="shared" si="118"/>
        <v>-4.2735042735042722E-3</v>
      </c>
      <c r="AD298">
        <f t="shared" si="119"/>
        <v>0.15384615384615385</v>
      </c>
      <c r="AE298">
        <f t="shared" si="120"/>
        <v>5.5555555555555552E-2</v>
      </c>
      <c r="AF298">
        <f t="shared" si="121"/>
        <v>9.8290598290598302E-2</v>
      </c>
      <c r="AG298">
        <v>0</v>
      </c>
      <c r="AH298" s="14">
        <v>5.9193205944798297</v>
      </c>
      <c r="AI298" s="14">
        <v>22.1104033970276</v>
      </c>
      <c r="AJ298" s="14">
        <v>28.029723991507428</v>
      </c>
      <c r="AK298" s="14">
        <v>31.511677282377917</v>
      </c>
      <c r="AL298" s="5" t="s">
        <v>624</v>
      </c>
      <c r="AM298" s="22">
        <v>9</v>
      </c>
      <c r="AN298" s="22">
        <v>119</v>
      </c>
      <c r="AO298">
        <f t="shared" si="122"/>
        <v>7.5630252100840331E-2</v>
      </c>
    </row>
    <row r="299" spans="1:41">
      <c r="A299" s="6" t="s">
        <v>102</v>
      </c>
      <c r="B299" t="s">
        <v>110</v>
      </c>
      <c r="C299">
        <v>102</v>
      </c>
      <c r="D299" t="s">
        <v>119</v>
      </c>
      <c r="E299">
        <v>5</v>
      </c>
      <c r="F299">
        <v>9</v>
      </c>
      <c r="G299" s="1">
        <f t="shared" si="88"/>
        <v>69</v>
      </c>
      <c r="H299">
        <v>177</v>
      </c>
      <c r="I299">
        <v>1997</v>
      </c>
      <c r="J299">
        <v>2015</v>
      </c>
      <c r="K299" s="1">
        <f t="shared" si="89"/>
        <v>18</v>
      </c>
      <c r="L299" t="s">
        <v>41</v>
      </c>
      <c r="M299" t="s">
        <v>43</v>
      </c>
      <c r="N299" s="2">
        <f>23+7+1+24+23+1+6</f>
        <v>85</v>
      </c>
      <c r="O299" s="3">
        <f>10+3+6+2+1</f>
        <v>22</v>
      </c>
      <c r="P299" s="3">
        <f>11+2+6+6+6</f>
        <v>31</v>
      </c>
      <c r="Q299" s="5">
        <f t="shared" si="90"/>
        <v>53</v>
      </c>
      <c r="R299" s="4">
        <f>4+2+4+8</f>
        <v>18</v>
      </c>
      <c r="S299" s="2">
        <f>38+18+5+4</f>
        <v>65</v>
      </c>
      <c r="T299" s="3">
        <f>6+6+3+1</f>
        <v>16</v>
      </c>
      <c r="U299" s="3">
        <f>13+10+4+2</f>
        <v>29</v>
      </c>
      <c r="V299" s="5">
        <f t="shared" si="91"/>
        <v>45</v>
      </c>
      <c r="W299" s="4">
        <f>24</f>
        <v>24</v>
      </c>
      <c r="X299">
        <f t="shared" si="113"/>
        <v>0.25882352941176473</v>
      </c>
      <c r="Y299">
        <f t="shared" si="114"/>
        <v>0.24615384615384617</v>
      </c>
      <c r="Z299">
        <f t="shared" si="115"/>
        <v>1.2669683257918563E-2</v>
      </c>
      <c r="AA299">
        <f t="shared" si="116"/>
        <v>0.36470588235294116</v>
      </c>
      <c r="AB299">
        <f t="shared" si="117"/>
        <v>0.44615384615384618</v>
      </c>
      <c r="AC299">
        <f t="shared" si="118"/>
        <v>-8.1447963800905021E-2</v>
      </c>
      <c r="AD299">
        <f t="shared" si="119"/>
        <v>0.62352941176470589</v>
      </c>
      <c r="AE299">
        <f t="shared" si="120"/>
        <v>0.69230769230769229</v>
      </c>
      <c r="AF299">
        <f t="shared" si="121"/>
        <v>-6.8778280542986403E-2</v>
      </c>
      <c r="AG299">
        <v>0</v>
      </c>
      <c r="AH299" s="14">
        <v>13.257485029940119</v>
      </c>
      <c r="AI299" s="14">
        <v>14.730538922155688</v>
      </c>
      <c r="AJ299" s="14">
        <v>27.988023952095809</v>
      </c>
      <c r="AK299" s="14">
        <v>15.712574850299401</v>
      </c>
      <c r="AL299" s="3" t="s">
        <v>628</v>
      </c>
    </row>
    <row r="300" spans="1:41">
      <c r="A300" t="s">
        <v>266</v>
      </c>
      <c r="B300" t="s">
        <v>271</v>
      </c>
      <c r="C300">
        <v>157</v>
      </c>
      <c r="D300" t="s">
        <v>65</v>
      </c>
      <c r="E300">
        <v>6</v>
      </c>
      <c r="F300">
        <v>1</v>
      </c>
      <c r="G300" s="1">
        <f t="shared" si="88"/>
        <v>73</v>
      </c>
      <c r="H300">
        <v>192</v>
      </c>
      <c r="I300">
        <v>1991</v>
      </c>
      <c r="J300">
        <v>2010</v>
      </c>
      <c r="K300" s="1">
        <f t="shared" si="89"/>
        <v>19</v>
      </c>
      <c r="L300" t="s">
        <v>41</v>
      </c>
      <c r="M300" t="s">
        <v>43</v>
      </c>
      <c r="N300" s="2">
        <v>2</v>
      </c>
      <c r="O300" s="5">
        <v>0</v>
      </c>
      <c r="P300" s="5">
        <v>0</v>
      </c>
      <c r="Q300" s="5">
        <f t="shared" si="90"/>
        <v>0</v>
      </c>
      <c r="R300" s="4">
        <v>0</v>
      </c>
      <c r="V300" s="5">
        <f t="shared" si="91"/>
        <v>0</v>
      </c>
      <c r="X300">
        <f t="shared" si="113"/>
        <v>0</v>
      </c>
      <c r="Y300" t="e">
        <f t="shared" si="114"/>
        <v>#DIV/0!</v>
      </c>
      <c r="Z300" t="e">
        <f t="shared" si="115"/>
        <v>#DIV/0!</v>
      </c>
      <c r="AA300">
        <f t="shared" si="116"/>
        <v>0</v>
      </c>
      <c r="AB300" t="e">
        <f t="shared" si="117"/>
        <v>#DIV/0!</v>
      </c>
      <c r="AC300" t="e">
        <f t="shared" si="118"/>
        <v>#DIV/0!</v>
      </c>
      <c r="AD300">
        <f t="shared" si="119"/>
        <v>0</v>
      </c>
      <c r="AE300" t="e">
        <f t="shared" si="120"/>
        <v>#DIV/0!</v>
      </c>
      <c r="AF300" t="e">
        <f t="shared" si="121"/>
        <v>#DIV/0!</v>
      </c>
      <c r="AG300">
        <v>0</v>
      </c>
      <c r="AH300" s="14">
        <v>9.9460916442048521</v>
      </c>
      <c r="AI300" s="14">
        <v>17.902964959568731</v>
      </c>
      <c r="AJ300" s="14">
        <v>27.849056603773583</v>
      </c>
      <c r="AK300" s="14">
        <v>22.986522911051214</v>
      </c>
      <c r="AL300" s="5" t="s">
        <v>65</v>
      </c>
    </row>
    <row r="301" spans="1:41">
      <c r="A301" t="s">
        <v>169</v>
      </c>
      <c r="B301" t="s">
        <v>186</v>
      </c>
      <c r="C301">
        <v>16</v>
      </c>
      <c r="D301" t="s">
        <v>35</v>
      </c>
      <c r="E301">
        <v>6</v>
      </c>
      <c r="F301">
        <v>4</v>
      </c>
      <c r="G301" s="1">
        <f t="shared" si="88"/>
        <v>76</v>
      </c>
      <c r="H301">
        <v>218</v>
      </c>
      <c r="I301">
        <v>1994</v>
      </c>
      <c r="J301">
        <v>2012</v>
      </c>
      <c r="K301" s="1">
        <f t="shared" si="89"/>
        <v>18</v>
      </c>
      <c r="L301" t="s">
        <v>41</v>
      </c>
      <c r="M301" t="s">
        <v>43</v>
      </c>
      <c r="N301" s="2">
        <v>49</v>
      </c>
      <c r="O301" s="5">
        <v>9</v>
      </c>
      <c r="P301" s="5">
        <v>18</v>
      </c>
      <c r="Q301" s="5">
        <f t="shared" si="90"/>
        <v>27</v>
      </c>
      <c r="R301" s="4">
        <v>141</v>
      </c>
      <c r="S301" s="2">
        <v>28</v>
      </c>
      <c r="T301" s="5">
        <v>3</v>
      </c>
      <c r="U301" s="5">
        <v>3</v>
      </c>
      <c r="V301" s="5">
        <f t="shared" si="91"/>
        <v>6</v>
      </c>
      <c r="W301" s="4">
        <v>71</v>
      </c>
      <c r="X301">
        <f t="shared" si="113"/>
        <v>0.18367346938775511</v>
      </c>
      <c r="Y301">
        <f t="shared" si="114"/>
        <v>0.10714285714285714</v>
      </c>
      <c r="Z301">
        <f t="shared" si="115"/>
        <v>7.6530612244897975E-2</v>
      </c>
      <c r="AA301">
        <f t="shared" si="116"/>
        <v>0.36734693877551022</v>
      </c>
      <c r="AB301">
        <f t="shared" si="117"/>
        <v>0.10714285714285714</v>
      </c>
      <c r="AC301">
        <f t="shared" si="118"/>
        <v>0.26020408163265307</v>
      </c>
      <c r="AD301">
        <f t="shared" si="119"/>
        <v>0.55102040816326525</v>
      </c>
      <c r="AE301">
        <f t="shared" si="120"/>
        <v>0.21428571428571427</v>
      </c>
      <c r="AF301">
        <f t="shared" si="121"/>
        <v>0.33673469387755095</v>
      </c>
      <c r="AG301">
        <v>0</v>
      </c>
      <c r="AH301" s="14">
        <v>11.322175732217573</v>
      </c>
      <c r="AI301" s="14">
        <v>16.468619246861927</v>
      </c>
      <c r="AJ301" s="14">
        <v>27.7907949790795</v>
      </c>
      <c r="AK301" s="14">
        <v>164.85774058577405</v>
      </c>
      <c r="AL301" s="5" t="s">
        <v>600</v>
      </c>
    </row>
    <row r="302" spans="1:41">
      <c r="A302" t="s">
        <v>576</v>
      </c>
      <c r="B302" t="s">
        <v>586</v>
      </c>
      <c r="C302">
        <v>95</v>
      </c>
      <c r="D302" t="s">
        <v>34</v>
      </c>
      <c r="E302">
        <v>6</v>
      </c>
      <c r="F302">
        <v>1</v>
      </c>
      <c r="G302" s="1">
        <f t="shared" si="88"/>
        <v>73</v>
      </c>
      <c r="H302">
        <v>209</v>
      </c>
      <c r="I302">
        <v>1987</v>
      </c>
      <c r="J302">
        <v>2007</v>
      </c>
      <c r="K302" s="1">
        <f t="shared" si="89"/>
        <v>20</v>
      </c>
      <c r="L302" t="s">
        <v>42</v>
      </c>
      <c r="M302" t="s">
        <v>44</v>
      </c>
      <c r="N302" s="2">
        <v>42</v>
      </c>
      <c r="O302" s="5">
        <v>9</v>
      </c>
      <c r="P302" s="5">
        <v>15</v>
      </c>
      <c r="Q302" s="5">
        <f t="shared" si="90"/>
        <v>24</v>
      </c>
      <c r="R302" s="4">
        <v>40</v>
      </c>
      <c r="S302" s="2">
        <v>39</v>
      </c>
      <c r="T302" s="5">
        <v>3</v>
      </c>
      <c r="U302" s="5">
        <v>8</v>
      </c>
      <c r="V302" s="5">
        <f t="shared" si="91"/>
        <v>11</v>
      </c>
      <c r="W302" s="4">
        <v>31</v>
      </c>
      <c r="AG302">
        <v>0</v>
      </c>
      <c r="AH302" s="14">
        <v>8.6390328151986182</v>
      </c>
      <c r="AI302" s="14">
        <v>18.977547495682209</v>
      </c>
      <c r="AJ302" s="14">
        <v>27.616580310880828</v>
      </c>
      <c r="AK302" s="14">
        <v>25.208981001727114</v>
      </c>
      <c r="AL302" s="3" t="s">
        <v>601</v>
      </c>
      <c r="AM302" s="22">
        <v>8</v>
      </c>
      <c r="AN302" s="22">
        <v>84</v>
      </c>
      <c r="AO302">
        <f t="shared" ref="AO302:AO305" si="123">AM302/AN302</f>
        <v>9.5238095238095233E-2</v>
      </c>
    </row>
    <row r="303" spans="1:41">
      <c r="A303" t="s">
        <v>220</v>
      </c>
      <c r="B303" t="s">
        <v>229</v>
      </c>
      <c r="C303">
        <v>17</v>
      </c>
      <c r="D303" t="s">
        <v>35</v>
      </c>
      <c r="E303">
        <v>6</v>
      </c>
      <c r="F303">
        <v>3</v>
      </c>
      <c r="G303" s="1">
        <f t="shared" si="88"/>
        <v>75</v>
      </c>
      <c r="H303">
        <v>181</v>
      </c>
      <c r="I303">
        <v>1996</v>
      </c>
      <c r="J303">
        <v>2014</v>
      </c>
      <c r="K303" s="1">
        <f t="shared" si="89"/>
        <v>18</v>
      </c>
      <c r="L303" t="s">
        <v>42</v>
      </c>
      <c r="M303" t="s">
        <v>44</v>
      </c>
      <c r="N303" s="2">
        <v>74</v>
      </c>
      <c r="O303" s="5">
        <v>5</v>
      </c>
      <c r="P303" s="5">
        <v>30</v>
      </c>
      <c r="Q303" s="5">
        <f t="shared" si="90"/>
        <v>35</v>
      </c>
      <c r="R303" s="4">
        <v>14</v>
      </c>
      <c r="S303" s="2">
        <v>43</v>
      </c>
      <c r="T303" s="5">
        <v>12</v>
      </c>
      <c r="U303" s="5">
        <v>23</v>
      </c>
      <c r="V303" s="5">
        <f t="shared" si="91"/>
        <v>35</v>
      </c>
      <c r="W303" s="4">
        <v>44</v>
      </c>
      <c r="X303">
        <f>O303/N303</f>
        <v>6.7567567567567571E-2</v>
      </c>
      <c r="Y303">
        <f>T303/S303</f>
        <v>0.27906976744186046</v>
      </c>
      <c r="Z303">
        <f>X303-Y303</f>
        <v>-0.21150219987429289</v>
      </c>
      <c r="AA303">
        <f>P303/N303</f>
        <v>0.40540540540540543</v>
      </c>
      <c r="AB303">
        <f>U303/S303</f>
        <v>0.53488372093023251</v>
      </c>
      <c r="AC303">
        <f>AA303-AB303</f>
        <v>-0.12947831552482708</v>
      </c>
      <c r="AD303">
        <f>Q303/N303</f>
        <v>0.47297297297297297</v>
      </c>
      <c r="AE303">
        <f>V303/S303</f>
        <v>0.81395348837209303</v>
      </c>
      <c r="AF303">
        <f>AD303-AE303</f>
        <v>-0.34098051539912005</v>
      </c>
      <c r="AG303">
        <v>0</v>
      </c>
      <c r="AH303" s="14">
        <v>7.0131578947368425</v>
      </c>
      <c r="AI303" s="14">
        <v>20.5</v>
      </c>
      <c r="AJ303" s="14">
        <v>27.513157894736842</v>
      </c>
      <c r="AK303" s="14">
        <v>26.973684210526315</v>
      </c>
      <c r="AL303" s="5" t="s">
        <v>599</v>
      </c>
      <c r="AM303" s="22">
        <v>7</v>
      </c>
      <c r="AN303" s="22">
        <v>263</v>
      </c>
      <c r="AO303">
        <f t="shared" si="123"/>
        <v>2.6615969581749048E-2</v>
      </c>
    </row>
    <row r="304" spans="1:41">
      <c r="A304" t="s">
        <v>188</v>
      </c>
      <c r="B304" t="s">
        <v>195</v>
      </c>
      <c r="C304">
        <v>12</v>
      </c>
      <c r="D304" t="s">
        <v>35</v>
      </c>
      <c r="E304">
        <v>6</v>
      </c>
      <c r="F304">
        <v>3</v>
      </c>
      <c r="G304" s="1">
        <f t="shared" si="88"/>
        <v>75</v>
      </c>
      <c r="H304">
        <v>179</v>
      </c>
      <c r="I304">
        <v>2000</v>
      </c>
      <c r="J304">
        <v>2018</v>
      </c>
      <c r="K304" s="1">
        <f t="shared" si="89"/>
        <v>18</v>
      </c>
      <c r="L304" t="s">
        <v>42</v>
      </c>
      <c r="M304" t="s">
        <v>43</v>
      </c>
      <c r="N304" s="2">
        <v>67</v>
      </c>
      <c r="O304" s="5">
        <v>17</v>
      </c>
      <c r="P304" s="5">
        <v>52</v>
      </c>
      <c r="Q304" s="5">
        <f t="shared" si="90"/>
        <v>69</v>
      </c>
      <c r="R304" s="4">
        <v>52</v>
      </c>
      <c r="S304" s="2">
        <v>68</v>
      </c>
      <c r="T304" s="5">
        <v>7</v>
      </c>
      <c r="U304" s="5">
        <v>19</v>
      </c>
      <c r="V304" s="5">
        <f t="shared" si="91"/>
        <v>26</v>
      </c>
      <c r="W304" s="4">
        <v>42</v>
      </c>
      <c r="X304">
        <f>O304/N304</f>
        <v>0.2537313432835821</v>
      </c>
      <c r="Y304">
        <f>T304/S304</f>
        <v>0.10294117647058823</v>
      </c>
      <c r="Z304">
        <f>X304-Y304</f>
        <v>0.15079016681299387</v>
      </c>
      <c r="AA304">
        <f>P304/N304</f>
        <v>0.77611940298507465</v>
      </c>
      <c r="AB304">
        <f>U304/S304</f>
        <v>0.27941176470588236</v>
      </c>
      <c r="AC304">
        <f>AA304-AB304</f>
        <v>0.49670763827919229</v>
      </c>
      <c r="AD304">
        <f>Q304/N304</f>
        <v>1.0298507462686568</v>
      </c>
      <c r="AE304">
        <f>V304/S304</f>
        <v>0.38235294117647056</v>
      </c>
      <c r="AF304">
        <f>AD304-AE304</f>
        <v>0.64749780509218624</v>
      </c>
      <c r="AG304">
        <v>0</v>
      </c>
      <c r="AH304" s="14">
        <v>0</v>
      </c>
      <c r="AI304" s="14">
        <v>27.333333333333332</v>
      </c>
      <c r="AJ304" s="14">
        <v>27.333333333333332</v>
      </c>
      <c r="AK304" s="14">
        <v>0</v>
      </c>
      <c r="AL304" s="3" t="s">
        <v>614</v>
      </c>
      <c r="AM304" s="22">
        <v>7</v>
      </c>
      <c r="AN304" s="22">
        <v>664</v>
      </c>
      <c r="AO304">
        <f t="shared" si="123"/>
        <v>1.0542168674698794E-2</v>
      </c>
    </row>
    <row r="305" spans="1:41">
      <c r="A305" t="s">
        <v>204</v>
      </c>
      <c r="B305" t="s">
        <v>210</v>
      </c>
      <c r="C305">
        <v>3</v>
      </c>
      <c r="D305" t="s">
        <v>34</v>
      </c>
      <c r="E305">
        <v>6</v>
      </c>
      <c r="F305">
        <v>1</v>
      </c>
      <c r="G305" s="1">
        <f t="shared" si="88"/>
        <v>73</v>
      </c>
      <c r="H305">
        <v>227</v>
      </c>
      <c r="I305">
        <v>1987</v>
      </c>
      <c r="J305">
        <v>2005</v>
      </c>
      <c r="K305" s="1">
        <f t="shared" si="89"/>
        <v>18</v>
      </c>
      <c r="L305" t="s">
        <v>42</v>
      </c>
      <c r="M305" t="s">
        <v>44</v>
      </c>
      <c r="N305" s="2">
        <v>44</v>
      </c>
      <c r="O305" s="5">
        <v>12</v>
      </c>
      <c r="P305" s="5">
        <v>21</v>
      </c>
      <c r="Q305" s="5">
        <f t="shared" si="90"/>
        <v>33</v>
      </c>
      <c r="R305" s="4">
        <f>86+57+35</f>
        <v>178</v>
      </c>
      <c r="S305" s="2">
        <v>66</v>
      </c>
      <c r="T305" s="5">
        <v>17</v>
      </c>
      <c r="U305" s="5">
        <v>21</v>
      </c>
      <c r="V305" s="5">
        <f t="shared" si="91"/>
        <v>38</v>
      </c>
      <c r="W305" s="4">
        <f>78+93+18</f>
        <v>189</v>
      </c>
      <c r="X305">
        <f>O305/N305</f>
        <v>0.27272727272727271</v>
      </c>
      <c r="Y305">
        <f>T305/S305</f>
        <v>0.25757575757575757</v>
      </c>
      <c r="Z305">
        <f>X305-Y305</f>
        <v>1.5151515151515138E-2</v>
      </c>
      <c r="AA305">
        <f>P305/N305</f>
        <v>0.47727272727272729</v>
      </c>
      <c r="AB305">
        <f>U305/S305</f>
        <v>0.31818181818181818</v>
      </c>
      <c r="AC305">
        <f>AA305-AB305</f>
        <v>0.15909090909090912</v>
      </c>
      <c r="AD305">
        <f>Q305/N305</f>
        <v>0.75</v>
      </c>
      <c r="AE305">
        <f>V305/S305</f>
        <v>0.5757575757575758</v>
      </c>
      <c r="AF305">
        <f>AD305-AE305</f>
        <v>0.1742424242424242</v>
      </c>
      <c r="AG305">
        <v>0</v>
      </c>
      <c r="AH305" s="14">
        <v>6.2651685393258427</v>
      </c>
      <c r="AI305" s="14">
        <v>20.914606741573031</v>
      </c>
      <c r="AJ305" s="14">
        <v>27.179775280898873</v>
      </c>
      <c r="AK305" s="14">
        <v>46.159550561797751</v>
      </c>
      <c r="AL305" s="3" t="s">
        <v>619</v>
      </c>
      <c r="AM305" s="22">
        <v>7</v>
      </c>
      <c r="AN305" s="22">
        <v>341</v>
      </c>
      <c r="AO305">
        <f t="shared" si="123"/>
        <v>2.0527859237536656E-2</v>
      </c>
    </row>
    <row r="306" spans="1:41">
      <c r="A306" t="s">
        <v>266</v>
      </c>
      <c r="B306" t="s">
        <v>274</v>
      </c>
      <c r="C306">
        <v>27</v>
      </c>
      <c r="D306" t="s">
        <v>35</v>
      </c>
      <c r="E306">
        <v>6</v>
      </c>
      <c r="F306">
        <v>3</v>
      </c>
      <c r="G306" s="1">
        <f t="shared" si="88"/>
        <v>75</v>
      </c>
      <c r="H306">
        <v>195</v>
      </c>
      <c r="I306">
        <v>1998</v>
      </c>
      <c r="J306">
        <v>2016</v>
      </c>
      <c r="K306" s="1">
        <f t="shared" si="89"/>
        <v>18</v>
      </c>
      <c r="L306" t="s">
        <v>41</v>
      </c>
      <c r="M306" t="s">
        <v>44</v>
      </c>
      <c r="N306" s="2">
        <v>74</v>
      </c>
      <c r="O306" s="5">
        <v>49</v>
      </c>
      <c r="P306" s="5">
        <v>43</v>
      </c>
      <c r="Q306" s="5">
        <f t="shared" si="90"/>
        <v>92</v>
      </c>
      <c r="R306" s="4">
        <v>69</v>
      </c>
      <c r="S306" s="2">
        <v>68</v>
      </c>
      <c r="T306" s="5">
        <v>22</v>
      </c>
      <c r="U306" s="5">
        <v>24</v>
      </c>
      <c r="V306" s="5">
        <f t="shared" si="91"/>
        <v>46</v>
      </c>
      <c r="W306" s="4">
        <v>24</v>
      </c>
      <c r="X306">
        <f>O306/N306</f>
        <v>0.66216216216216217</v>
      </c>
      <c r="Y306">
        <f>T306/S306</f>
        <v>0.3235294117647059</v>
      </c>
      <c r="Z306">
        <f>X306-Y306</f>
        <v>0.33863275039745627</v>
      </c>
      <c r="AA306">
        <f>P306/N306</f>
        <v>0.58108108108108103</v>
      </c>
      <c r="AB306">
        <f>U306/S306</f>
        <v>0.35294117647058826</v>
      </c>
      <c r="AC306">
        <f>AA306-AB306</f>
        <v>0.22813990461049277</v>
      </c>
      <c r="AD306">
        <f>Q306/N306</f>
        <v>1.2432432432432432</v>
      </c>
      <c r="AE306">
        <f>V306/S306</f>
        <v>0.67647058823529416</v>
      </c>
      <c r="AF306">
        <f>AD306-AE306</f>
        <v>0.56677265500794904</v>
      </c>
      <c r="AG306">
        <v>0</v>
      </c>
      <c r="AH306" s="14">
        <v>8.6823529411764699</v>
      </c>
      <c r="AI306" s="14">
        <v>18.329411764705881</v>
      </c>
      <c r="AJ306" s="14">
        <v>27.011764705882353</v>
      </c>
      <c r="AK306" s="14">
        <v>17.36470588235294</v>
      </c>
      <c r="AL306" s="5" t="s">
        <v>599</v>
      </c>
    </row>
    <row r="307" spans="1:41">
      <c r="A307" t="s">
        <v>397</v>
      </c>
      <c r="B307" t="s">
        <v>411</v>
      </c>
      <c r="C307">
        <v>71</v>
      </c>
      <c r="D307" t="s">
        <v>85</v>
      </c>
      <c r="E307">
        <v>6</v>
      </c>
      <c r="F307">
        <v>0</v>
      </c>
      <c r="G307" s="1">
        <f t="shared" si="88"/>
        <v>72</v>
      </c>
      <c r="H307">
        <v>200</v>
      </c>
      <c r="I307">
        <v>1986</v>
      </c>
      <c r="J307">
        <v>2004</v>
      </c>
      <c r="K307" s="1">
        <f t="shared" si="89"/>
        <v>18</v>
      </c>
      <c r="L307" t="s">
        <v>42</v>
      </c>
      <c r="M307" t="s">
        <v>44</v>
      </c>
      <c r="N307" s="2">
        <v>50</v>
      </c>
      <c r="O307" s="5">
        <v>5</v>
      </c>
      <c r="P307" s="5">
        <v>12</v>
      </c>
      <c r="Q307" s="5">
        <f t="shared" si="90"/>
        <v>17</v>
      </c>
      <c r="R307" s="4">
        <v>42</v>
      </c>
      <c r="S307" s="2">
        <v>48</v>
      </c>
      <c r="T307" s="5">
        <v>9</v>
      </c>
      <c r="U307" s="5">
        <v>15</v>
      </c>
      <c r="V307" s="5">
        <f t="shared" si="91"/>
        <v>24</v>
      </c>
      <c r="W307" s="4">
        <v>20</v>
      </c>
      <c r="AG307">
        <v>0</v>
      </c>
      <c r="AH307" s="14">
        <v>5.0826446280991737</v>
      </c>
      <c r="AI307" s="14">
        <v>21.798898071625345</v>
      </c>
      <c r="AJ307" s="14">
        <v>26.88154269972452</v>
      </c>
      <c r="AK307" s="14">
        <v>20.782369146005511</v>
      </c>
      <c r="AL307" s="3" t="s">
        <v>36</v>
      </c>
      <c r="AM307" s="22">
        <v>6</v>
      </c>
      <c r="AN307" s="22">
        <v>181</v>
      </c>
      <c r="AO307">
        <f t="shared" ref="AO307:AO308" si="124">AM307/AN307</f>
        <v>3.3149171270718231E-2</v>
      </c>
    </row>
    <row r="308" spans="1:41">
      <c r="A308" t="s">
        <v>322</v>
      </c>
      <c r="B308" t="s">
        <v>328</v>
      </c>
      <c r="C308">
        <v>47</v>
      </c>
      <c r="D308" t="s">
        <v>35</v>
      </c>
      <c r="E308">
        <v>5</v>
      </c>
      <c r="F308">
        <v>10</v>
      </c>
      <c r="G308" s="1">
        <f t="shared" si="88"/>
        <v>70</v>
      </c>
      <c r="H308">
        <v>170</v>
      </c>
      <c r="I308">
        <v>1998</v>
      </c>
      <c r="J308">
        <v>2016</v>
      </c>
      <c r="K308" s="1">
        <f t="shared" si="89"/>
        <v>18</v>
      </c>
      <c r="L308" t="s">
        <v>42</v>
      </c>
      <c r="M308" t="s">
        <v>44</v>
      </c>
      <c r="N308" s="2">
        <v>67</v>
      </c>
      <c r="O308" s="5">
        <v>10</v>
      </c>
      <c r="P308" s="5">
        <v>64</v>
      </c>
      <c r="Q308" s="5">
        <f t="shared" si="90"/>
        <v>74</v>
      </c>
      <c r="R308" s="4">
        <v>10</v>
      </c>
      <c r="S308" s="2">
        <v>64</v>
      </c>
      <c r="T308" s="5">
        <v>5</v>
      </c>
      <c r="U308" s="5">
        <v>38</v>
      </c>
      <c r="V308" s="5">
        <f t="shared" si="91"/>
        <v>43</v>
      </c>
      <c r="W308" s="4">
        <v>8</v>
      </c>
      <c r="X308">
        <f>O308/N308</f>
        <v>0.14925373134328357</v>
      </c>
      <c r="Y308">
        <f>T308/S308</f>
        <v>7.8125E-2</v>
      </c>
      <c r="Z308">
        <f>X308-Y308</f>
        <v>7.1128731343283569E-2</v>
      </c>
      <c r="AA308">
        <f>P308/N308</f>
        <v>0.95522388059701491</v>
      </c>
      <c r="AB308">
        <f>U308/S308</f>
        <v>0.59375</v>
      </c>
      <c r="AC308">
        <f>AA308-AB308</f>
        <v>0.36147388059701491</v>
      </c>
      <c r="AD308">
        <f>Q308/N308</f>
        <v>1.1044776119402986</v>
      </c>
      <c r="AE308">
        <f>V308/S308</f>
        <v>0.671875</v>
      </c>
      <c r="AF308">
        <f>AD308-AE308</f>
        <v>0.43260261194029859</v>
      </c>
      <c r="AG308">
        <v>0</v>
      </c>
      <c r="AH308" s="14">
        <v>4.1694915254237293</v>
      </c>
      <c r="AI308" s="14">
        <v>22.700564971751412</v>
      </c>
      <c r="AJ308" s="14">
        <v>26.870056497175142</v>
      </c>
      <c r="AK308" s="14">
        <v>7.4124293785310735</v>
      </c>
      <c r="AL308" s="3" t="s">
        <v>614</v>
      </c>
      <c r="AM308" s="22">
        <v>5</v>
      </c>
      <c r="AN308" s="22">
        <v>26</v>
      </c>
      <c r="AO308">
        <f t="shared" si="124"/>
        <v>0.19230769230769232</v>
      </c>
    </row>
    <row r="309" spans="1:41">
      <c r="A309" t="s">
        <v>204</v>
      </c>
      <c r="B309" t="s">
        <v>206</v>
      </c>
      <c r="C309">
        <v>52</v>
      </c>
      <c r="D309" t="s">
        <v>84</v>
      </c>
      <c r="E309">
        <v>6</v>
      </c>
      <c r="F309">
        <v>0</v>
      </c>
      <c r="G309" s="1">
        <f t="shared" si="88"/>
        <v>72</v>
      </c>
      <c r="H309">
        <v>185</v>
      </c>
      <c r="I309">
        <v>1994</v>
      </c>
      <c r="J309">
        <v>2012</v>
      </c>
      <c r="K309" s="1">
        <f t="shared" si="89"/>
        <v>18</v>
      </c>
      <c r="L309" t="s">
        <v>41</v>
      </c>
      <c r="M309" t="s">
        <v>44</v>
      </c>
      <c r="N309" s="2">
        <v>51</v>
      </c>
      <c r="O309" s="5">
        <v>24</v>
      </c>
      <c r="P309" s="5">
        <v>64</v>
      </c>
      <c r="Q309" s="5">
        <f t="shared" si="90"/>
        <v>88</v>
      </c>
      <c r="R309" s="4">
        <v>63</v>
      </c>
      <c r="S309" s="2">
        <v>54</v>
      </c>
      <c r="T309" s="5">
        <v>24</v>
      </c>
      <c r="U309" s="5">
        <v>42</v>
      </c>
      <c r="V309" s="5">
        <f t="shared" si="91"/>
        <v>66</v>
      </c>
      <c r="W309" s="4">
        <v>32</v>
      </c>
      <c r="X309">
        <f>O309/N309</f>
        <v>0.47058823529411764</v>
      </c>
      <c r="Y309">
        <f>T309/S309</f>
        <v>0.44444444444444442</v>
      </c>
      <c r="Z309">
        <f>X309-Y309</f>
        <v>2.6143790849673221E-2</v>
      </c>
      <c r="AA309">
        <f>P309/N309</f>
        <v>1.2549019607843137</v>
      </c>
      <c r="AB309">
        <f>U309/S309</f>
        <v>0.77777777777777779</v>
      </c>
      <c r="AC309">
        <f>AA309-AB309</f>
        <v>0.47712418300653592</v>
      </c>
      <c r="AD309">
        <f>Q309/N309</f>
        <v>1.7254901960784315</v>
      </c>
      <c r="AE309">
        <f>V309/S309</f>
        <v>1.2222222222222223</v>
      </c>
      <c r="AF309">
        <f>AD309-AE309</f>
        <v>0.50326797385620914</v>
      </c>
      <c r="AG309">
        <v>0</v>
      </c>
      <c r="AH309" s="14">
        <v>13.387755102040817</v>
      </c>
      <c r="AI309" s="14">
        <v>13.387755102040817</v>
      </c>
      <c r="AJ309" s="14">
        <v>26.775510204081634</v>
      </c>
      <c r="AK309" s="14">
        <v>53.551020408163268</v>
      </c>
      <c r="AL309" s="5" t="s">
        <v>636</v>
      </c>
    </row>
    <row r="310" spans="1:41">
      <c r="A310" t="s">
        <v>188</v>
      </c>
      <c r="B310" t="s">
        <v>192</v>
      </c>
      <c r="C310">
        <v>92</v>
      </c>
      <c r="D310" t="s">
        <v>35</v>
      </c>
      <c r="E310">
        <v>5</v>
      </c>
      <c r="F310">
        <v>11</v>
      </c>
      <c r="G310" s="1">
        <f t="shared" si="88"/>
        <v>71</v>
      </c>
      <c r="H310">
        <v>195</v>
      </c>
      <c r="I310">
        <v>1991</v>
      </c>
      <c r="J310">
        <v>2009</v>
      </c>
      <c r="K310" s="1">
        <f t="shared" si="89"/>
        <v>18</v>
      </c>
      <c r="L310" t="s">
        <v>41</v>
      </c>
      <c r="M310" t="s">
        <v>44</v>
      </c>
      <c r="N310" s="2">
        <v>55</v>
      </c>
      <c r="O310" s="5">
        <v>16</v>
      </c>
      <c r="P310" s="5">
        <v>20</v>
      </c>
      <c r="Q310" s="5">
        <f t="shared" si="90"/>
        <v>36</v>
      </c>
      <c r="R310" s="4">
        <v>39</v>
      </c>
      <c r="S310" s="2">
        <v>62</v>
      </c>
      <c r="T310" s="5">
        <v>18</v>
      </c>
      <c r="U310" s="5">
        <v>23</v>
      </c>
      <c r="V310" s="5">
        <f t="shared" si="91"/>
        <v>41</v>
      </c>
      <c r="W310" s="4">
        <v>41</v>
      </c>
      <c r="X310">
        <f>O310/N310</f>
        <v>0.29090909090909089</v>
      </c>
      <c r="Y310">
        <f>T310/S310</f>
        <v>0.29032258064516131</v>
      </c>
      <c r="Z310">
        <f>X310-Y310</f>
        <v>5.8651026392958494E-4</v>
      </c>
      <c r="AA310">
        <f>P310/N310</f>
        <v>0.36363636363636365</v>
      </c>
      <c r="AB310">
        <f>U310/S310</f>
        <v>0.37096774193548387</v>
      </c>
      <c r="AC310">
        <f>AA310-AB310</f>
        <v>-7.3313782991202281E-3</v>
      </c>
      <c r="AD310">
        <f>Q310/N310</f>
        <v>0.65454545454545454</v>
      </c>
      <c r="AE310">
        <f>V310/S310</f>
        <v>0.66129032258064513</v>
      </c>
      <c r="AF310">
        <f>AD310-AE310</f>
        <v>-6.7448680351905876E-3</v>
      </c>
      <c r="AG310">
        <v>0</v>
      </c>
      <c r="AH310" s="14">
        <v>10.988000000000001</v>
      </c>
      <c r="AI310" s="14">
        <v>15.744</v>
      </c>
      <c r="AJ310" s="14">
        <v>26.732000000000003</v>
      </c>
      <c r="AK310" s="14">
        <v>33.620000000000005</v>
      </c>
      <c r="AL310" s="5" t="s">
        <v>600</v>
      </c>
    </row>
    <row r="311" spans="1:41">
      <c r="A311" t="s">
        <v>445</v>
      </c>
      <c r="B311" t="s">
        <v>451</v>
      </c>
      <c r="C311">
        <v>15</v>
      </c>
      <c r="D311" t="s">
        <v>34</v>
      </c>
      <c r="E311">
        <v>6</v>
      </c>
      <c r="F311">
        <v>0</v>
      </c>
      <c r="G311" s="1">
        <f t="shared" si="88"/>
        <v>72</v>
      </c>
      <c r="H311">
        <v>195</v>
      </c>
      <c r="I311">
        <v>1997</v>
      </c>
      <c r="J311">
        <v>2016</v>
      </c>
      <c r="K311" s="1">
        <f t="shared" si="89"/>
        <v>19</v>
      </c>
      <c r="L311" t="s">
        <v>41</v>
      </c>
      <c r="M311" t="s">
        <v>43</v>
      </c>
      <c r="N311" s="2">
        <v>34</v>
      </c>
      <c r="O311" s="5">
        <v>19</v>
      </c>
      <c r="P311" s="5">
        <v>13</v>
      </c>
      <c r="Q311" s="5">
        <f t="shared" si="90"/>
        <v>32</v>
      </c>
      <c r="R311" s="4">
        <v>34</v>
      </c>
      <c r="S311" s="2">
        <v>61</v>
      </c>
      <c r="T311" s="5">
        <v>27</v>
      </c>
      <c r="U311" s="5">
        <v>15</v>
      </c>
      <c r="V311" s="5">
        <f t="shared" si="91"/>
        <v>42</v>
      </c>
      <c r="W311" s="4">
        <v>34</v>
      </c>
      <c r="AG311">
        <v>0</v>
      </c>
      <c r="AH311" s="14">
        <v>11.056179775280899</v>
      </c>
      <c r="AI311" s="14">
        <v>15.662921348314608</v>
      </c>
      <c r="AJ311" s="14">
        <v>26.719101123595507</v>
      </c>
      <c r="AK311" s="14">
        <v>54.359550561797754</v>
      </c>
      <c r="AL311" s="3" t="s">
        <v>622</v>
      </c>
    </row>
    <row r="312" spans="1:41">
      <c r="A312" t="s">
        <v>525</v>
      </c>
      <c r="B312" t="s">
        <v>532</v>
      </c>
      <c r="C312">
        <v>21</v>
      </c>
      <c r="D312" t="s">
        <v>35</v>
      </c>
      <c r="E312">
        <v>6</v>
      </c>
      <c r="F312">
        <v>4</v>
      </c>
      <c r="G312" s="1">
        <f t="shared" si="88"/>
        <v>76</v>
      </c>
      <c r="H312">
        <v>212</v>
      </c>
      <c r="I312">
        <v>1994</v>
      </c>
      <c r="J312">
        <v>2012</v>
      </c>
      <c r="K312" s="1">
        <f t="shared" si="89"/>
        <v>18</v>
      </c>
      <c r="L312" t="s">
        <v>41</v>
      </c>
      <c r="M312" t="s">
        <v>44</v>
      </c>
      <c r="N312" s="2">
        <v>54</v>
      </c>
      <c r="O312" s="5">
        <v>52</v>
      </c>
      <c r="P312" s="5">
        <v>37</v>
      </c>
      <c r="Q312" s="5">
        <f t="shared" si="90"/>
        <v>89</v>
      </c>
      <c r="R312" s="4">
        <v>34</v>
      </c>
      <c r="S312" s="2">
        <v>63</v>
      </c>
      <c r="T312" s="5">
        <v>29</v>
      </c>
      <c r="U312" s="5">
        <v>41</v>
      </c>
      <c r="V312" s="5">
        <f t="shared" si="91"/>
        <v>70</v>
      </c>
      <c r="W312" s="4">
        <v>20</v>
      </c>
      <c r="AG312">
        <v>0</v>
      </c>
      <c r="AH312" s="14">
        <v>14.525714285714287</v>
      </c>
      <c r="AI312" s="14">
        <v>12.182857142857143</v>
      </c>
      <c r="AJ312" s="14">
        <v>26.708571428571428</v>
      </c>
      <c r="AK312" s="14">
        <v>23.897142857142857</v>
      </c>
      <c r="AL312" s="3" t="s">
        <v>616</v>
      </c>
    </row>
    <row r="313" spans="1:41">
      <c r="A313" t="s">
        <v>461</v>
      </c>
      <c r="B313" t="s">
        <v>469</v>
      </c>
      <c r="C313">
        <v>13</v>
      </c>
      <c r="D313" t="s">
        <v>35</v>
      </c>
      <c r="E313">
        <v>6</v>
      </c>
      <c r="F313">
        <v>3</v>
      </c>
      <c r="G313" s="1">
        <f t="shared" si="88"/>
        <v>75</v>
      </c>
      <c r="H313">
        <v>211</v>
      </c>
      <c r="I313">
        <v>1991</v>
      </c>
      <c r="J313">
        <v>2009</v>
      </c>
      <c r="K313" s="1">
        <f t="shared" si="89"/>
        <v>18</v>
      </c>
      <c r="L313" t="s">
        <v>41</v>
      </c>
      <c r="M313" t="s">
        <v>43</v>
      </c>
      <c r="N313" s="2">
        <v>67</v>
      </c>
      <c r="O313" s="5">
        <v>26</v>
      </c>
      <c r="P313" s="5">
        <v>42</v>
      </c>
      <c r="Q313" s="5">
        <f t="shared" si="90"/>
        <v>68</v>
      </c>
      <c r="R313" s="4">
        <v>136</v>
      </c>
      <c r="S313" s="2">
        <v>58</v>
      </c>
      <c r="T313" s="5">
        <v>9</v>
      </c>
      <c r="U313" s="5">
        <v>12</v>
      </c>
      <c r="V313" s="5">
        <f t="shared" si="91"/>
        <v>21</v>
      </c>
      <c r="W313" s="4">
        <v>74</v>
      </c>
      <c r="AG313">
        <v>0</v>
      </c>
      <c r="AH313" s="14">
        <v>12.551020408163266</v>
      </c>
      <c r="AI313" s="14">
        <v>14.057142857142857</v>
      </c>
      <c r="AJ313" s="14">
        <v>26.608163265306125</v>
      </c>
      <c r="AK313" s="14">
        <v>123.66938775510205</v>
      </c>
      <c r="AL313" s="3" t="s">
        <v>600</v>
      </c>
    </row>
    <row r="314" spans="1:41">
      <c r="A314" s="6" t="s">
        <v>102</v>
      </c>
      <c r="B314" t="s">
        <v>114</v>
      </c>
      <c r="C314">
        <v>216</v>
      </c>
      <c r="D314" t="s">
        <v>65</v>
      </c>
      <c r="E314">
        <v>5</v>
      </c>
      <c r="F314">
        <v>11</v>
      </c>
      <c r="G314" s="1">
        <f t="shared" si="88"/>
        <v>71</v>
      </c>
      <c r="H314">
        <v>190</v>
      </c>
      <c r="I314">
        <v>1986</v>
      </c>
      <c r="J314">
        <v>2005</v>
      </c>
      <c r="K314" s="1">
        <f t="shared" si="89"/>
        <v>19</v>
      </c>
      <c r="L314" t="s">
        <v>42</v>
      </c>
      <c r="M314" t="s">
        <v>43</v>
      </c>
      <c r="N314" s="2">
        <v>91</v>
      </c>
      <c r="O314" s="5">
        <v>19</v>
      </c>
      <c r="P314" s="5">
        <v>20</v>
      </c>
      <c r="Q314" s="5">
        <f t="shared" si="90"/>
        <v>39</v>
      </c>
      <c r="R314" s="4">
        <v>74</v>
      </c>
      <c r="S314" s="2">
        <v>27</v>
      </c>
      <c r="T314" s="5">
        <v>4</v>
      </c>
      <c r="U314" s="5">
        <v>8</v>
      </c>
      <c r="V314" s="5">
        <f t="shared" si="91"/>
        <v>12</v>
      </c>
      <c r="W314" s="4">
        <v>18</v>
      </c>
      <c r="X314">
        <f>O314/N314</f>
        <v>0.2087912087912088</v>
      </c>
      <c r="Y314">
        <f>T314/S314</f>
        <v>0.14814814814814814</v>
      </c>
      <c r="Z314">
        <f>X314-Y314</f>
        <v>6.0643060643060659E-2</v>
      </c>
      <c r="AA314">
        <f>P314/N314</f>
        <v>0.21978021978021978</v>
      </c>
      <c r="AB314">
        <f>U314/S314</f>
        <v>0.29629629629629628</v>
      </c>
      <c r="AC314">
        <f>AA314-AB314</f>
        <v>-7.6516076516076503E-2</v>
      </c>
      <c r="AD314">
        <f>Q314/N314</f>
        <v>0.42857142857142855</v>
      </c>
      <c r="AE314">
        <f>V314/S314</f>
        <v>0.44444444444444442</v>
      </c>
      <c r="AF314">
        <f>AD314-AE314</f>
        <v>-1.5873015873015872E-2</v>
      </c>
      <c r="AG314">
        <v>0</v>
      </c>
      <c r="AH314" s="14">
        <v>4.9987029831387808</v>
      </c>
      <c r="AI314" s="14">
        <v>21.483787289234758</v>
      </c>
      <c r="AJ314" s="14">
        <v>26.482490272373539</v>
      </c>
      <c r="AK314" s="14">
        <v>26.907911802853437</v>
      </c>
      <c r="AL314" s="5" t="s">
        <v>606</v>
      </c>
      <c r="AM314" s="22">
        <v>4</v>
      </c>
      <c r="AN314" s="22">
        <v>852</v>
      </c>
      <c r="AO314">
        <f t="shared" ref="AO314:AO315" si="125">AM314/AN314</f>
        <v>4.6948356807511738E-3</v>
      </c>
    </row>
    <row r="315" spans="1:41">
      <c r="A315" s="6" t="s">
        <v>69</v>
      </c>
      <c r="B315" t="s">
        <v>75</v>
      </c>
      <c r="C315">
        <v>29</v>
      </c>
      <c r="D315" t="s">
        <v>38</v>
      </c>
      <c r="E315">
        <v>6</v>
      </c>
      <c r="F315">
        <v>0</v>
      </c>
      <c r="G315" s="1">
        <f t="shared" si="88"/>
        <v>72</v>
      </c>
      <c r="H315">
        <v>193</v>
      </c>
      <c r="I315">
        <v>1999</v>
      </c>
      <c r="J315">
        <v>2017</v>
      </c>
      <c r="K315" s="1">
        <f t="shared" si="89"/>
        <v>18</v>
      </c>
      <c r="L315" t="s">
        <v>42</v>
      </c>
      <c r="M315" t="s">
        <v>43</v>
      </c>
      <c r="N315" s="2">
        <v>71</v>
      </c>
      <c r="O315" s="5">
        <v>9</v>
      </c>
      <c r="P315" s="5">
        <v>39</v>
      </c>
      <c r="Q315" s="3">
        <f t="shared" si="90"/>
        <v>48</v>
      </c>
      <c r="R315" s="4">
        <v>38</v>
      </c>
      <c r="S315" s="2">
        <v>47</v>
      </c>
      <c r="T315" s="5">
        <v>9</v>
      </c>
      <c r="U315" s="5">
        <v>20</v>
      </c>
      <c r="V315" s="3">
        <f t="shared" si="91"/>
        <v>29</v>
      </c>
      <c r="W315" s="4">
        <v>20</v>
      </c>
      <c r="X315">
        <f>O315/N315</f>
        <v>0.12676056338028169</v>
      </c>
      <c r="Y315">
        <f>T315/S315</f>
        <v>0.19148936170212766</v>
      </c>
      <c r="Z315">
        <f>X315-Y315</f>
        <v>-6.4728798321845971E-2</v>
      </c>
      <c r="AA315">
        <f>P315/N315</f>
        <v>0.54929577464788737</v>
      </c>
      <c r="AB315">
        <f>U315/S315</f>
        <v>0.42553191489361702</v>
      </c>
      <c r="AC315">
        <f>AA315-AB315</f>
        <v>0.12376385975427034</v>
      </c>
      <c r="AD315">
        <f>Q315/N315</f>
        <v>0.676056338028169</v>
      </c>
      <c r="AE315">
        <f>V315/S315</f>
        <v>0.61702127659574468</v>
      </c>
      <c r="AF315">
        <f>AD315-AE315</f>
        <v>5.9035061432424318E-2</v>
      </c>
      <c r="AG315">
        <v>0</v>
      </c>
      <c r="AH315" s="14">
        <v>2.7796610169491527</v>
      </c>
      <c r="AI315" s="14">
        <v>23.627118644067799</v>
      </c>
      <c r="AJ315" s="14">
        <v>26.406779661016952</v>
      </c>
      <c r="AK315" s="14">
        <v>41.694915254237287</v>
      </c>
      <c r="AL315" s="3" t="s">
        <v>599</v>
      </c>
      <c r="AM315" s="22">
        <v>4</v>
      </c>
      <c r="AN315" s="22">
        <v>61</v>
      </c>
      <c r="AO315">
        <f t="shared" si="125"/>
        <v>6.5573770491803282E-2</v>
      </c>
    </row>
    <row r="316" spans="1:41">
      <c r="A316" t="s">
        <v>461</v>
      </c>
      <c r="B316" t="s">
        <v>476</v>
      </c>
      <c r="C316">
        <v>21</v>
      </c>
      <c r="D316" t="s">
        <v>35</v>
      </c>
      <c r="E316">
        <v>6</v>
      </c>
      <c r="F316">
        <v>4</v>
      </c>
      <c r="G316" s="1">
        <f t="shared" si="88"/>
        <v>76</v>
      </c>
      <c r="H316">
        <v>204</v>
      </c>
      <c r="I316">
        <v>1991</v>
      </c>
      <c r="J316">
        <v>2010</v>
      </c>
      <c r="K316" s="1">
        <f t="shared" si="89"/>
        <v>19</v>
      </c>
      <c r="L316" t="s">
        <v>41</v>
      </c>
      <c r="M316" t="s">
        <v>44</v>
      </c>
      <c r="N316" s="2">
        <v>37</v>
      </c>
      <c r="O316" s="5">
        <v>6</v>
      </c>
      <c r="P316" s="5">
        <v>11</v>
      </c>
      <c r="Q316" s="5">
        <f t="shared" si="90"/>
        <v>17</v>
      </c>
      <c r="R316" s="4">
        <v>22</v>
      </c>
      <c r="S316" s="2">
        <v>40</v>
      </c>
      <c r="T316" s="5">
        <v>27</v>
      </c>
      <c r="U316" s="5">
        <v>46</v>
      </c>
      <c r="V316" s="5">
        <f t="shared" si="91"/>
        <v>73</v>
      </c>
      <c r="W316" s="4">
        <v>55</v>
      </c>
      <c r="AG316">
        <v>0</v>
      </c>
      <c r="AH316" s="14">
        <v>10.206008583690988</v>
      </c>
      <c r="AI316" s="14">
        <v>16.188841201716738</v>
      </c>
      <c r="AJ316" s="14">
        <v>26.394849785407725</v>
      </c>
      <c r="AK316" s="14">
        <v>13.549356223175966</v>
      </c>
      <c r="AL316" s="5" t="s">
        <v>601</v>
      </c>
    </row>
    <row r="317" spans="1:41">
      <c r="A317" t="s">
        <v>478</v>
      </c>
      <c r="B317" t="s">
        <v>481</v>
      </c>
      <c r="C317">
        <v>186</v>
      </c>
      <c r="D317" t="s">
        <v>35</v>
      </c>
      <c r="E317">
        <v>6</v>
      </c>
      <c r="F317">
        <v>1</v>
      </c>
      <c r="G317" s="1">
        <f t="shared" si="88"/>
        <v>73</v>
      </c>
      <c r="H317">
        <v>195</v>
      </c>
      <c r="I317">
        <v>1988</v>
      </c>
      <c r="J317">
        <v>2008</v>
      </c>
      <c r="K317" s="1">
        <f t="shared" si="89"/>
        <v>20</v>
      </c>
      <c r="L317" t="s">
        <v>42</v>
      </c>
      <c r="M317" t="s">
        <v>43</v>
      </c>
      <c r="N317" s="2">
        <v>67</v>
      </c>
      <c r="O317" s="5">
        <v>9</v>
      </c>
      <c r="P317" s="5">
        <v>55</v>
      </c>
      <c r="Q317" s="5">
        <f t="shared" si="90"/>
        <v>64</v>
      </c>
      <c r="R317" s="4">
        <v>91</v>
      </c>
      <c r="S317" s="2">
        <v>69</v>
      </c>
      <c r="T317" s="5">
        <v>5</v>
      </c>
      <c r="U317" s="5">
        <v>19</v>
      </c>
      <c r="V317" s="5">
        <f t="shared" si="91"/>
        <v>24</v>
      </c>
      <c r="W317" s="4">
        <v>98</v>
      </c>
      <c r="AG317">
        <v>0</v>
      </c>
      <c r="AH317" s="14">
        <v>5.8664546899841019</v>
      </c>
      <c r="AI317" s="14">
        <v>20.467408585055644</v>
      </c>
      <c r="AJ317" s="14">
        <v>26.333863275039747</v>
      </c>
      <c r="AK317" s="14">
        <v>47.713831478537358</v>
      </c>
      <c r="AL317" s="5" t="s">
        <v>614</v>
      </c>
      <c r="AM317" s="22">
        <v>3</v>
      </c>
      <c r="AN317" s="22">
        <v>410</v>
      </c>
      <c r="AO317">
        <f t="shared" ref="AO317:AO318" si="126">AM317/AN317</f>
        <v>7.3170731707317077E-3</v>
      </c>
    </row>
    <row r="318" spans="1:41">
      <c r="A318" t="s">
        <v>539</v>
      </c>
      <c r="B318" t="s">
        <v>555</v>
      </c>
      <c r="C318">
        <v>35</v>
      </c>
      <c r="D318" t="s">
        <v>35</v>
      </c>
      <c r="E318">
        <v>6</v>
      </c>
      <c r="F318">
        <v>1</v>
      </c>
      <c r="G318" s="1">
        <f t="shared" si="88"/>
        <v>73</v>
      </c>
      <c r="H318">
        <v>205</v>
      </c>
      <c r="I318">
        <v>1987</v>
      </c>
      <c r="J318">
        <v>2005</v>
      </c>
      <c r="K318" s="1">
        <f t="shared" si="89"/>
        <v>18</v>
      </c>
      <c r="L318" t="s">
        <v>42</v>
      </c>
      <c r="M318" t="s">
        <v>44</v>
      </c>
      <c r="N318" s="2">
        <v>70</v>
      </c>
      <c r="O318" s="5">
        <v>5</v>
      </c>
      <c r="P318" s="5">
        <v>25</v>
      </c>
      <c r="Q318" s="5">
        <f t="shared" si="90"/>
        <v>30</v>
      </c>
      <c r="R318" s="4">
        <v>33</v>
      </c>
      <c r="S318" s="2">
        <v>41</v>
      </c>
      <c r="T318" s="5">
        <v>1</v>
      </c>
      <c r="U318" s="5">
        <v>9</v>
      </c>
      <c r="V318" s="5">
        <f t="shared" si="91"/>
        <v>10</v>
      </c>
      <c r="W318" s="4">
        <v>4</v>
      </c>
      <c r="AG318">
        <v>0</v>
      </c>
      <c r="AH318" s="14">
        <v>5.8038422649140546</v>
      </c>
      <c r="AI318" s="14">
        <v>20.479271991911023</v>
      </c>
      <c r="AJ318" s="14">
        <v>26.283114256825076</v>
      </c>
      <c r="AK318" s="14">
        <v>32.501516683518709</v>
      </c>
      <c r="AL318" s="5" t="s">
        <v>614</v>
      </c>
      <c r="AM318" s="22">
        <v>3</v>
      </c>
      <c r="AN318" s="22">
        <v>238</v>
      </c>
      <c r="AO318">
        <f t="shared" si="126"/>
        <v>1.2605042016806723E-2</v>
      </c>
    </row>
    <row r="319" spans="1:41">
      <c r="A319" s="6" t="s">
        <v>102</v>
      </c>
      <c r="B319" t="s">
        <v>113</v>
      </c>
      <c r="C319">
        <v>112</v>
      </c>
      <c r="D319" t="s">
        <v>35</v>
      </c>
      <c r="E319">
        <v>6</v>
      </c>
      <c r="F319">
        <v>0</v>
      </c>
      <c r="G319" s="1">
        <f t="shared" si="88"/>
        <v>72</v>
      </c>
      <c r="H319">
        <v>192</v>
      </c>
      <c r="I319">
        <v>1989</v>
      </c>
      <c r="J319">
        <v>2007</v>
      </c>
      <c r="K319" s="1">
        <f t="shared" si="89"/>
        <v>18</v>
      </c>
      <c r="L319" t="s">
        <v>41</v>
      </c>
      <c r="M319" t="s">
        <v>43</v>
      </c>
      <c r="N319" s="2">
        <v>49</v>
      </c>
      <c r="O319" s="5">
        <v>12</v>
      </c>
      <c r="P319" s="5">
        <v>26</v>
      </c>
      <c r="Q319" s="5">
        <f t="shared" si="90"/>
        <v>38</v>
      </c>
      <c r="R319" s="4">
        <v>38</v>
      </c>
      <c r="S319" s="2">
        <v>58</v>
      </c>
      <c r="T319" s="5">
        <v>3</v>
      </c>
      <c r="U319" s="5">
        <v>6</v>
      </c>
      <c r="V319" s="5">
        <f t="shared" si="91"/>
        <v>9</v>
      </c>
      <c r="W319" s="4">
        <v>25</v>
      </c>
      <c r="X319">
        <f>O319/N319</f>
        <v>0.24489795918367346</v>
      </c>
      <c r="Y319">
        <f>T319/S319</f>
        <v>5.1724137931034482E-2</v>
      </c>
      <c r="Z319">
        <f>X319-Y319</f>
        <v>0.19317382125263899</v>
      </c>
      <c r="AA319">
        <f>P319/N319</f>
        <v>0.53061224489795922</v>
      </c>
      <c r="AB319">
        <f>U319/S319</f>
        <v>0.10344827586206896</v>
      </c>
      <c r="AC319">
        <f>AA319-AB319</f>
        <v>0.42716396903589027</v>
      </c>
      <c r="AD319">
        <f>Q319/N319</f>
        <v>0.77551020408163263</v>
      </c>
      <c r="AE319">
        <f>V319/S319</f>
        <v>0.15517241379310345</v>
      </c>
      <c r="AF319">
        <f>AD319-AE319</f>
        <v>0.6203377902885292</v>
      </c>
      <c r="AG319">
        <v>0</v>
      </c>
      <c r="AH319" s="14">
        <v>11.108374384236454</v>
      </c>
      <c r="AI319" s="14">
        <v>15.147783251231527</v>
      </c>
      <c r="AJ319" s="14">
        <v>26.256157635467982</v>
      </c>
      <c r="AK319" s="14">
        <v>21.004926108374384</v>
      </c>
      <c r="AL319" s="5" t="s">
        <v>599</v>
      </c>
    </row>
    <row r="320" spans="1:41">
      <c r="A320" t="s">
        <v>478</v>
      </c>
      <c r="B320" t="s">
        <v>479</v>
      </c>
      <c r="C320">
        <v>16</v>
      </c>
      <c r="D320" t="s">
        <v>34</v>
      </c>
      <c r="E320">
        <v>6</v>
      </c>
      <c r="F320">
        <v>2</v>
      </c>
      <c r="G320" s="1">
        <f t="shared" si="88"/>
        <v>74</v>
      </c>
      <c r="H320">
        <v>210</v>
      </c>
      <c r="I320">
        <v>1998</v>
      </c>
      <c r="J320">
        <v>2016</v>
      </c>
      <c r="K320" s="1">
        <f t="shared" si="89"/>
        <v>18</v>
      </c>
      <c r="L320" t="s">
        <v>42</v>
      </c>
      <c r="M320" t="s">
        <v>44</v>
      </c>
      <c r="N320" s="2">
        <v>70</v>
      </c>
      <c r="O320" s="5">
        <v>12</v>
      </c>
      <c r="P320" s="5">
        <v>41</v>
      </c>
      <c r="Q320" s="5">
        <f t="shared" si="90"/>
        <v>53</v>
      </c>
      <c r="R320" s="4">
        <v>59</v>
      </c>
      <c r="S320" s="2">
        <v>50</v>
      </c>
      <c r="T320" s="5">
        <v>19</v>
      </c>
      <c r="U320" s="5">
        <v>20</v>
      </c>
      <c r="V320" s="5">
        <f t="shared" si="91"/>
        <v>39</v>
      </c>
      <c r="W320" s="4">
        <v>37</v>
      </c>
      <c r="AG320">
        <v>0</v>
      </c>
      <c r="AH320" s="14">
        <v>8.8762886597938149</v>
      </c>
      <c r="AI320" s="14">
        <v>17.329896907216494</v>
      </c>
      <c r="AJ320" s="14">
        <v>26.206185567010309</v>
      </c>
      <c r="AK320" s="14">
        <v>43.536082474226802</v>
      </c>
      <c r="AL320" s="3" t="s">
        <v>600</v>
      </c>
      <c r="AM320" s="22">
        <v>3</v>
      </c>
      <c r="AN320" s="22">
        <v>50</v>
      </c>
      <c r="AO320">
        <f>AM320/AN320</f>
        <v>0.06</v>
      </c>
    </row>
    <row r="321" spans="1:41">
      <c r="A321" s="6" t="s">
        <v>87</v>
      </c>
      <c r="B321" t="s">
        <v>99</v>
      </c>
      <c r="C321">
        <v>70</v>
      </c>
      <c r="D321" t="s">
        <v>35</v>
      </c>
      <c r="E321">
        <v>5</v>
      </c>
      <c r="F321">
        <v>10</v>
      </c>
      <c r="G321" s="1">
        <f t="shared" si="88"/>
        <v>70</v>
      </c>
      <c r="H321">
        <v>179</v>
      </c>
      <c r="I321">
        <v>1992</v>
      </c>
      <c r="J321">
        <v>2010</v>
      </c>
      <c r="K321" s="1">
        <f t="shared" si="89"/>
        <v>18</v>
      </c>
      <c r="L321" t="s">
        <v>41</v>
      </c>
      <c r="M321" t="s">
        <v>43</v>
      </c>
      <c r="N321" s="2">
        <v>72</v>
      </c>
      <c r="O321" s="5">
        <v>35</v>
      </c>
      <c r="P321" s="5">
        <v>67</v>
      </c>
      <c r="Q321" s="5">
        <f t="shared" si="90"/>
        <v>102</v>
      </c>
      <c r="R321" s="4">
        <v>54</v>
      </c>
      <c r="S321" s="2">
        <v>65</v>
      </c>
      <c r="T321" s="5">
        <v>16</v>
      </c>
      <c r="U321" s="5">
        <v>54</v>
      </c>
      <c r="V321" s="3">
        <f t="shared" si="91"/>
        <v>70</v>
      </c>
      <c r="W321" s="4">
        <v>26</v>
      </c>
      <c r="X321">
        <f>O321/N321</f>
        <v>0.4861111111111111</v>
      </c>
      <c r="Y321">
        <f>T321/S321</f>
        <v>0.24615384615384617</v>
      </c>
      <c r="Z321">
        <f>X321-Y321</f>
        <v>0.23995726495726494</v>
      </c>
      <c r="AA321">
        <f>P321/N321</f>
        <v>0.93055555555555558</v>
      </c>
      <c r="AB321">
        <f>U321/S321</f>
        <v>0.83076923076923082</v>
      </c>
      <c r="AC321">
        <f>AA321-AB321</f>
        <v>9.9786324786324765E-2</v>
      </c>
      <c r="AD321">
        <f>Q321/N321</f>
        <v>1.4166666666666667</v>
      </c>
      <c r="AE321">
        <f>V321/S321</f>
        <v>1.0769230769230769</v>
      </c>
      <c r="AF321">
        <f>AD321-AE321</f>
        <v>0.33974358974358987</v>
      </c>
      <c r="AG321">
        <v>0</v>
      </c>
      <c r="AH321" s="14">
        <v>12.098360655737705</v>
      </c>
      <c r="AI321" s="14">
        <v>13.890710382513662</v>
      </c>
      <c r="AJ321" s="14">
        <v>25.989071038251367</v>
      </c>
      <c r="AK321" s="14">
        <v>23.300546448087431</v>
      </c>
      <c r="AL321" s="3" t="s">
        <v>599</v>
      </c>
    </row>
    <row r="322" spans="1:41">
      <c r="A322" t="s">
        <v>397</v>
      </c>
      <c r="B322" t="s">
        <v>404</v>
      </c>
      <c r="C322">
        <v>74</v>
      </c>
      <c r="D322" t="s">
        <v>38</v>
      </c>
      <c r="E322">
        <v>6</v>
      </c>
      <c r="F322">
        <v>3</v>
      </c>
      <c r="G322" s="1">
        <f t="shared" ref="G322:G385" si="127">E322*12+F322</f>
        <v>75</v>
      </c>
      <c r="H322">
        <v>215</v>
      </c>
      <c r="I322">
        <v>1994</v>
      </c>
      <c r="J322">
        <v>2012</v>
      </c>
      <c r="K322" s="1">
        <f t="shared" ref="K322:K385" si="128">J322-I322</f>
        <v>18</v>
      </c>
      <c r="L322" t="s">
        <v>42</v>
      </c>
      <c r="M322" t="s">
        <v>44</v>
      </c>
      <c r="N322" s="2">
        <f>15+7+5+2+48</f>
        <v>77</v>
      </c>
      <c r="O322" s="3">
        <f>2+1+21</f>
        <v>24</v>
      </c>
      <c r="P322" s="3">
        <f>7+6+30</f>
        <v>43</v>
      </c>
      <c r="Q322" s="5">
        <f t="shared" ref="Q322:Q385" si="129">O322+P322</f>
        <v>67</v>
      </c>
      <c r="R322" s="4">
        <f>18+2+14+16</f>
        <v>50</v>
      </c>
      <c r="S322" s="2">
        <f>14+9+3</f>
        <v>26</v>
      </c>
      <c r="T322" s="3">
        <f>5</f>
        <v>5</v>
      </c>
      <c r="U322" s="5">
        <v>8</v>
      </c>
      <c r="V322" s="5">
        <f t="shared" si="91"/>
        <v>13</v>
      </c>
      <c r="W322" s="4">
        <v>14</v>
      </c>
      <c r="AG322">
        <v>0</v>
      </c>
      <c r="AH322" s="14">
        <v>7.8244274809160315</v>
      </c>
      <c r="AI322" s="14">
        <v>18.152671755725191</v>
      </c>
      <c r="AJ322" s="14">
        <v>25.977099236641223</v>
      </c>
      <c r="AK322" s="14">
        <v>25.977099236641223</v>
      </c>
      <c r="AL322" s="3" t="s">
        <v>38</v>
      </c>
      <c r="AM322" s="22">
        <v>3</v>
      </c>
      <c r="AN322" s="22">
        <v>97</v>
      </c>
      <c r="AO322">
        <f>AM322/AN322</f>
        <v>3.0927835051546393E-2</v>
      </c>
    </row>
    <row r="323" spans="1:41">
      <c r="A323" t="s">
        <v>251</v>
      </c>
      <c r="B323" t="s">
        <v>260</v>
      </c>
      <c r="C323">
        <v>21</v>
      </c>
      <c r="D323" t="s">
        <v>35</v>
      </c>
      <c r="E323">
        <v>6</v>
      </c>
      <c r="F323">
        <v>2</v>
      </c>
      <c r="G323" s="1">
        <f t="shared" si="127"/>
        <v>74</v>
      </c>
      <c r="H323">
        <v>185</v>
      </c>
      <c r="I323">
        <v>1989</v>
      </c>
      <c r="J323">
        <v>2007</v>
      </c>
      <c r="K323" s="1">
        <f t="shared" si="128"/>
        <v>18</v>
      </c>
      <c r="L323" t="s">
        <v>41</v>
      </c>
      <c r="M323" t="s">
        <v>43</v>
      </c>
      <c r="N323" s="2">
        <v>55</v>
      </c>
      <c r="O323" s="5">
        <v>38</v>
      </c>
      <c r="P323" s="5">
        <v>46</v>
      </c>
      <c r="Q323" s="5">
        <f t="shared" si="129"/>
        <v>84</v>
      </c>
      <c r="R323" s="4">
        <v>87</v>
      </c>
      <c r="S323" s="2">
        <v>32</v>
      </c>
      <c r="T323" s="5">
        <v>29</v>
      </c>
      <c r="U323" s="5">
        <v>31</v>
      </c>
      <c r="V323" s="5">
        <f t="shared" ref="V323:V386" si="130">T323+U323</f>
        <v>60</v>
      </c>
      <c r="W323" s="4">
        <v>100</v>
      </c>
      <c r="X323">
        <f>O323/N323</f>
        <v>0.69090909090909092</v>
      </c>
      <c r="Y323">
        <f>T323/S323</f>
        <v>0.90625</v>
      </c>
      <c r="Z323">
        <f>X323-Y323</f>
        <v>-0.21534090909090908</v>
      </c>
      <c r="AA323">
        <f>P323/N323</f>
        <v>0.83636363636363631</v>
      </c>
      <c r="AB323">
        <f>U323/S323</f>
        <v>0.96875</v>
      </c>
      <c r="AC323">
        <f>AA323-AB323</f>
        <v>-0.13238636363636369</v>
      </c>
      <c r="AD323">
        <f>Q323/N323</f>
        <v>1.5272727272727273</v>
      </c>
      <c r="AE323">
        <f>V323/S323</f>
        <v>1.875</v>
      </c>
      <c r="AF323">
        <f>AD323-AE323</f>
        <v>-0.34772727272727266</v>
      </c>
      <c r="AG323">
        <v>0</v>
      </c>
      <c r="AH323" s="14">
        <v>9.4233870967741939</v>
      </c>
      <c r="AI323" s="14">
        <v>16.532258064516128</v>
      </c>
      <c r="AJ323" s="14">
        <v>25.95564516129032</v>
      </c>
      <c r="AK323" s="14">
        <v>20.5</v>
      </c>
      <c r="AL323" s="3" t="s">
        <v>602</v>
      </c>
    </row>
    <row r="324" spans="1:41">
      <c r="A324" t="s">
        <v>354</v>
      </c>
      <c r="B324" t="s">
        <v>345</v>
      </c>
      <c r="C324">
        <v>12</v>
      </c>
      <c r="D324" t="s">
        <v>35</v>
      </c>
      <c r="E324">
        <v>6</v>
      </c>
      <c r="F324">
        <v>1</v>
      </c>
      <c r="G324" s="1">
        <f t="shared" si="127"/>
        <v>73</v>
      </c>
      <c r="H324">
        <v>204</v>
      </c>
      <c r="I324">
        <v>1982</v>
      </c>
      <c r="J324">
        <v>2001</v>
      </c>
      <c r="K324" s="1">
        <f t="shared" si="128"/>
        <v>19</v>
      </c>
      <c r="L324" t="s">
        <v>42</v>
      </c>
      <c r="M324" t="s">
        <v>44</v>
      </c>
      <c r="N324" s="2">
        <f>69</f>
        <v>69</v>
      </c>
      <c r="O324" s="5">
        <v>13</v>
      </c>
      <c r="P324" s="5">
        <v>48</v>
      </c>
      <c r="Q324" s="5">
        <f t="shared" si="129"/>
        <v>61</v>
      </c>
      <c r="R324" s="4">
        <v>133</v>
      </c>
      <c r="S324" s="2">
        <v>70</v>
      </c>
      <c r="T324" s="5">
        <v>10</v>
      </c>
      <c r="U324" s="5">
        <v>23</v>
      </c>
      <c r="V324" s="5">
        <f t="shared" si="130"/>
        <v>33</v>
      </c>
      <c r="W324" s="4">
        <v>140</v>
      </c>
      <c r="X324">
        <f>O324/N324</f>
        <v>0.18840579710144928</v>
      </c>
      <c r="Y324">
        <f>T324/S324</f>
        <v>0.14285714285714285</v>
      </c>
      <c r="Z324">
        <f>X324-Y324</f>
        <v>4.554865424430643E-2</v>
      </c>
      <c r="AA324">
        <f>P324/N324</f>
        <v>0.69565217391304346</v>
      </c>
      <c r="AB324">
        <f>U324/S324</f>
        <v>0.32857142857142857</v>
      </c>
      <c r="AC324">
        <f>AA324-AB324</f>
        <v>0.36708074534161489</v>
      </c>
      <c r="AD324">
        <f>Q324/N324</f>
        <v>0.88405797101449279</v>
      </c>
      <c r="AE324">
        <f>V324/S324</f>
        <v>0.47142857142857142</v>
      </c>
      <c r="AF324">
        <f>AD324-AE324</f>
        <v>0.41262939958592137</v>
      </c>
      <c r="AG324">
        <v>0</v>
      </c>
      <c r="AH324" s="14">
        <v>4.3703703703703702</v>
      </c>
      <c r="AI324" s="14">
        <v>21.555555555555554</v>
      </c>
      <c r="AJ324" s="14">
        <v>25.925925925925924</v>
      </c>
      <c r="AK324" s="14">
        <v>49.037037037037031</v>
      </c>
      <c r="AL324" s="5" t="s">
        <v>599</v>
      </c>
      <c r="AM324" s="22">
        <v>2</v>
      </c>
      <c r="AN324" s="22">
        <v>146</v>
      </c>
      <c r="AO324">
        <f>AM324/AN324</f>
        <v>1.3698630136986301E-2</v>
      </c>
    </row>
    <row r="325" spans="1:41">
      <c r="A325" t="s">
        <v>204</v>
      </c>
      <c r="B325" t="s">
        <v>214</v>
      </c>
      <c r="C325">
        <v>154</v>
      </c>
      <c r="D325" t="s">
        <v>34</v>
      </c>
      <c r="E325">
        <v>6</v>
      </c>
      <c r="F325">
        <v>2</v>
      </c>
      <c r="G325" s="1">
        <f t="shared" si="127"/>
        <v>74</v>
      </c>
      <c r="H325">
        <v>181</v>
      </c>
      <c r="I325">
        <v>1997</v>
      </c>
      <c r="J325">
        <v>2015</v>
      </c>
      <c r="K325" s="1">
        <f t="shared" si="128"/>
        <v>18</v>
      </c>
      <c r="L325" t="s">
        <v>42</v>
      </c>
      <c r="M325" t="s">
        <v>43</v>
      </c>
      <c r="N325" s="2">
        <v>49</v>
      </c>
      <c r="O325" s="5">
        <v>4</v>
      </c>
      <c r="P325" s="5">
        <v>24</v>
      </c>
      <c r="Q325" s="5">
        <f t="shared" si="129"/>
        <v>28</v>
      </c>
      <c r="R325" s="4">
        <v>42</v>
      </c>
      <c r="S325" s="2">
        <v>46</v>
      </c>
      <c r="T325" s="5">
        <v>7</v>
      </c>
      <c r="U325" s="5">
        <v>15</v>
      </c>
      <c r="V325" s="5">
        <f t="shared" si="130"/>
        <v>22</v>
      </c>
      <c r="W325" s="4">
        <v>28</v>
      </c>
      <c r="X325">
        <f>O325/N325</f>
        <v>8.1632653061224483E-2</v>
      </c>
      <c r="Y325">
        <f>T325/S325</f>
        <v>0.15217391304347827</v>
      </c>
      <c r="Z325">
        <f>X325-Y325</f>
        <v>-7.0541259982253787E-2</v>
      </c>
      <c r="AA325">
        <f>P325/N325</f>
        <v>0.48979591836734693</v>
      </c>
      <c r="AB325">
        <f>U325/S325</f>
        <v>0.32608695652173914</v>
      </c>
      <c r="AC325">
        <f>AA325-AB325</f>
        <v>0.16370896184560779</v>
      </c>
      <c r="AD325">
        <f>Q325/N325</f>
        <v>0.5714285714285714</v>
      </c>
      <c r="AE325">
        <f>V325/S325</f>
        <v>0.47826086956521741</v>
      </c>
      <c r="AF325">
        <f>AD325-AE325</f>
        <v>9.3167701863353991E-2</v>
      </c>
      <c r="AG325">
        <v>0</v>
      </c>
      <c r="AH325" s="14">
        <v>4.3157894736842106</v>
      </c>
      <c r="AI325" s="14">
        <v>21.578947368421055</v>
      </c>
      <c r="AJ325" s="14">
        <v>25.894736842105264</v>
      </c>
      <c r="AK325" s="14">
        <v>34.526315789473685</v>
      </c>
      <c r="AL325" s="3" t="s">
        <v>627</v>
      </c>
    </row>
    <row r="326" spans="1:41">
      <c r="A326" t="s">
        <v>539</v>
      </c>
      <c r="B326" t="s">
        <v>553</v>
      </c>
      <c r="C326">
        <v>106</v>
      </c>
      <c r="D326" t="s">
        <v>65</v>
      </c>
      <c r="E326">
        <v>5</v>
      </c>
      <c r="F326">
        <v>11</v>
      </c>
      <c r="G326" s="1">
        <f t="shared" si="127"/>
        <v>71</v>
      </c>
      <c r="H326">
        <v>175</v>
      </c>
      <c r="I326">
        <v>1992</v>
      </c>
      <c r="J326">
        <v>2010</v>
      </c>
      <c r="K326" s="1">
        <f t="shared" si="128"/>
        <v>18</v>
      </c>
      <c r="L326" t="s">
        <v>41</v>
      </c>
      <c r="M326" t="s">
        <v>44</v>
      </c>
      <c r="N326" s="2">
        <f>3+27+15</f>
        <v>45</v>
      </c>
      <c r="O326" s="5">
        <v>25</v>
      </c>
      <c r="P326" s="5">
        <v>37</v>
      </c>
      <c r="Q326" s="5">
        <f t="shared" si="129"/>
        <v>62</v>
      </c>
      <c r="R326" s="4">
        <f>54+61</f>
        <v>115</v>
      </c>
      <c r="S326" s="2">
        <v>32</v>
      </c>
      <c r="T326" s="5">
        <v>16</v>
      </c>
      <c r="U326" s="5">
        <v>12</v>
      </c>
      <c r="V326" s="5">
        <f t="shared" si="130"/>
        <v>28</v>
      </c>
      <c r="W326" s="4">
        <v>92</v>
      </c>
      <c r="AG326">
        <v>0</v>
      </c>
      <c r="AH326" s="14">
        <v>14.565789473684211</v>
      </c>
      <c r="AI326" s="14">
        <v>11.328947368421053</v>
      </c>
      <c r="AJ326" s="14">
        <v>25.894736842105264</v>
      </c>
      <c r="AK326" s="14">
        <v>25.894736842105264</v>
      </c>
      <c r="AL326" s="5" t="s">
        <v>65</v>
      </c>
      <c r="AM326" s="22">
        <v>2</v>
      </c>
      <c r="AN326" s="22">
        <v>258</v>
      </c>
      <c r="AO326">
        <f>AM326/AN326</f>
        <v>7.7519379844961239E-3</v>
      </c>
    </row>
    <row r="327" spans="1:41">
      <c r="A327" t="s">
        <v>322</v>
      </c>
      <c r="B327" t="s">
        <v>335</v>
      </c>
      <c r="C327">
        <v>10</v>
      </c>
      <c r="D327" t="s">
        <v>66</v>
      </c>
      <c r="E327">
        <v>6</v>
      </c>
      <c r="F327">
        <v>4</v>
      </c>
      <c r="G327" s="1">
        <f t="shared" si="127"/>
        <v>76</v>
      </c>
      <c r="H327">
        <v>210</v>
      </c>
      <c r="I327">
        <v>1995</v>
      </c>
      <c r="J327">
        <v>2013</v>
      </c>
      <c r="K327" s="1">
        <f t="shared" si="128"/>
        <v>18</v>
      </c>
      <c r="L327" t="s">
        <v>41</v>
      </c>
      <c r="M327" t="s">
        <v>44</v>
      </c>
      <c r="N327" s="2">
        <v>18</v>
      </c>
      <c r="O327" s="3">
        <v>4</v>
      </c>
      <c r="P327" s="3">
        <v>2</v>
      </c>
      <c r="Q327" s="5">
        <f t="shared" si="129"/>
        <v>6</v>
      </c>
      <c r="R327" s="4">
        <v>0</v>
      </c>
      <c r="V327" s="5">
        <f t="shared" si="130"/>
        <v>0</v>
      </c>
      <c r="X327">
        <f>O327/N327</f>
        <v>0.22222222222222221</v>
      </c>
      <c r="Y327" t="e">
        <f>T327/S327</f>
        <v>#DIV/0!</v>
      </c>
      <c r="Z327" t="e">
        <f>X327-Y327</f>
        <v>#DIV/0!</v>
      </c>
      <c r="AA327">
        <f>P327/N327</f>
        <v>0.1111111111111111</v>
      </c>
      <c r="AB327" t="e">
        <f>U327/S327</f>
        <v>#DIV/0!</v>
      </c>
      <c r="AC327" t="e">
        <f>AA327-AB327</f>
        <v>#DIV/0!</v>
      </c>
      <c r="AD327">
        <f>Q327/N327</f>
        <v>0.33333333333333331</v>
      </c>
      <c r="AE327" t="e">
        <f>V327/S327</f>
        <v>#DIV/0!</v>
      </c>
      <c r="AF327" t="e">
        <f>AD327-AE327</f>
        <v>#DIV/0!</v>
      </c>
      <c r="AG327">
        <v>0</v>
      </c>
      <c r="AH327" s="14">
        <v>7.8257261410788388</v>
      </c>
      <c r="AI327" s="14">
        <v>18.033195020746888</v>
      </c>
      <c r="AJ327" s="14">
        <v>25.858921161825727</v>
      </c>
      <c r="AK327" s="14">
        <v>9.1867219917012459</v>
      </c>
      <c r="AL327" s="3" t="s">
        <v>624</v>
      </c>
    </row>
    <row r="328" spans="1:41">
      <c r="A328" t="s">
        <v>445</v>
      </c>
      <c r="B328" t="s">
        <v>449</v>
      </c>
      <c r="C328">
        <v>104</v>
      </c>
      <c r="D328" t="s">
        <v>34</v>
      </c>
      <c r="E328">
        <v>6</v>
      </c>
      <c r="F328">
        <v>3</v>
      </c>
      <c r="G328" s="1">
        <f t="shared" si="127"/>
        <v>75</v>
      </c>
      <c r="H328">
        <v>228</v>
      </c>
      <c r="I328">
        <v>1991</v>
      </c>
      <c r="J328">
        <v>2009</v>
      </c>
      <c r="K328" s="1">
        <f t="shared" si="128"/>
        <v>18</v>
      </c>
      <c r="L328" t="s">
        <v>41</v>
      </c>
      <c r="M328" t="s">
        <v>44</v>
      </c>
      <c r="N328" s="2">
        <v>65</v>
      </c>
      <c r="O328" s="3">
        <v>12</v>
      </c>
      <c r="P328" s="5">
        <v>18</v>
      </c>
      <c r="Q328" s="5">
        <f t="shared" si="129"/>
        <v>30</v>
      </c>
      <c r="R328" s="4">
        <v>96</v>
      </c>
      <c r="S328" s="2">
        <v>66</v>
      </c>
      <c r="T328" s="5">
        <v>5</v>
      </c>
      <c r="U328" s="5">
        <v>6</v>
      </c>
      <c r="V328" s="5">
        <f t="shared" si="130"/>
        <v>11</v>
      </c>
      <c r="W328" s="4">
        <v>38</v>
      </c>
      <c r="AG328">
        <v>0</v>
      </c>
      <c r="AH328" s="14">
        <v>10.367816091954023</v>
      </c>
      <c r="AI328" s="14">
        <v>15.39463601532567</v>
      </c>
      <c r="AJ328" s="14">
        <v>25.762452107279692</v>
      </c>
      <c r="AK328" s="14">
        <v>72.731800766283527</v>
      </c>
      <c r="AL328" s="3" t="s">
        <v>600</v>
      </c>
    </row>
    <row r="329" spans="1:41">
      <c r="A329" t="s">
        <v>234</v>
      </c>
      <c r="B329" t="s">
        <v>250</v>
      </c>
      <c r="C329">
        <v>97</v>
      </c>
      <c r="D329" t="s">
        <v>65</v>
      </c>
      <c r="E329">
        <v>6</v>
      </c>
      <c r="F329">
        <v>0</v>
      </c>
      <c r="G329" s="1">
        <f t="shared" si="127"/>
        <v>72</v>
      </c>
      <c r="H329">
        <v>178</v>
      </c>
      <c r="I329">
        <v>1995</v>
      </c>
      <c r="J329">
        <v>2014</v>
      </c>
      <c r="K329" s="1">
        <f t="shared" si="128"/>
        <v>19</v>
      </c>
      <c r="L329" t="s">
        <v>41</v>
      </c>
      <c r="M329" t="s">
        <v>44</v>
      </c>
      <c r="N329" s="2">
        <f>17+7+41+6+11</f>
        <v>82</v>
      </c>
      <c r="O329" s="3">
        <f>5+3+3+1+1</f>
        <v>13</v>
      </c>
      <c r="P329" s="3">
        <f>9+5+7+1+7</f>
        <v>29</v>
      </c>
      <c r="Q329" s="5">
        <f t="shared" si="129"/>
        <v>42</v>
      </c>
      <c r="R329" s="4">
        <f>6+2+2+6</f>
        <v>16</v>
      </c>
      <c r="S329" s="2">
        <f>5+5+14+2+16+19</f>
        <v>61</v>
      </c>
      <c r="T329" s="3">
        <f>2+4+5+5+7</f>
        <v>23</v>
      </c>
      <c r="U329" s="3">
        <f>3+3+11+5+13</f>
        <v>35</v>
      </c>
      <c r="V329" s="5">
        <f t="shared" si="130"/>
        <v>58</v>
      </c>
      <c r="W329" s="4">
        <f>2+2+18+4+8</f>
        <v>34</v>
      </c>
      <c r="X329">
        <f>O329/N329</f>
        <v>0.15853658536585366</v>
      </c>
      <c r="Y329">
        <f>T329/S329</f>
        <v>0.37704918032786883</v>
      </c>
      <c r="Z329">
        <f>X329-Y329</f>
        <v>-0.21851259496201517</v>
      </c>
      <c r="AA329">
        <f>P329/N329</f>
        <v>0.35365853658536583</v>
      </c>
      <c r="AB329">
        <f>U329/S329</f>
        <v>0.57377049180327866</v>
      </c>
      <c r="AC329">
        <f>AA329-AB329</f>
        <v>-0.22011195521791282</v>
      </c>
      <c r="AD329">
        <f>Q329/N329</f>
        <v>0.51219512195121952</v>
      </c>
      <c r="AE329">
        <f>V329/S329</f>
        <v>0.95081967213114749</v>
      </c>
      <c r="AF329">
        <f>AD329-AE329</f>
        <v>-0.43862455017992796</v>
      </c>
      <c r="AG329">
        <v>0</v>
      </c>
      <c r="AH329" s="14">
        <v>8.8099173553719012</v>
      </c>
      <c r="AI329" s="14">
        <v>16.942148760330578</v>
      </c>
      <c r="AJ329" s="14">
        <v>25.752066115702476</v>
      </c>
      <c r="AK329" s="14">
        <v>29.818181818181817</v>
      </c>
      <c r="AL329" s="3" t="s">
        <v>618</v>
      </c>
    </row>
    <row r="330" spans="1:41">
      <c r="A330" t="s">
        <v>478</v>
      </c>
      <c r="B330" t="s">
        <v>484</v>
      </c>
      <c r="C330">
        <v>32</v>
      </c>
      <c r="D330" t="s">
        <v>34</v>
      </c>
      <c r="E330">
        <v>6</v>
      </c>
      <c r="F330">
        <v>2</v>
      </c>
      <c r="G330" s="1">
        <f t="shared" si="127"/>
        <v>74</v>
      </c>
      <c r="H330">
        <v>214</v>
      </c>
      <c r="I330">
        <v>1997</v>
      </c>
      <c r="J330">
        <v>2015</v>
      </c>
      <c r="K330" s="1">
        <f t="shared" si="128"/>
        <v>18</v>
      </c>
      <c r="L330" t="s">
        <v>41</v>
      </c>
      <c r="M330" t="s">
        <v>43</v>
      </c>
      <c r="N330" s="2">
        <f>25+7+66</f>
        <v>98</v>
      </c>
      <c r="O330" s="3">
        <f>15+1+31</f>
        <v>47</v>
      </c>
      <c r="P330" s="3">
        <f>15+7+33</f>
        <v>55</v>
      </c>
      <c r="Q330" s="5">
        <f t="shared" si="129"/>
        <v>102</v>
      </c>
      <c r="R330" s="4">
        <f>10+22</f>
        <v>32</v>
      </c>
      <c r="S330" s="2">
        <f>6+54+34</f>
        <v>94</v>
      </c>
      <c r="T330" s="3">
        <f>2+19+11</f>
        <v>32</v>
      </c>
      <c r="U330" s="3">
        <f>4+23+12</f>
        <v>39</v>
      </c>
      <c r="V330" s="5">
        <f t="shared" si="130"/>
        <v>71</v>
      </c>
      <c r="W330" s="4">
        <f>23+8</f>
        <v>31</v>
      </c>
      <c r="AG330">
        <v>0</v>
      </c>
      <c r="AH330" s="14">
        <v>13.743016759776538</v>
      </c>
      <c r="AI330" s="14">
        <v>11.910614525139666</v>
      </c>
      <c r="AJ330" s="14">
        <v>25.653631284916202</v>
      </c>
      <c r="AK330" s="14">
        <v>20.614525139664806</v>
      </c>
      <c r="AL330" s="5" t="s">
        <v>608</v>
      </c>
    </row>
    <row r="331" spans="1:41">
      <c r="A331" t="s">
        <v>430</v>
      </c>
      <c r="B331" t="s">
        <v>442</v>
      </c>
      <c r="C331">
        <v>79</v>
      </c>
      <c r="D331" t="s">
        <v>35</v>
      </c>
      <c r="E331">
        <v>6</v>
      </c>
      <c r="F331">
        <v>2</v>
      </c>
      <c r="G331" s="1">
        <f t="shared" si="127"/>
        <v>74</v>
      </c>
      <c r="H331">
        <v>208</v>
      </c>
      <c r="I331">
        <v>1988</v>
      </c>
      <c r="J331">
        <v>2008</v>
      </c>
      <c r="K331" s="1">
        <f t="shared" si="128"/>
        <v>20</v>
      </c>
      <c r="L331" t="s">
        <v>41</v>
      </c>
      <c r="M331" t="s">
        <v>44</v>
      </c>
      <c r="N331" s="2">
        <v>72</v>
      </c>
      <c r="O331" s="5">
        <v>22</v>
      </c>
      <c r="P331" s="5">
        <v>47</v>
      </c>
      <c r="Q331" s="5">
        <f t="shared" si="129"/>
        <v>69</v>
      </c>
      <c r="R331" s="4">
        <v>136</v>
      </c>
      <c r="S331" s="2">
        <v>71</v>
      </c>
      <c r="T331" s="5">
        <v>16</v>
      </c>
      <c r="U331" s="5">
        <v>15</v>
      </c>
      <c r="V331" s="5">
        <f t="shared" si="130"/>
        <v>31</v>
      </c>
      <c r="W331" s="4">
        <v>130</v>
      </c>
      <c r="AG331">
        <v>0</v>
      </c>
      <c r="AH331" s="14">
        <v>12.293460925039872</v>
      </c>
      <c r="AI331" s="14">
        <v>13.339712918660286</v>
      </c>
      <c r="AJ331" s="14">
        <v>25.63317384370016</v>
      </c>
      <c r="AK331" s="14">
        <v>91.154704944178633</v>
      </c>
      <c r="AL331" s="5" t="s">
        <v>599</v>
      </c>
    </row>
    <row r="332" spans="1:41">
      <c r="A332" s="6" t="s">
        <v>69</v>
      </c>
      <c r="B332" t="s">
        <v>86</v>
      </c>
      <c r="C332">
        <v>106</v>
      </c>
      <c r="D332" t="s">
        <v>85</v>
      </c>
      <c r="E332">
        <v>5</v>
      </c>
      <c r="F332">
        <v>10</v>
      </c>
      <c r="G332" s="1">
        <f t="shared" si="127"/>
        <v>70</v>
      </c>
      <c r="H332">
        <v>184</v>
      </c>
      <c r="I332">
        <v>1987</v>
      </c>
      <c r="J332">
        <v>2005</v>
      </c>
      <c r="K332" s="1">
        <f t="shared" si="128"/>
        <v>18</v>
      </c>
      <c r="L332" t="s">
        <v>41</v>
      </c>
      <c r="M332" t="s">
        <v>44</v>
      </c>
      <c r="N332" s="2">
        <f>27+18+7+7</f>
        <v>59</v>
      </c>
      <c r="O332" s="5">
        <v>16</v>
      </c>
      <c r="P332" s="5">
        <v>22</v>
      </c>
      <c r="Q332" s="3">
        <f t="shared" si="129"/>
        <v>38</v>
      </c>
      <c r="R332" s="4">
        <f>93+8+31+10</f>
        <v>142</v>
      </c>
      <c r="S332" s="2">
        <v>54</v>
      </c>
      <c r="T332" s="5">
        <v>30</v>
      </c>
      <c r="U332" s="5">
        <v>47</v>
      </c>
      <c r="V332" s="3">
        <f t="shared" si="130"/>
        <v>77</v>
      </c>
      <c r="W332" s="4">
        <v>125</v>
      </c>
      <c r="X332">
        <f>O332/N332</f>
        <v>0.2711864406779661</v>
      </c>
      <c r="Y332">
        <f>T332/S332</f>
        <v>0.55555555555555558</v>
      </c>
      <c r="Z332">
        <f>X332-Y332</f>
        <v>-0.28436911487758948</v>
      </c>
      <c r="AA332">
        <f>P332/N332</f>
        <v>0.3728813559322034</v>
      </c>
      <c r="AB332">
        <f>U332/S332</f>
        <v>0.87037037037037035</v>
      </c>
      <c r="AC332">
        <f>AA332-AB332</f>
        <v>-0.49748901443816695</v>
      </c>
      <c r="AD332">
        <f>Q332/N332</f>
        <v>0.64406779661016944</v>
      </c>
      <c r="AE332">
        <f>V332/S332</f>
        <v>1.4259259259259258</v>
      </c>
      <c r="AF332">
        <f>AD332-AE332</f>
        <v>-0.78185812931575638</v>
      </c>
      <c r="AG332">
        <v>0</v>
      </c>
      <c r="AH332" s="14">
        <v>7.9306569343065698</v>
      </c>
      <c r="AI332" s="14">
        <v>17.656934306569344</v>
      </c>
      <c r="AJ332" s="14">
        <v>25.587591240875913</v>
      </c>
      <c r="AK332" s="14">
        <v>54.167883211678834</v>
      </c>
      <c r="AL332" s="3" t="s">
        <v>607</v>
      </c>
    </row>
    <row r="333" spans="1:41">
      <c r="A333" t="s">
        <v>234</v>
      </c>
      <c r="B333" t="s">
        <v>242</v>
      </c>
      <c r="C333">
        <v>47</v>
      </c>
      <c r="D333" t="s">
        <v>35</v>
      </c>
      <c r="E333">
        <v>6</v>
      </c>
      <c r="F333">
        <v>0</v>
      </c>
      <c r="G333" s="1">
        <f t="shared" si="127"/>
        <v>72</v>
      </c>
      <c r="H333">
        <v>187</v>
      </c>
      <c r="I333">
        <v>1994</v>
      </c>
      <c r="J333">
        <v>2012</v>
      </c>
      <c r="K333" s="1">
        <f t="shared" si="128"/>
        <v>18</v>
      </c>
      <c r="L333" t="s">
        <v>41</v>
      </c>
      <c r="M333" t="s">
        <v>44</v>
      </c>
      <c r="N333" s="2">
        <v>33</v>
      </c>
      <c r="O333" s="5">
        <v>12</v>
      </c>
      <c r="P333" s="5">
        <v>6</v>
      </c>
      <c r="Q333" s="5">
        <f t="shared" si="129"/>
        <v>18</v>
      </c>
      <c r="R333" s="4">
        <v>25</v>
      </c>
      <c r="S333" s="2">
        <v>68</v>
      </c>
      <c r="T333" s="5">
        <v>10</v>
      </c>
      <c r="U333" s="5">
        <v>4</v>
      </c>
      <c r="V333" s="5">
        <f t="shared" si="130"/>
        <v>14</v>
      </c>
      <c r="W333" s="4">
        <v>38</v>
      </c>
      <c r="X333">
        <f>O333/N333</f>
        <v>0.36363636363636365</v>
      </c>
      <c r="Y333">
        <f>T333/S333</f>
        <v>0.14705882352941177</v>
      </c>
      <c r="Z333">
        <f>X333-Y333</f>
        <v>0.21657754010695188</v>
      </c>
      <c r="AA333">
        <f>P333/N333</f>
        <v>0.18181818181818182</v>
      </c>
      <c r="AB333">
        <f>U333/S333</f>
        <v>5.8823529411764705E-2</v>
      </c>
      <c r="AC333">
        <f>AA333-AB333</f>
        <v>0.12299465240641712</v>
      </c>
      <c r="AD333">
        <f>Q333/N333</f>
        <v>0.54545454545454541</v>
      </c>
      <c r="AE333">
        <f>V333/S333</f>
        <v>0.20588235294117646</v>
      </c>
      <c r="AF333">
        <f>AD333-AE333</f>
        <v>0.33957219251336895</v>
      </c>
      <c r="AG333">
        <v>0</v>
      </c>
      <c r="AH333" s="14">
        <v>11.938697318007662</v>
      </c>
      <c r="AI333" s="14">
        <v>13.509578544061302</v>
      </c>
      <c r="AJ333" s="14">
        <v>25.448275862068964</v>
      </c>
      <c r="AK333" s="14">
        <v>21.678160919540229</v>
      </c>
      <c r="AL333" s="5" t="s">
        <v>600</v>
      </c>
    </row>
    <row r="334" spans="1:41">
      <c r="A334" t="s">
        <v>461</v>
      </c>
      <c r="B334" t="s">
        <v>467</v>
      </c>
      <c r="C334">
        <v>45</v>
      </c>
      <c r="D334" t="s">
        <v>38</v>
      </c>
      <c r="E334">
        <v>6</v>
      </c>
      <c r="F334">
        <v>0</v>
      </c>
      <c r="G334" s="1">
        <f t="shared" si="127"/>
        <v>72</v>
      </c>
      <c r="H334">
        <v>180</v>
      </c>
      <c r="I334">
        <v>1993</v>
      </c>
      <c r="J334">
        <v>2011</v>
      </c>
      <c r="K334" s="1">
        <f t="shared" si="128"/>
        <v>18</v>
      </c>
      <c r="L334" t="s">
        <v>41</v>
      </c>
      <c r="M334" t="s">
        <v>44</v>
      </c>
      <c r="N334" s="2">
        <v>2</v>
      </c>
      <c r="O334" s="5">
        <v>0</v>
      </c>
      <c r="P334" s="5">
        <v>0</v>
      </c>
      <c r="Q334" s="5">
        <f t="shared" si="129"/>
        <v>0</v>
      </c>
      <c r="R334" s="4">
        <v>0</v>
      </c>
      <c r="V334" s="5">
        <f t="shared" si="130"/>
        <v>0</v>
      </c>
      <c r="AG334">
        <v>0</v>
      </c>
      <c r="AH334" s="14">
        <v>14.349999999999998</v>
      </c>
      <c r="AI334" s="14">
        <v>11.018749999999999</v>
      </c>
      <c r="AJ334" s="14">
        <v>25.368749999999999</v>
      </c>
      <c r="AK334" s="14">
        <v>20.5</v>
      </c>
      <c r="AL334" s="3" t="s">
        <v>38</v>
      </c>
    </row>
    <row r="335" spans="1:41">
      <c r="A335" t="s">
        <v>576</v>
      </c>
      <c r="B335" t="s">
        <v>591</v>
      </c>
      <c r="C335">
        <v>99</v>
      </c>
      <c r="D335" t="s">
        <v>35</v>
      </c>
      <c r="E335">
        <v>6</v>
      </c>
      <c r="F335">
        <v>1</v>
      </c>
      <c r="G335" s="1">
        <f t="shared" si="127"/>
        <v>73</v>
      </c>
      <c r="H335">
        <v>185</v>
      </c>
      <c r="I335">
        <v>1997</v>
      </c>
      <c r="J335">
        <v>2015</v>
      </c>
      <c r="K335" s="1">
        <f t="shared" si="128"/>
        <v>18</v>
      </c>
      <c r="L335" t="s">
        <v>41</v>
      </c>
      <c r="M335" t="s">
        <v>44</v>
      </c>
      <c r="N335" s="2">
        <v>61</v>
      </c>
      <c r="O335" s="5">
        <v>20</v>
      </c>
      <c r="P335" s="5">
        <v>19</v>
      </c>
      <c r="Q335" s="5">
        <f t="shared" si="129"/>
        <v>39</v>
      </c>
      <c r="R335" s="4">
        <v>53</v>
      </c>
      <c r="S335" s="2">
        <v>42</v>
      </c>
      <c r="T335" s="5">
        <v>1</v>
      </c>
      <c r="U335" s="5">
        <v>1</v>
      </c>
      <c r="V335" s="5">
        <f t="shared" si="130"/>
        <v>2</v>
      </c>
      <c r="W335" s="4">
        <v>18</v>
      </c>
      <c r="AG335">
        <v>0</v>
      </c>
      <c r="AH335" s="14">
        <v>14.17283950617284</v>
      </c>
      <c r="AI335" s="14">
        <v>11.135802469135804</v>
      </c>
      <c r="AJ335" s="14">
        <v>25.308641975308642</v>
      </c>
      <c r="AK335" s="14">
        <v>29.358024691358025</v>
      </c>
      <c r="AL335" s="5" t="s">
        <v>599</v>
      </c>
    </row>
    <row r="336" spans="1:41">
      <c r="A336" t="s">
        <v>445</v>
      </c>
      <c r="B336" t="s">
        <v>450</v>
      </c>
      <c r="C336">
        <v>50</v>
      </c>
      <c r="D336" t="s">
        <v>34</v>
      </c>
      <c r="E336">
        <v>6</v>
      </c>
      <c r="F336">
        <v>6</v>
      </c>
      <c r="G336" s="1">
        <f t="shared" si="127"/>
        <v>78</v>
      </c>
      <c r="H336">
        <v>227</v>
      </c>
      <c r="I336">
        <v>1997</v>
      </c>
      <c r="J336">
        <v>2015</v>
      </c>
      <c r="K336" s="1">
        <f t="shared" si="128"/>
        <v>18</v>
      </c>
      <c r="L336" t="s">
        <v>41</v>
      </c>
      <c r="M336" t="s">
        <v>44</v>
      </c>
      <c r="N336" s="2">
        <v>53</v>
      </c>
      <c r="O336" s="3">
        <v>9</v>
      </c>
      <c r="P336" s="5">
        <v>34</v>
      </c>
      <c r="Q336" s="5">
        <f t="shared" si="129"/>
        <v>43</v>
      </c>
      <c r="R336" s="4">
        <v>50</v>
      </c>
      <c r="S336" s="2">
        <v>52</v>
      </c>
      <c r="T336" s="5">
        <v>16</v>
      </c>
      <c r="U336" s="5">
        <v>25</v>
      </c>
      <c r="V336" s="5">
        <f t="shared" si="130"/>
        <v>41</v>
      </c>
      <c r="W336" s="4">
        <v>116</v>
      </c>
      <c r="AG336">
        <v>0</v>
      </c>
      <c r="AH336" s="14">
        <v>10.728971962616821</v>
      </c>
      <c r="AI336" s="14">
        <v>14.560747663551401</v>
      </c>
      <c r="AJ336" s="14">
        <v>25.289719626168225</v>
      </c>
      <c r="AK336" s="14">
        <v>29.88785046728972</v>
      </c>
      <c r="AL336" s="5" t="s">
        <v>608</v>
      </c>
    </row>
    <row r="337" spans="1:41">
      <c r="A337" t="s">
        <v>306</v>
      </c>
      <c r="B337" t="s">
        <v>316</v>
      </c>
      <c r="C337">
        <v>61</v>
      </c>
      <c r="D337" t="s">
        <v>34</v>
      </c>
      <c r="E337">
        <v>6</v>
      </c>
      <c r="F337">
        <v>4</v>
      </c>
      <c r="G337" s="1">
        <f t="shared" si="127"/>
        <v>76</v>
      </c>
      <c r="H337">
        <v>207</v>
      </c>
      <c r="I337">
        <v>1994</v>
      </c>
      <c r="J337">
        <v>2013</v>
      </c>
      <c r="K337" s="1">
        <f t="shared" si="128"/>
        <v>19</v>
      </c>
      <c r="L337" t="s">
        <v>41</v>
      </c>
      <c r="M337" t="s">
        <v>44</v>
      </c>
      <c r="N337" s="2">
        <v>37</v>
      </c>
      <c r="O337" s="5">
        <v>12</v>
      </c>
      <c r="P337" s="5">
        <v>24</v>
      </c>
      <c r="Q337" s="5">
        <f t="shared" si="129"/>
        <v>36</v>
      </c>
      <c r="R337" s="4">
        <v>22</v>
      </c>
      <c r="S337" s="2">
        <v>21</v>
      </c>
      <c r="T337" s="5">
        <v>36</v>
      </c>
      <c r="U337" s="5">
        <v>33</v>
      </c>
      <c r="V337" s="5">
        <f t="shared" si="130"/>
        <v>69</v>
      </c>
      <c r="W337" s="4">
        <v>0</v>
      </c>
      <c r="X337">
        <f>O337/N337</f>
        <v>0.32432432432432434</v>
      </c>
      <c r="Y337">
        <f>T337/S337</f>
        <v>1.7142857142857142</v>
      </c>
      <c r="Z337">
        <f>X337-Y337</f>
        <v>-1.3899613899613898</v>
      </c>
      <c r="AA337">
        <f>P337/N337</f>
        <v>0.64864864864864868</v>
      </c>
      <c r="AB337">
        <f>U337/S337</f>
        <v>1.5714285714285714</v>
      </c>
      <c r="AC337">
        <f>AA337-AB337</f>
        <v>-0.92277992277992271</v>
      </c>
      <c r="AD337">
        <f>Q337/N337</f>
        <v>0.97297297297297303</v>
      </c>
      <c r="AE337">
        <f>V337/S337</f>
        <v>3.2857142857142856</v>
      </c>
      <c r="AF337">
        <f>AD337-AE337</f>
        <v>-2.3127413127413128</v>
      </c>
      <c r="AG337">
        <v>0</v>
      </c>
      <c r="AH337" s="14">
        <v>9.8119658119658109</v>
      </c>
      <c r="AI337" s="14">
        <v>15.418803418803417</v>
      </c>
      <c r="AJ337" s="14">
        <v>25.23076923076923</v>
      </c>
      <c r="AK337" s="14">
        <v>27.333333333333332</v>
      </c>
      <c r="AL337" s="5" t="s">
        <v>632</v>
      </c>
    </row>
    <row r="338" spans="1:41">
      <c r="A338" s="6" t="s">
        <v>148</v>
      </c>
      <c r="B338" t="s">
        <v>153</v>
      </c>
      <c r="C338">
        <v>20</v>
      </c>
      <c r="D338" t="s">
        <v>35</v>
      </c>
      <c r="E338">
        <v>6</v>
      </c>
      <c r="F338">
        <v>2</v>
      </c>
      <c r="G338" s="1">
        <f t="shared" si="127"/>
        <v>74</v>
      </c>
      <c r="H338">
        <v>197</v>
      </c>
      <c r="I338">
        <v>1998</v>
      </c>
      <c r="J338">
        <v>2016</v>
      </c>
      <c r="K338" s="1">
        <f t="shared" si="128"/>
        <v>18</v>
      </c>
      <c r="L338" t="s">
        <v>42</v>
      </c>
      <c r="M338" t="s">
        <v>44</v>
      </c>
      <c r="N338" s="2">
        <v>50</v>
      </c>
      <c r="O338" s="5">
        <v>12</v>
      </c>
      <c r="P338" s="5">
        <v>28</v>
      </c>
      <c r="Q338" s="5">
        <f t="shared" si="129"/>
        <v>40</v>
      </c>
      <c r="R338" s="4">
        <v>16</v>
      </c>
      <c r="S338" s="2">
        <v>55</v>
      </c>
      <c r="T338" s="5">
        <v>4</v>
      </c>
      <c r="U338" s="5">
        <v>23</v>
      </c>
      <c r="V338" s="5">
        <f t="shared" si="130"/>
        <v>27</v>
      </c>
      <c r="W338" s="4">
        <v>4</v>
      </c>
      <c r="X338">
        <f>O338/N338</f>
        <v>0.24</v>
      </c>
      <c r="Y338">
        <f>T338/S338</f>
        <v>7.2727272727272724E-2</v>
      </c>
      <c r="Z338">
        <f>X338-Y338</f>
        <v>0.16727272727272727</v>
      </c>
      <c r="AA338">
        <f>P338/N338</f>
        <v>0.56000000000000005</v>
      </c>
      <c r="AB338">
        <f>U338/S338</f>
        <v>0.41818181818181815</v>
      </c>
      <c r="AC338">
        <f>AA338-AB338</f>
        <v>0.1418181818181819</v>
      </c>
      <c r="AD338">
        <f>Q338/N338</f>
        <v>0.8</v>
      </c>
      <c r="AE338">
        <f>V338/S338</f>
        <v>0.49090909090909091</v>
      </c>
      <c r="AF338">
        <f>AD338-AE338</f>
        <v>0.30909090909090914</v>
      </c>
      <c r="AG338">
        <v>0</v>
      </c>
      <c r="AH338" s="14">
        <v>10.25</v>
      </c>
      <c r="AI338" s="14">
        <v>14.805555555555555</v>
      </c>
      <c r="AJ338" s="14">
        <v>25.055555555555554</v>
      </c>
      <c r="AK338" s="14">
        <v>22.777777777777779</v>
      </c>
      <c r="AL338" s="3" t="s">
        <v>602</v>
      </c>
      <c r="AM338" s="22">
        <v>1</v>
      </c>
      <c r="AN338" s="22">
        <v>7</v>
      </c>
      <c r="AO338">
        <f t="shared" ref="AO338:AO339" si="131">AM338/AN338</f>
        <v>0.14285714285714285</v>
      </c>
    </row>
    <row r="339" spans="1:41">
      <c r="A339" t="s">
        <v>539</v>
      </c>
      <c r="B339" t="s">
        <v>545</v>
      </c>
      <c r="C339">
        <v>132</v>
      </c>
      <c r="D339" t="s">
        <v>65</v>
      </c>
      <c r="E339">
        <v>5</v>
      </c>
      <c r="F339">
        <v>11</v>
      </c>
      <c r="G339" s="1">
        <f t="shared" si="127"/>
        <v>71</v>
      </c>
      <c r="H339">
        <v>180</v>
      </c>
      <c r="I339">
        <v>1991</v>
      </c>
      <c r="J339">
        <v>2010</v>
      </c>
      <c r="K339" s="1">
        <f t="shared" si="128"/>
        <v>19</v>
      </c>
      <c r="L339" t="s">
        <v>42</v>
      </c>
      <c r="M339" t="s">
        <v>43</v>
      </c>
      <c r="N339" s="2">
        <f>9+27+32</f>
        <v>68</v>
      </c>
      <c r="O339" s="3">
        <f>12</f>
        <v>12</v>
      </c>
      <c r="P339" s="5">
        <v>45</v>
      </c>
      <c r="Q339" s="5">
        <f t="shared" si="129"/>
        <v>57</v>
      </c>
      <c r="R339" s="4">
        <v>24</v>
      </c>
      <c r="S339" s="2">
        <f>32+11+3</f>
        <v>46</v>
      </c>
      <c r="T339" s="5">
        <v>8</v>
      </c>
      <c r="U339" s="5">
        <v>17</v>
      </c>
      <c r="V339" s="5">
        <f t="shared" si="130"/>
        <v>25</v>
      </c>
      <c r="W339" s="4">
        <v>20</v>
      </c>
      <c r="AG339">
        <v>0</v>
      </c>
      <c r="AH339" s="14">
        <v>5</v>
      </c>
      <c r="AI339" s="14">
        <v>20</v>
      </c>
      <c r="AJ339" s="14">
        <v>25</v>
      </c>
      <c r="AK339" s="14">
        <v>18</v>
      </c>
      <c r="AL339" s="3" t="s">
        <v>605</v>
      </c>
      <c r="AM339" s="22">
        <v>1</v>
      </c>
      <c r="AN339" s="22">
        <v>8</v>
      </c>
      <c r="AO339">
        <f t="shared" si="131"/>
        <v>0.125</v>
      </c>
    </row>
    <row r="340" spans="1:41">
      <c r="A340" t="s">
        <v>478</v>
      </c>
      <c r="B340" t="s">
        <v>493</v>
      </c>
      <c r="C340">
        <v>163</v>
      </c>
      <c r="D340" t="s">
        <v>35</v>
      </c>
      <c r="E340">
        <v>6</v>
      </c>
      <c r="F340">
        <v>0</v>
      </c>
      <c r="G340" s="1">
        <f t="shared" si="127"/>
        <v>72</v>
      </c>
      <c r="H340">
        <v>190</v>
      </c>
      <c r="I340">
        <v>1985</v>
      </c>
      <c r="J340">
        <v>2003</v>
      </c>
      <c r="K340" s="1">
        <f t="shared" si="128"/>
        <v>18</v>
      </c>
      <c r="L340" t="s">
        <v>41</v>
      </c>
      <c r="M340" t="s">
        <v>44</v>
      </c>
      <c r="N340" s="2">
        <v>67</v>
      </c>
      <c r="O340" s="5">
        <v>27</v>
      </c>
      <c r="P340" s="5">
        <v>40</v>
      </c>
      <c r="Q340" s="5">
        <f t="shared" si="129"/>
        <v>67</v>
      </c>
      <c r="R340" s="4">
        <v>54</v>
      </c>
      <c r="S340" s="2">
        <v>58</v>
      </c>
      <c r="T340" s="5">
        <v>12</v>
      </c>
      <c r="U340" s="5">
        <v>21</v>
      </c>
      <c r="V340" s="5">
        <f t="shared" si="130"/>
        <v>33</v>
      </c>
      <c r="W340" s="4">
        <v>20</v>
      </c>
      <c r="AG340">
        <v>0</v>
      </c>
      <c r="AH340" s="14">
        <v>10.718954248366012</v>
      </c>
      <c r="AI340" s="14">
        <v>14.256209150326796</v>
      </c>
      <c r="AJ340" s="14">
        <v>24.975163398692811</v>
      </c>
      <c r="AK340" s="14">
        <v>41.803921568627452</v>
      </c>
      <c r="AL340" s="5" t="s">
        <v>600</v>
      </c>
    </row>
    <row r="341" spans="1:41">
      <c r="A341" s="6" t="s">
        <v>17</v>
      </c>
      <c r="B341" t="s">
        <v>20</v>
      </c>
      <c r="C341">
        <v>146</v>
      </c>
      <c r="D341" t="s">
        <v>34</v>
      </c>
      <c r="E341">
        <v>6</v>
      </c>
      <c r="F341">
        <v>0</v>
      </c>
      <c r="G341" s="1">
        <f t="shared" si="127"/>
        <v>72</v>
      </c>
      <c r="H341">
        <v>190</v>
      </c>
      <c r="I341">
        <v>1996</v>
      </c>
      <c r="J341">
        <v>2014</v>
      </c>
      <c r="K341" s="1">
        <f t="shared" si="128"/>
        <v>18</v>
      </c>
      <c r="L341" t="s">
        <v>41</v>
      </c>
      <c r="M341" t="s">
        <v>44</v>
      </c>
      <c r="N341" s="2">
        <f>7+35+26</f>
        <v>68</v>
      </c>
      <c r="O341" s="3">
        <f>2+12+9</f>
        <v>23</v>
      </c>
      <c r="P341" s="3">
        <f>0+9+12</f>
        <v>21</v>
      </c>
      <c r="Q341" s="3">
        <f t="shared" si="129"/>
        <v>44</v>
      </c>
      <c r="R341" s="4">
        <f>4+10</f>
        <v>14</v>
      </c>
      <c r="S341" s="2">
        <v>56</v>
      </c>
      <c r="T341" s="3">
        <v>12</v>
      </c>
      <c r="U341" s="3">
        <v>12</v>
      </c>
      <c r="V341" s="3">
        <f t="shared" si="130"/>
        <v>24</v>
      </c>
      <c r="W341" s="4">
        <v>48</v>
      </c>
      <c r="X341">
        <f>O341/N341</f>
        <v>0.33823529411764708</v>
      </c>
      <c r="Y341">
        <f>T341/S341</f>
        <v>0.21428571428571427</v>
      </c>
      <c r="Z341">
        <f>X341-Y341</f>
        <v>0.1239495798319328</v>
      </c>
      <c r="AA341">
        <f>P341/N341</f>
        <v>0.30882352941176472</v>
      </c>
      <c r="AB341">
        <f>U341/S341</f>
        <v>0.21428571428571427</v>
      </c>
      <c r="AC341">
        <f>AA341-AB341</f>
        <v>9.4537815126050445E-2</v>
      </c>
      <c r="AD341">
        <f>Q341/N341</f>
        <v>0.6470588235294118</v>
      </c>
      <c r="AE341">
        <f>V341/S341</f>
        <v>0.42857142857142855</v>
      </c>
      <c r="AF341">
        <f>AD341-AE341</f>
        <v>0.21848739495798325</v>
      </c>
      <c r="AG341">
        <v>0</v>
      </c>
      <c r="AH341" s="14">
        <v>10.412698412698413</v>
      </c>
      <c r="AI341" s="14">
        <v>14.317460317460318</v>
      </c>
      <c r="AJ341" s="14">
        <v>24.730158730158731</v>
      </c>
      <c r="AK341" s="14">
        <v>10.412698412698413</v>
      </c>
      <c r="AL341" s="3" t="s">
        <v>608</v>
      </c>
    </row>
    <row r="342" spans="1:41">
      <c r="A342" s="6" t="s">
        <v>102</v>
      </c>
      <c r="B342" t="s">
        <v>107</v>
      </c>
      <c r="C342">
        <v>32</v>
      </c>
      <c r="D342" t="s">
        <v>35</v>
      </c>
      <c r="E342">
        <v>5</v>
      </c>
      <c r="F342">
        <v>11</v>
      </c>
      <c r="G342" s="1">
        <f t="shared" si="127"/>
        <v>71</v>
      </c>
      <c r="H342">
        <v>196</v>
      </c>
      <c r="I342">
        <v>1996</v>
      </c>
      <c r="J342">
        <v>2014</v>
      </c>
      <c r="K342" s="1">
        <f t="shared" si="128"/>
        <v>18</v>
      </c>
      <c r="L342" t="s">
        <v>41</v>
      </c>
      <c r="M342" t="s">
        <v>43</v>
      </c>
      <c r="N342" s="2">
        <v>65</v>
      </c>
      <c r="O342" s="5">
        <v>24</v>
      </c>
      <c r="P342" s="5">
        <v>42</v>
      </c>
      <c r="Q342" s="5">
        <f t="shared" si="129"/>
        <v>66</v>
      </c>
      <c r="R342" s="4">
        <v>54</v>
      </c>
      <c r="S342" s="2">
        <v>61</v>
      </c>
      <c r="T342" s="5">
        <v>18</v>
      </c>
      <c r="U342" s="5">
        <v>25</v>
      </c>
      <c r="V342" s="5">
        <f t="shared" si="130"/>
        <v>43</v>
      </c>
      <c r="W342" s="4">
        <v>46</v>
      </c>
      <c r="X342">
        <f>O342/N342</f>
        <v>0.36923076923076925</v>
      </c>
      <c r="Y342">
        <f>T342/S342</f>
        <v>0.29508196721311475</v>
      </c>
      <c r="Z342">
        <f>X342-Y342</f>
        <v>7.4148802017654503E-2</v>
      </c>
      <c r="AA342">
        <f>P342/N342</f>
        <v>0.64615384615384619</v>
      </c>
      <c r="AB342">
        <f>U342/S342</f>
        <v>0.4098360655737705</v>
      </c>
      <c r="AC342">
        <f>AA342-AB342</f>
        <v>0.23631778058007569</v>
      </c>
      <c r="AD342">
        <f>Q342/N342</f>
        <v>1.0153846153846153</v>
      </c>
      <c r="AE342">
        <f>V342/S342</f>
        <v>0.70491803278688525</v>
      </c>
      <c r="AF342">
        <f>AD342-AE342</f>
        <v>0.31046658259773008</v>
      </c>
      <c r="AG342">
        <v>0</v>
      </c>
      <c r="AH342" s="14">
        <v>13.12</v>
      </c>
      <c r="AI342" s="14">
        <v>11.479999999999999</v>
      </c>
      <c r="AJ342" s="14">
        <v>24.599999999999998</v>
      </c>
      <c r="AK342" s="14">
        <v>32.799999999999997</v>
      </c>
      <c r="AL342" s="5" t="s">
        <v>599</v>
      </c>
    </row>
    <row r="343" spans="1:41">
      <c r="A343" t="s">
        <v>306</v>
      </c>
      <c r="B343" t="s">
        <v>319</v>
      </c>
      <c r="C343">
        <v>81</v>
      </c>
      <c r="D343" t="s">
        <v>65</v>
      </c>
      <c r="E343">
        <v>6</v>
      </c>
      <c r="F343">
        <v>3</v>
      </c>
      <c r="G343" s="1">
        <f t="shared" si="127"/>
        <v>75</v>
      </c>
      <c r="H343">
        <v>209</v>
      </c>
      <c r="I343">
        <v>1994</v>
      </c>
      <c r="J343">
        <v>2012</v>
      </c>
      <c r="K343" s="1">
        <f t="shared" si="128"/>
        <v>18</v>
      </c>
      <c r="L343" t="s">
        <v>41</v>
      </c>
      <c r="M343" t="s">
        <v>43</v>
      </c>
      <c r="N343" s="2">
        <v>43</v>
      </c>
      <c r="O343" s="5">
        <v>22</v>
      </c>
      <c r="P343" s="5">
        <v>32</v>
      </c>
      <c r="Q343" s="5">
        <f t="shared" si="129"/>
        <v>54</v>
      </c>
      <c r="R343" s="4">
        <v>129</v>
      </c>
      <c r="S343" s="2">
        <v>39</v>
      </c>
      <c r="T343" s="5">
        <v>19</v>
      </c>
      <c r="U343" s="5">
        <v>16</v>
      </c>
      <c r="V343" s="5">
        <f t="shared" si="130"/>
        <v>35</v>
      </c>
      <c r="W343" s="4">
        <v>100</v>
      </c>
      <c r="X343">
        <f>O343/N343</f>
        <v>0.51162790697674421</v>
      </c>
      <c r="Y343">
        <f>T343/S343</f>
        <v>0.48717948717948717</v>
      </c>
      <c r="Z343">
        <f>X343-Y343</f>
        <v>2.4448419797257037E-2</v>
      </c>
      <c r="AA343">
        <f>P343/N343</f>
        <v>0.7441860465116279</v>
      </c>
      <c r="AB343">
        <f>U343/S343</f>
        <v>0.41025641025641024</v>
      </c>
      <c r="AC343">
        <f>AA343-AB343</f>
        <v>0.33392963625521765</v>
      </c>
      <c r="AD343">
        <f>Q343/N343</f>
        <v>1.2558139534883721</v>
      </c>
      <c r="AE343">
        <f>V343/S343</f>
        <v>0.89743589743589747</v>
      </c>
      <c r="AF343">
        <f>AD343-AE343</f>
        <v>0.35837805605247464</v>
      </c>
      <c r="AG343">
        <v>0</v>
      </c>
      <c r="AH343" s="14">
        <v>10.802395209580839</v>
      </c>
      <c r="AI343" s="14">
        <v>13.748502994011975</v>
      </c>
      <c r="AJ343" s="14">
        <v>24.550898203592812</v>
      </c>
      <c r="AK343" s="14">
        <v>28.479041916167663</v>
      </c>
      <c r="AL343" s="5" t="s">
        <v>65</v>
      </c>
    </row>
    <row r="344" spans="1:41">
      <c r="A344" t="s">
        <v>251</v>
      </c>
      <c r="B344" t="s">
        <v>263</v>
      </c>
      <c r="C344">
        <v>94</v>
      </c>
      <c r="D344" t="s">
        <v>35</v>
      </c>
      <c r="E344">
        <v>6</v>
      </c>
      <c r="F344">
        <v>2</v>
      </c>
      <c r="G344" s="1">
        <f t="shared" si="127"/>
        <v>74</v>
      </c>
      <c r="H344">
        <v>229</v>
      </c>
      <c r="I344">
        <v>1990</v>
      </c>
      <c r="J344">
        <v>2009</v>
      </c>
      <c r="K344" s="1">
        <f t="shared" si="128"/>
        <v>19</v>
      </c>
      <c r="L344" t="s">
        <v>42</v>
      </c>
      <c r="M344" t="s">
        <v>43</v>
      </c>
      <c r="N344" s="2">
        <v>68</v>
      </c>
      <c r="O344" s="5">
        <v>9</v>
      </c>
      <c r="P344" s="5">
        <v>35</v>
      </c>
      <c r="Q344" s="5">
        <f t="shared" si="129"/>
        <v>44</v>
      </c>
      <c r="R344" s="4">
        <v>33</v>
      </c>
      <c r="S344" s="2">
        <v>67</v>
      </c>
      <c r="T344" s="5">
        <v>1</v>
      </c>
      <c r="U344" s="5">
        <v>11</v>
      </c>
      <c r="V344" s="5">
        <f t="shared" si="130"/>
        <v>12</v>
      </c>
      <c r="W344" s="4">
        <v>40</v>
      </c>
      <c r="X344">
        <f>O344/N344</f>
        <v>0.13235294117647059</v>
      </c>
      <c r="Y344">
        <f>T344/S344</f>
        <v>1.4925373134328358E-2</v>
      </c>
      <c r="Z344">
        <f>X344-Y344</f>
        <v>0.11742756804214223</v>
      </c>
      <c r="AA344">
        <f>P344/N344</f>
        <v>0.51470588235294112</v>
      </c>
      <c r="AB344">
        <f>U344/S344</f>
        <v>0.16417910447761194</v>
      </c>
      <c r="AC344">
        <f>AA344-AB344</f>
        <v>0.35052677787532915</v>
      </c>
      <c r="AD344">
        <f>Q344/N344</f>
        <v>0.6470588235294118</v>
      </c>
      <c r="AE344">
        <f>V344/S344</f>
        <v>0.17910447761194029</v>
      </c>
      <c r="AF344">
        <f>AD344-AE344</f>
        <v>0.46795434591747154</v>
      </c>
      <c r="AG344">
        <v>0</v>
      </c>
      <c r="AH344" s="14">
        <v>6.4440078585461693</v>
      </c>
      <c r="AI344" s="14">
        <v>18.043222003929273</v>
      </c>
      <c r="AJ344" s="14">
        <v>24.487229862475441</v>
      </c>
      <c r="AK344" s="14">
        <v>44.463654223968568</v>
      </c>
      <c r="AL344" s="3" t="s">
        <v>614</v>
      </c>
      <c r="AM344" s="22">
        <v>1</v>
      </c>
      <c r="AN344" s="22">
        <v>28</v>
      </c>
      <c r="AO344">
        <f>AM344/AN344</f>
        <v>3.5714285714285712E-2</v>
      </c>
    </row>
    <row r="345" spans="1:41">
      <c r="A345" t="s">
        <v>556</v>
      </c>
      <c r="B345" t="s">
        <v>573</v>
      </c>
      <c r="C345">
        <v>148</v>
      </c>
      <c r="D345" t="s">
        <v>34</v>
      </c>
      <c r="E345">
        <v>6</v>
      </c>
      <c r="F345">
        <v>1</v>
      </c>
      <c r="G345" s="1">
        <f t="shared" si="127"/>
        <v>73</v>
      </c>
      <c r="H345">
        <v>175</v>
      </c>
      <c r="I345">
        <v>1997</v>
      </c>
      <c r="J345">
        <v>2015</v>
      </c>
      <c r="K345" s="1">
        <f t="shared" si="128"/>
        <v>18</v>
      </c>
      <c r="L345" t="s">
        <v>41</v>
      </c>
      <c r="M345" t="s">
        <v>43</v>
      </c>
      <c r="N345" s="2">
        <v>66</v>
      </c>
      <c r="O345" s="5">
        <v>19</v>
      </c>
      <c r="P345" s="5">
        <v>25</v>
      </c>
      <c r="Q345" s="5">
        <f t="shared" si="129"/>
        <v>44</v>
      </c>
      <c r="R345" s="4">
        <v>8</v>
      </c>
      <c r="S345" s="2">
        <v>32</v>
      </c>
      <c r="T345" s="5">
        <v>16</v>
      </c>
      <c r="U345" s="5">
        <v>25</v>
      </c>
      <c r="V345" s="5">
        <f t="shared" si="130"/>
        <v>41</v>
      </c>
      <c r="W345" s="4">
        <v>0</v>
      </c>
      <c r="AG345">
        <v>0</v>
      </c>
      <c r="AH345" s="14">
        <v>8.6315789473684212</v>
      </c>
      <c r="AI345" s="14">
        <v>15.824561403508772</v>
      </c>
      <c r="AJ345" s="14">
        <v>24.456140350877192</v>
      </c>
      <c r="AK345" s="14">
        <v>11.508771929824562</v>
      </c>
      <c r="AL345" s="3" t="s">
        <v>608</v>
      </c>
    </row>
    <row r="346" spans="1:41">
      <c r="A346" t="s">
        <v>188</v>
      </c>
      <c r="B346" t="s">
        <v>203</v>
      </c>
      <c r="C346">
        <v>61</v>
      </c>
      <c r="D346" t="s">
        <v>35</v>
      </c>
      <c r="E346">
        <v>6</v>
      </c>
      <c r="F346">
        <v>2</v>
      </c>
      <c r="G346" s="1">
        <f t="shared" si="127"/>
        <v>74</v>
      </c>
      <c r="H346">
        <v>227</v>
      </c>
      <c r="I346">
        <v>1984</v>
      </c>
      <c r="J346">
        <v>2002</v>
      </c>
      <c r="K346" s="1">
        <f t="shared" si="128"/>
        <v>18</v>
      </c>
      <c r="L346" t="s">
        <v>42</v>
      </c>
      <c r="M346" t="s">
        <v>43</v>
      </c>
      <c r="N346" s="2">
        <v>75</v>
      </c>
      <c r="O346" s="3">
        <v>9</v>
      </c>
      <c r="P346" s="5">
        <v>32</v>
      </c>
      <c r="Q346" s="5">
        <f t="shared" si="129"/>
        <v>41</v>
      </c>
      <c r="R346" s="4">
        <v>93</v>
      </c>
      <c r="S346" s="2">
        <v>66</v>
      </c>
      <c r="T346" s="5">
        <v>4</v>
      </c>
      <c r="U346" s="5">
        <v>8</v>
      </c>
      <c r="V346" s="5">
        <f t="shared" si="130"/>
        <v>12</v>
      </c>
      <c r="W346" s="4">
        <v>61</v>
      </c>
      <c r="X346">
        <f>O346/N346</f>
        <v>0.12</v>
      </c>
      <c r="Y346">
        <f>T346/S346</f>
        <v>6.0606060606060608E-2</v>
      </c>
      <c r="Z346">
        <f>X346-Y346</f>
        <v>5.9393939393939388E-2</v>
      </c>
      <c r="AA346">
        <f>P346/N346</f>
        <v>0.42666666666666669</v>
      </c>
      <c r="AB346">
        <f>U346/S346</f>
        <v>0.12121212121212122</v>
      </c>
      <c r="AC346">
        <f>AA346-AB346</f>
        <v>0.30545454545454548</v>
      </c>
      <c r="AD346">
        <f>Q346/N346</f>
        <v>0.54666666666666663</v>
      </c>
      <c r="AE346">
        <f>V346/S346</f>
        <v>0.18181818181818182</v>
      </c>
      <c r="AF346">
        <f>AD346-AE346</f>
        <v>0.36484848484848481</v>
      </c>
      <c r="AG346">
        <v>0</v>
      </c>
      <c r="AH346" s="14">
        <v>6.4005891016200298</v>
      </c>
      <c r="AI346" s="14">
        <v>17.994108983799705</v>
      </c>
      <c r="AJ346" s="14">
        <v>24.394698085419734</v>
      </c>
      <c r="AK346" s="14">
        <v>38.765832106038289</v>
      </c>
      <c r="AL346" s="3" t="s">
        <v>599</v>
      </c>
      <c r="AM346" s="22">
        <v>0</v>
      </c>
      <c r="AN346" s="22">
        <v>1036</v>
      </c>
      <c r="AO346">
        <f t="shared" ref="AO346:AO348" si="132">AM346/AN346</f>
        <v>0</v>
      </c>
    </row>
    <row r="347" spans="1:41">
      <c r="A347" t="s">
        <v>234</v>
      </c>
      <c r="B347" t="s">
        <v>245</v>
      </c>
      <c r="C347">
        <v>66</v>
      </c>
      <c r="D347" t="s">
        <v>34</v>
      </c>
      <c r="E347">
        <v>6</v>
      </c>
      <c r="F347">
        <v>3</v>
      </c>
      <c r="G347" s="1">
        <f t="shared" si="127"/>
        <v>75</v>
      </c>
      <c r="H347">
        <v>206</v>
      </c>
      <c r="I347">
        <v>1994</v>
      </c>
      <c r="J347">
        <v>2013</v>
      </c>
      <c r="K347" s="1">
        <f t="shared" si="128"/>
        <v>19</v>
      </c>
      <c r="L347" t="s">
        <v>42</v>
      </c>
      <c r="M347" t="s">
        <v>43</v>
      </c>
      <c r="N347" s="2">
        <v>38</v>
      </c>
      <c r="O347" s="5">
        <v>1</v>
      </c>
      <c r="P347" s="5">
        <v>5</v>
      </c>
      <c r="Q347" s="5">
        <f t="shared" si="129"/>
        <v>6</v>
      </c>
      <c r="R347" s="4">
        <v>10</v>
      </c>
      <c r="V347" s="5">
        <f t="shared" si="130"/>
        <v>0</v>
      </c>
      <c r="X347">
        <f>O347/N347</f>
        <v>2.6315789473684209E-2</v>
      </c>
      <c r="Y347" t="e">
        <f>T347/S347</f>
        <v>#DIV/0!</v>
      </c>
      <c r="Z347" t="e">
        <f>X347-Y347</f>
        <v>#DIV/0!</v>
      </c>
      <c r="AA347">
        <f>P347/N347</f>
        <v>0.13157894736842105</v>
      </c>
      <c r="AB347" t="e">
        <f>U347/S347</f>
        <v>#DIV/0!</v>
      </c>
      <c r="AC347" t="e">
        <f>AA347-AB347</f>
        <v>#DIV/0!</v>
      </c>
      <c r="AD347">
        <f>Q347/N347</f>
        <v>0.15789473684210525</v>
      </c>
      <c r="AE347" t="e">
        <f>V347/S347</f>
        <v>#DIV/0!</v>
      </c>
      <c r="AF347" t="e">
        <f>AD347-AE347</f>
        <v>#DIV/0!</v>
      </c>
      <c r="AG347">
        <v>0</v>
      </c>
      <c r="AH347" s="14">
        <v>4.745980707395498</v>
      </c>
      <c r="AI347" s="14">
        <v>19.511254019292604</v>
      </c>
      <c r="AJ347" s="14">
        <v>24.2572347266881</v>
      </c>
      <c r="AK347" s="14">
        <v>23.20257234726688</v>
      </c>
      <c r="AL347" s="3" t="s">
        <v>611</v>
      </c>
      <c r="AM347" s="22">
        <v>0</v>
      </c>
      <c r="AN347" s="22">
        <v>223</v>
      </c>
      <c r="AO347">
        <f t="shared" si="132"/>
        <v>0</v>
      </c>
    </row>
    <row r="348" spans="1:41">
      <c r="A348" t="s">
        <v>525</v>
      </c>
      <c r="B348" t="s">
        <v>530</v>
      </c>
      <c r="C348">
        <v>53</v>
      </c>
      <c r="D348" t="s">
        <v>35</v>
      </c>
      <c r="E348">
        <v>6</v>
      </c>
      <c r="F348">
        <v>2</v>
      </c>
      <c r="G348" s="1">
        <f t="shared" si="127"/>
        <v>74</v>
      </c>
      <c r="H348">
        <v>205</v>
      </c>
      <c r="I348">
        <v>1990</v>
      </c>
      <c r="J348">
        <v>2008</v>
      </c>
      <c r="K348" s="1">
        <f t="shared" si="128"/>
        <v>18</v>
      </c>
      <c r="L348" t="s">
        <v>42</v>
      </c>
      <c r="M348" t="s">
        <v>43</v>
      </c>
      <c r="N348" s="2">
        <v>68</v>
      </c>
      <c r="O348" s="5">
        <v>6</v>
      </c>
      <c r="P348" s="5">
        <v>19</v>
      </c>
      <c r="Q348" s="5">
        <f t="shared" si="129"/>
        <v>25</v>
      </c>
      <c r="R348" s="4">
        <v>107</v>
      </c>
      <c r="S348" s="2">
        <v>22</v>
      </c>
      <c r="T348" s="5">
        <v>0</v>
      </c>
      <c r="U348" s="5">
        <v>3</v>
      </c>
      <c r="V348" s="5">
        <f t="shared" si="130"/>
        <v>3</v>
      </c>
      <c r="W348" s="4">
        <v>30</v>
      </c>
      <c r="AG348">
        <v>0</v>
      </c>
      <c r="AH348" s="14">
        <v>4.7049180327868854</v>
      </c>
      <c r="AI348" s="14">
        <v>19.491803278688522</v>
      </c>
      <c r="AJ348" s="14">
        <v>24.196721311475407</v>
      </c>
      <c r="AK348" s="14">
        <v>78.101639344262296</v>
      </c>
      <c r="AL348" s="5" t="s">
        <v>599</v>
      </c>
      <c r="AM348" s="22">
        <v>0</v>
      </c>
      <c r="AN348" s="22">
        <v>181</v>
      </c>
      <c r="AO348">
        <f t="shared" si="132"/>
        <v>0</v>
      </c>
    </row>
    <row r="349" spans="1:41">
      <c r="A349" t="s">
        <v>498</v>
      </c>
      <c r="B349" t="s">
        <v>508</v>
      </c>
      <c r="C349">
        <v>6</v>
      </c>
      <c r="D349" t="s">
        <v>35</v>
      </c>
      <c r="E349">
        <v>6</v>
      </c>
      <c r="F349">
        <v>1</v>
      </c>
      <c r="G349" s="1">
        <f t="shared" si="127"/>
        <v>73</v>
      </c>
      <c r="H349">
        <v>226</v>
      </c>
      <c r="I349">
        <v>1996</v>
      </c>
      <c r="J349">
        <v>2014</v>
      </c>
      <c r="K349" s="1">
        <f t="shared" si="128"/>
        <v>18</v>
      </c>
      <c r="L349" t="s">
        <v>41</v>
      </c>
      <c r="M349" t="s">
        <v>43</v>
      </c>
      <c r="N349" s="2">
        <v>71</v>
      </c>
      <c r="O349" s="5">
        <v>45</v>
      </c>
      <c r="P349" s="5">
        <v>26</v>
      </c>
      <c r="Q349" s="5">
        <f t="shared" si="129"/>
        <v>71</v>
      </c>
      <c r="R349" s="4">
        <v>100</v>
      </c>
      <c r="S349" s="2">
        <v>62</v>
      </c>
      <c r="T349" s="5">
        <v>16</v>
      </c>
      <c r="U349" s="5">
        <v>18</v>
      </c>
      <c r="V349" s="5">
        <f t="shared" si="130"/>
        <v>34</v>
      </c>
      <c r="W349" s="4">
        <v>67</v>
      </c>
      <c r="AG349">
        <v>0</v>
      </c>
      <c r="AH349" s="14">
        <v>13.373390557939913</v>
      </c>
      <c r="AI349" s="14">
        <v>10.557939914163089</v>
      </c>
      <c r="AJ349" s="14">
        <v>23.931330472103006</v>
      </c>
      <c r="AK349" s="14">
        <v>51.733905579399142</v>
      </c>
      <c r="AL349" s="5" t="s">
        <v>599</v>
      </c>
    </row>
    <row r="350" spans="1:41">
      <c r="A350" t="s">
        <v>188</v>
      </c>
      <c r="B350" t="s">
        <v>193</v>
      </c>
      <c r="C350">
        <v>72</v>
      </c>
      <c r="D350" t="s">
        <v>35</v>
      </c>
      <c r="E350">
        <v>5</v>
      </c>
      <c r="F350">
        <v>11</v>
      </c>
      <c r="G350" s="1">
        <f t="shared" si="127"/>
        <v>71</v>
      </c>
      <c r="H350">
        <v>216</v>
      </c>
      <c r="I350">
        <v>1987</v>
      </c>
      <c r="J350">
        <v>2006</v>
      </c>
      <c r="K350" s="1">
        <f t="shared" si="128"/>
        <v>19</v>
      </c>
      <c r="L350" t="s">
        <v>41</v>
      </c>
      <c r="M350" t="s">
        <v>43</v>
      </c>
      <c r="N350" s="2">
        <v>66</v>
      </c>
      <c r="O350" s="5">
        <v>35</v>
      </c>
      <c r="P350" s="5">
        <v>33</v>
      </c>
      <c r="Q350" s="5">
        <f t="shared" si="129"/>
        <v>68</v>
      </c>
      <c r="R350" s="4">
        <v>139</v>
      </c>
      <c r="S350" s="2">
        <v>71</v>
      </c>
      <c r="T350" s="5">
        <v>20</v>
      </c>
      <c r="U350" s="5">
        <v>16</v>
      </c>
      <c r="V350" s="5">
        <f t="shared" si="130"/>
        <v>36</v>
      </c>
      <c r="W350" s="4">
        <v>105</v>
      </c>
      <c r="X350">
        <f>O350/N350</f>
        <v>0.53030303030303028</v>
      </c>
      <c r="Y350">
        <f>T350/S350</f>
        <v>0.28169014084507044</v>
      </c>
      <c r="Z350">
        <f>X350-Y350</f>
        <v>0.24861288945795984</v>
      </c>
      <c r="AA350">
        <f>P350/N350</f>
        <v>0.5</v>
      </c>
      <c r="AB350">
        <f>U350/S350</f>
        <v>0.22535211267605634</v>
      </c>
      <c r="AC350">
        <f>AA350-AB350</f>
        <v>0.27464788732394363</v>
      </c>
      <c r="AD350">
        <f>Q350/N350</f>
        <v>1.0303030303030303</v>
      </c>
      <c r="AE350">
        <f>V350/S350</f>
        <v>0.50704225352112675</v>
      </c>
      <c r="AF350">
        <f>AD350-AE350</f>
        <v>0.52326077678190352</v>
      </c>
      <c r="AG350">
        <v>0</v>
      </c>
      <c r="AH350" s="14">
        <v>12.106699751861042</v>
      </c>
      <c r="AI350" s="14">
        <v>11.801488833746898</v>
      </c>
      <c r="AJ350" s="14">
        <v>23.908188585607942</v>
      </c>
      <c r="AK350" s="14">
        <v>62.059553349875934</v>
      </c>
      <c r="AL350" s="5" t="s">
        <v>600</v>
      </c>
    </row>
    <row r="351" spans="1:41">
      <c r="A351" s="6" t="s">
        <v>49</v>
      </c>
      <c r="B351" t="s">
        <v>51</v>
      </c>
      <c r="C351">
        <v>34</v>
      </c>
      <c r="D351" t="s">
        <v>35</v>
      </c>
      <c r="E351">
        <v>6</v>
      </c>
      <c r="F351">
        <v>0</v>
      </c>
      <c r="G351" s="1">
        <f t="shared" si="127"/>
        <v>72</v>
      </c>
      <c r="H351">
        <v>204</v>
      </c>
      <c r="I351">
        <v>1996</v>
      </c>
      <c r="J351">
        <v>2015</v>
      </c>
      <c r="K351" s="1">
        <f t="shared" si="128"/>
        <v>19</v>
      </c>
      <c r="L351" t="s">
        <v>42</v>
      </c>
      <c r="M351" t="s">
        <v>44</v>
      </c>
      <c r="N351" s="2">
        <v>61</v>
      </c>
      <c r="O351" s="3">
        <v>8</v>
      </c>
      <c r="P351" s="3">
        <v>37</v>
      </c>
      <c r="Q351" s="3">
        <f t="shared" si="129"/>
        <v>45</v>
      </c>
      <c r="R351" s="4">
        <v>53</v>
      </c>
      <c r="S351" s="2">
        <v>67</v>
      </c>
      <c r="T351" s="3">
        <v>3</v>
      </c>
      <c r="U351" s="3">
        <v>25</v>
      </c>
      <c r="V351" s="3">
        <f t="shared" si="130"/>
        <v>28</v>
      </c>
      <c r="W351" s="4">
        <v>45</v>
      </c>
      <c r="X351">
        <f>O351/N351</f>
        <v>0.13114754098360656</v>
      </c>
      <c r="Y351">
        <f>T351/S351</f>
        <v>4.4776119402985072E-2</v>
      </c>
      <c r="Z351">
        <f>X351-Y351</f>
        <v>8.6371421580621499E-2</v>
      </c>
      <c r="AA351">
        <f>P351/N351</f>
        <v>0.60655737704918034</v>
      </c>
      <c r="AB351">
        <f>U351/S351</f>
        <v>0.37313432835820898</v>
      </c>
      <c r="AC351">
        <f>AA351-AB351</f>
        <v>0.23342304869097136</v>
      </c>
      <c r="AD351">
        <f>Q351/N351</f>
        <v>0.73770491803278693</v>
      </c>
      <c r="AE351">
        <f>V351/S351</f>
        <v>0.41791044776119401</v>
      </c>
      <c r="AF351">
        <f>AD351-AE351</f>
        <v>0.31979447027159291</v>
      </c>
      <c r="AG351">
        <v>0</v>
      </c>
      <c r="AH351" s="14">
        <v>4.4324324324324325</v>
      </c>
      <c r="AI351" s="14">
        <v>19.207207207207208</v>
      </c>
      <c r="AJ351" s="14">
        <v>23.63963963963964</v>
      </c>
      <c r="AK351" s="14">
        <v>23.63963963963964</v>
      </c>
      <c r="AL351" s="5" t="s">
        <v>600</v>
      </c>
      <c r="AM351" s="22">
        <v>0</v>
      </c>
      <c r="AN351" s="22">
        <v>53</v>
      </c>
      <c r="AO351">
        <f>AM351/AN351</f>
        <v>0</v>
      </c>
    </row>
    <row r="352" spans="1:41">
      <c r="A352" s="6" t="s">
        <v>102</v>
      </c>
      <c r="B352" t="s">
        <v>120</v>
      </c>
      <c r="C352">
        <v>26</v>
      </c>
      <c r="D352" t="s">
        <v>34</v>
      </c>
      <c r="E352">
        <v>6</v>
      </c>
      <c r="F352">
        <v>6</v>
      </c>
      <c r="G352" s="1">
        <f t="shared" si="127"/>
        <v>78</v>
      </c>
      <c r="H352">
        <v>245</v>
      </c>
      <c r="I352">
        <v>1984</v>
      </c>
      <c r="J352">
        <v>2003</v>
      </c>
      <c r="K352" s="1">
        <f t="shared" si="128"/>
        <v>19</v>
      </c>
      <c r="L352" t="s">
        <v>41</v>
      </c>
      <c r="M352" t="s">
        <v>44</v>
      </c>
      <c r="N352" s="2">
        <v>31</v>
      </c>
      <c r="O352" s="5">
        <v>32</v>
      </c>
      <c r="P352" s="5">
        <v>31</v>
      </c>
      <c r="Q352" s="5">
        <f t="shared" si="129"/>
        <v>63</v>
      </c>
      <c r="R352" s="4">
        <v>46</v>
      </c>
      <c r="S352" s="2">
        <v>28</v>
      </c>
      <c r="T352" s="5">
        <v>21</v>
      </c>
      <c r="U352" s="5">
        <v>26</v>
      </c>
      <c r="V352" s="5">
        <f t="shared" si="130"/>
        <v>47</v>
      </c>
      <c r="W352" s="4">
        <v>22</v>
      </c>
      <c r="X352">
        <f>O352/N352</f>
        <v>1.032258064516129</v>
      </c>
      <c r="Y352">
        <f>T352/S352</f>
        <v>0.75</v>
      </c>
      <c r="Z352">
        <f>X352-Y352</f>
        <v>0.282258064516129</v>
      </c>
      <c r="AA352">
        <f>P352/N352</f>
        <v>1</v>
      </c>
      <c r="AB352">
        <f>U352/S352</f>
        <v>0.9285714285714286</v>
      </c>
      <c r="AC352">
        <f>AA352-AB352</f>
        <v>7.1428571428571397E-2</v>
      </c>
      <c r="AD352">
        <f>Q352/N352</f>
        <v>2.032258064516129</v>
      </c>
      <c r="AE352">
        <f>V352/S352</f>
        <v>1.6785714285714286</v>
      </c>
      <c r="AF352">
        <f>AD352-AE352</f>
        <v>0.3536866359447004</v>
      </c>
      <c r="AG352">
        <v>0</v>
      </c>
      <c r="AH352" s="14">
        <v>13.368421052631579</v>
      </c>
      <c r="AI352" s="14">
        <v>10.105263157894736</v>
      </c>
      <c r="AJ352" s="14">
        <v>23.473684210526315</v>
      </c>
      <c r="AK352" s="14">
        <v>60.526315789473678</v>
      </c>
      <c r="AL352" s="3" t="s">
        <v>631</v>
      </c>
    </row>
    <row r="353" spans="1:41">
      <c r="A353" t="s">
        <v>266</v>
      </c>
      <c r="B353" t="s">
        <v>278</v>
      </c>
      <c r="C353">
        <v>49</v>
      </c>
      <c r="D353" t="s">
        <v>34</v>
      </c>
      <c r="E353">
        <v>6</v>
      </c>
      <c r="F353">
        <v>0</v>
      </c>
      <c r="G353" s="1">
        <f t="shared" si="127"/>
        <v>72</v>
      </c>
      <c r="H353">
        <v>191</v>
      </c>
      <c r="I353">
        <v>1998</v>
      </c>
      <c r="J353">
        <v>2016</v>
      </c>
      <c r="K353" s="1">
        <f t="shared" si="128"/>
        <v>18</v>
      </c>
      <c r="L353" t="s">
        <v>42</v>
      </c>
      <c r="M353" t="s">
        <v>44</v>
      </c>
      <c r="N353" s="2">
        <f>25+36+7</f>
        <v>68</v>
      </c>
      <c r="O353" s="5">
        <v>12</v>
      </c>
      <c r="P353" s="5">
        <v>30</v>
      </c>
      <c r="Q353" s="5">
        <f t="shared" si="129"/>
        <v>42</v>
      </c>
      <c r="R353" s="4">
        <v>80</v>
      </c>
      <c r="S353" s="2">
        <v>55</v>
      </c>
      <c r="T353" s="5">
        <v>3</v>
      </c>
      <c r="U353" s="5">
        <v>16</v>
      </c>
      <c r="V353" s="5">
        <f t="shared" si="130"/>
        <v>19</v>
      </c>
      <c r="W353" s="4">
        <v>85</v>
      </c>
      <c r="X353">
        <f>O353/N353</f>
        <v>0.17647058823529413</v>
      </c>
      <c r="Y353">
        <f>T353/S353</f>
        <v>5.4545454545454543E-2</v>
      </c>
      <c r="Z353">
        <f>X353-Y353</f>
        <v>0.12192513368983959</v>
      </c>
      <c r="AA353">
        <f>P353/N353</f>
        <v>0.44117647058823528</v>
      </c>
      <c r="AB353">
        <f>U353/S353</f>
        <v>0.29090909090909089</v>
      </c>
      <c r="AC353">
        <f>AA353-AB353</f>
        <v>0.15026737967914439</v>
      </c>
      <c r="AD353">
        <f>Q353/N353</f>
        <v>0.61764705882352944</v>
      </c>
      <c r="AE353">
        <f>V353/S353</f>
        <v>0.34545454545454546</v>
      </c>
      <c r="AF353">
        <f>AD353-AE353</f>
        <v>0.27219251336898398</v>
      </c>
      <c r="AG353">
        <v>0</v>
      </c>
      <c r="AH353" s="14">
        <v>5.8571428571428568</v>
      </c>
      <c r="AI353" s="14">
        <v>17.571428571428569</v>
      </c>
      <c r="AJ353" s="14">
        <v>23.428571428571427</v>
      </c>
      <c r="AK353" s="14">
        <v>93.714285714285708</v>
      </c>
      <c r="AL353" s="3" t="s">
        <v>608</v>
      </c>
      <c r="AM353" s="22">
        <v>0</v>
      </c>
      <c r="AN353" s="22">
        <v>647</v>
      </c>
      <c r="AO353">
        <f t="shared" ref="AO353:AO356" si="133">AM353/AN353</f>
        <v>0</v>
      </c>
    </row>
    <row r="354" spans="1:41">
      <c r="A354" t="s">
        <v>461</v>
      </c>
      <c r="B354" t="s">
        <v>468</v>
      </c>
      <c r="C354">
        <v>117</v>
      </c>
      <c r="D354" t="s">
        <v>34</v>
      </c>
      <c r="E354">
        <v>6</v>
      </c>
      <c r="F354">
        <v>2</v>
      </c>
      <c r="G354" s="1">
        <f t="shared" si="127"/>
        <v>74</v>
      </c>
      <c r="H354">
        <v>194</v>
      </c>
      <c r="I354">
        <v>1997</v>
      </c>
      <c r="J354">
        <v>2015</v>
      </c>
      <c r="K354" s="1">
        <f t="shared" si="128"/>
        <v>18</v>
      </c>
      <c r="L354" t="s">
        <v>42</v>
      </c>
      <c r="M354" t="s">
        <v>44</v>
      </c>
      <c r="N354" s="2">
        <f>25+40+7</f>
        <v>72</v>
      </c>
      <c r="O354" s="3">
        <f>6</f>
        <v>6</v>
      </c>
      <c r="P354" s="5">
        <v>24</v>
      </c>
      <c r="Q354" s="5">
        <f t="shared" si="129"/>
        <v>30</v>
      </c>
      <c r="R354" s="4">
        <v>50</v>
      </c>
      <c r="S354" s="2">
        <v>52</v>
      </c>
      <c r="T354" s="5">
        <v>1</v>
      </c>
      <c r="U354" s="5">
        <v>14</v>
      </c>
      <c r="V354" s="5">
        <f t="shared" si="130"/>
        <v>15</v>
      </c>
      <c r="W354" s="4">
        <v>90</v>
      </c>
      <c r="AG354">
        <v>0</v>
      </c>
      <c r="AH354" s="14">
        <v>3.9047619047619047</v>
      </c>
      <c r="AI354" s="14">
        <v>19.523809523809522</v>
      </c>
      <c r="AJ354" s="14">
        <v>23.428571428571427</v>
      </c>
      <c r="AK354" s="14">
        <v>23.428571428571427</v>
      </c>
      <c r="AL354" s="3" t="s">
        <v>608</v>
      </c>
      <c r="AM354" s="22">
        <v>0</v>
      </c>
      <c r="AN354" s="22">
        <v>169</v>
      </c>
      <c r="AO354">
        <f t="shared" si="133"/>
        <v>0</v>
      </c>
    </row>
    <row r="355" spans="1:41">
      <c r="A355" s="6" t="s">
        <v>102</v>
      </c>
      <c r="B355" t="s">
        <v>111</v>
      </c>
      <c r="C355">
        <v>23</v>
      </c>
      <c r="D355" t="s">
        <v>35</v>
      </c>
      <c r="E355">
        <v>6</v>
      </c>
      <c r="F355">
        <v>2</v>
      </c>
      <c r="G355" s="1">
        <f t="shared" si="127"/>
        <v>74</v>
      </c>
      <c r="H355">
        <v>193</v>
      </c>
      <c r="I355">
        <v>1994</v>
      </c>
      <c r="J355">
        <v>2012</v>
      </c>
      <c r="K355" s="1">
        <f t="shared" si="128"/>
        <v>18</v>
      </c>
      <c r="L355" t="s">
        <v>42</v>
      </c>
      <c r="M355" t="s">
        <v>44</v>
      </c>
      <c r="N355" s="2">
        <v>58</v>
      </c>
      <c r="O355" s="5">
        <v>11</v>
      </c>
      <c r="P355" s="5">
        <v>16</v>
      </c>
      <c r="Q355" s="5">
        <f t="shared" si="129"/>
        <v>27</v>
      </c>
      <c r="R355" s="4">
        <v>86</v>
      </c>
      <c r="S355" s="2">
        <v>48</v>
      </c>
      <c r="T355" s="5">
        <v>19</v>
      </c>
      <c r="U355" s="5">
        <v>35</v>
      </c>
      <c r="V355" s="5">
        <f t="shared" si="130"/>
        <v>54</v>
      </c>
      <c r="W355" s="4">
        <v>104</v>
      </c>
      <c r="X355">
        <f>O355/N355</f>
        <v>0.18965517241379309</v>
      </c>
      <c r="Y355">
        <f>T355/S355</f>
        <v>0.39583333333333331</v>
      </c>
      <c r="Z355">
        <f>X355-Y355</f>
        <v>-0.20617816091954022</v>
      </c>
      <c r="AA355">
        <f>P355/N355</f>
        <v>0.27586206896551724</v>
      </c>
      <c r="AB355">
        <f>U355/S355</f>
        <v>0.72916666666666663</v>
      </c>
      <c r="AC355">
        <f>AA355-AB355</f>
        <v>-0.45330459770114939</v>
      </c>
      <c r="AD355">
        <f>Q355/N355</f>
        <v>0.46551724137931033</v>
      </c>
      <c r="AE355">
        <f>V355/S355</f>
        <v>1.125</v>
      </c>
      <c r="AF355">
        <f>AD355-AE355</f>
        <v>-0.65948275862068972</v>
      </c>
      <c r="AG355">
        <v>0</v>
      </c>
      <c r="AH355" s="14">
        <v>8.0078125</v>
      </c>
      <c r="AI355" s="14">
        <v>15.375</v>
      </c>
      <c r="AJ355" s="14">
        <v>23.3828125</v>
      </c>
      <c r="AK355" s="14">
        <v>46.4453125</v>
      </c>
      <c r="AL355" s="3" t="s">
        <v>608</v>
      </c>
      <c r="AM355" s="22">
        <v>0</v>
      </c>
      <c r="AN355" s="22">
        <v>22</v>
      </c>
      <c r="AO355">
        <f t="shared" si="133"/>
        <v>0</v>
      </c>
    </row>
    <row r="356" spans="1:41">
      <c r="A356" t="s">
        <v>461</v>
      </c>
      <c r="B356" t="s">
        <v>475</v>
      </c>
      <c r="C356">
        <v>67</v>
      </c>
      <c r="D356" t="s">
        <v>35</v>
      </c>
      <c r="E356">
        <v>5</v>
      </c>
      <c r="F356">
        <v>10</v>
      </c>
      <c r="G356" s="1">
        <f t="shared" si="127"/>
        <v>70</v>
      </c>
      <c r="H356">
        <v>170</v>
      </c>
      <c r="I356">
        <v>1987</v>
      </c>
      <c r="J356">
        <v>2005</v>
      </c>
      <c r="K356" s="1">
        <f t="shared" si="128"/>
        <v>18</v>
      </c>
      <c r="L356" t="s">
        <v>42</v>
      </c>
      <c r="M356" t="s">
        <v>44</v>
      </c>
      <c r="N356" s="2">
        <v>72</v>
      </c>
      <c r="O356" s="5">
        <v>26</v>
      </c>
      <c r="P356" s="5">
        <v>35</v>
      </c>
      <c r="Q356" s="5">
        <f t="shared" si="129"/>
        <v>61</v>
      </c>
      <c r="R356" s="4">
        <v>37</v>
      </c>
      <c r="S356" s="2">
        <v>55</v>
      </c>
      <c r="T356" s="5">
        <v>4</v>
      </c>
      <c r="U356" s="5">
        <v>15</v>
      </c>
      <c r="V356" s="5">
        <f t="shared" si="130"/>
        <v>19</v>
      </c>
      <c r="W356" s="4">
        <v>30</v>
      </c>
      <c r="AG356">
        <v>0</v>
      </c>
      <c r="AH356" s="14">
        <v>4.6282208588957054</v>
      </c>
      <c r="AI356" s="14">
        <v>18.613496932515339</v>
      </c>
      <c r="AJ356" s="14">
        <v>23.241717791411045</v>
      </c>
      <c r="AK356" s="14">
        <v>25.25398773006135</v>
      </c>
      <c r="AL356" s="3" t="s">
        <v>599</v>
      </c>
      <c r="AM356" s="22">
        <v>0</v>
      </c>
      <c r="AN356" s="22">
        <v>104</v>
      </c>
      <c r="AO356">
        <f t="shared" si="133"/>
        <v>0</v>
      </c>
    </row>
    <row r="357" spans="1:41">
      <c r="A357" t="s">
        <v>525</v>
      </c>
      <c r="B357" t="s">
        <v>535</v>
      </c>
      <c r="C357">
        <v>166</v>
      </c>
      <c r="D357" t="s">
        <v>35</v>
      </c>
      <c r="E357">
        <v>5</v>
      </c>
      <c r="F357">
        <v>10</v>
      </c>
      <c r="G357" s="1">
        <f t="shared" si="127"/>
        <v>70</v>
      </c>
      <c r="H357">
        <v>184</v>
      </c>
      <c r="I357">
        <v>1996</v>
      </c>
      <c r="J357">
        <v>2015</v>
      </c>
      <c r="K357" s="1">
        <f t="shared" si="128"/>
        <v>19</v>
      </c>
      <c r="L357" t="s">
        <v>41</v>
      </c>
      <c r="M357" t="s">
        <v>44</v>
      </c>
      <c r="N357" s="2">
        <v>68</v>
      </c>
      <c r="O357" s="5">
        <v>43</v>
      </c>
      <c r="P357" s="5">
        <v>61</v>
      </c>
      <c r="Q357" s="5">
        <f t="shared" si="129"/>
        <v>104</v>
      </c>
      <c r="R357" s="4">
        <v>54</v>
      </c>
      <c r="S357" s="2">
        <v>68</v>
      </c>
      <c r="T357" s="5">
        <v>24</v>
      </c>
      <c r="U357" s="5">
        <v>27</v>
      </c>
      <c r="V357" s="5">
        <f t="shared" si="130"/>
        <v>51</v>
      </c>
      <c r="W357" s="4">
        <v>28</v>
      </c>
      <c r="AG357">
        <v>0</v>
      </c>
      <c r="AH357" s="14">
        <v>13.666666666666668</v>
      </c>
      <c r="AI357" s="14">
        <v>9.4615384615384617</v>
      </c>
      <c r="AJ357" s="14">
        <v>23.128205128205128</v>
      </c>
      <c r="AK357" s="14">
        <v>23.128205128205128</v>
      </c>
      <c r="AL357" s="3" t="s">
        <v>600</v>
      </c>
    </row>
    <row r="358" spans="1:41">
      <c r="A358" t="s">
        <v>204</v>
      </c>
      <c r="B358" t="s">
        <v>216</v>
      </c>
      <c r="C358">
        <v>38</v>
      </c>
      <c r="D358" t="s">
        <v>65</v>
      </c>
      <c r="E358">
        <v>6</v>
      </c>
      <c r="F358">
        <v>3</v>
      </c>
      <c r="G358" s="1">
        <f t="shared" si="127"/>
        <v>75</v>
      </c>
      <c r="H358">
        <v>177</v>
      </c>
      <c r="I358">
        <v>1996</v>
      </c>
      <c r="J358">
        <v>2014</v>
      </c>
      <c r="K358" s="1">
        <f t="shared" si="128"/>
        <v>18</v>
      </c>
      <c r="L358" t="s">
        <v>42</v>
      </c>
      <c r="M358" t="s">
        <v>44</v>
      </c>
      <c r="N358" s="2">
        <v>55</v>
      </c>
      <c r="O358" s="5">
        <v>5</v>
      </c>
      <c r="P358" s="5">
        <v>14</v>
      </c>
      <c r="Q358" s="5">
        <f t="shared" si="129"/>
        <v>19</v>
      </c>
      <c r="R358" s="4">
        <v>42</v>
      </c>
      <c r="S358" s="2">
        <v>39</v>
      </c>
      <c r="T358" s="5">
        <v>4</v>
      </c>
      <c r="U358" s="5">
        <v>8</v>
      </c>
      <c r="V358" s="5">
        <f t="shared" si="130"/>
        <v>12</v>
      </c>
      <c r="W358" s="4">
        <v>16</v>
      </c>
      <c r="X358">
        <f>O358/N358</f>
        <v>9.0909090909090912E-2</v>
      </c>
      <c r="Y358">
        <f>T358/S358</f>
        <v>0.10256410256410256</v>
      </c>
      <c r="Z358">
        <f>X358-Y358</f>
        <v>-1.1655011655011649E-2</v>
      </c>
      <c r="AA358">
        <f>P358/N358</f>
        <v>0.25454545454545452</v>
      </c>
      <c r="AB358">
        <f>U358/S358</f>
        <v>0.20512820512820512</v>
      </c>
      <c r="AC358">
        <f>AA358-AB358</f>
        <v>4.9417249417249398E-2</v>
      </c>
      <c r="AD358">
        <f>Q358/N358</f>
        <v>0.34545454545454546</v>
      </c>
      <c r="AE358">
        <f>V358/S358</f>
        <v>0.30769230769230771</v>
      </c>
      <c r="AF358">
        <f>AD358-AE358</f>
        <v>3.7762237762237749E-2</v>
      </c>
      <c r="AG358">
        <v>0</v>
      </c>
      <c r="AH358" s="14">
        <v>2.5625</v>
      </c>
      <c r="AI358" s="14">
        <v>20.5</v>
      </c>
      <c r="AJ358" s="14">
        <v>23.0625</v>
      </c>
      <c r="AK358" s="14">
        <v>49.96875</v>
      </c>
      <c r="AL358" s="3" t="s">
        <v>609</v>
      </c>
      <c r="AM358" s="22">
        <v>-1</v>
      </c>
      <c r="AN358" s="22">
        <v>33</v>
      </c>
      <c r="AO358">
        <f>AM358/AN358</f>
        <v>-3.0303030303030304E-2</v>
      </c>
    </row>
    <row r="359" spans="1:41">
      <c r="A359" s="6" t="s">
        <v>69</v>
      </c>
      <c r="B359" t="s">
        <v>73</v>
      </c>
      <c r="C359">
        <v>14</v>
      </c>
      <c r="D359" t="s">
        <v>84</v>
      </c>
      <c r="E359">
        <v>6</v>
      </c>
      <c r="F359">
        <v>2</v>
      </c>
      <c r="G359" s="1">
        <f t="shared" si="127"/>
        <v>74</v>
      </c>
      <c r="H359">
        <v>207</v>
      </c>
      <c r="I359">
        <v>1994</v>
      </c>
      <c r="J359">
        <v>2012</v>
      </c>
      <c r="K359" s="1">
        <f t="shared" si="128"/>
        <v>18</v>
      </c>
      <c r="L359" t="s">
        <v>41</v>
      </c>
      <c r="M359" t="s">
        <v>44</v>
      </c>
      <c r="N359" s="2">
        <v>49</v>
      </c>
      <c r="O359" s="5">
        <v>24</v>
      </c>
      <c r="P359" s="5">
        <v>31</v>
      </c>
      <c r="Q359" s="3">
        <f t="shared" si="129"/>
        <v>55</v>
      </c>
      <c r="R359" s="4">
        <v>69</v>
      </c>
      <c r="S359" s="2">
        <v>51</v>
      </c>
      <c r="T359" s="5">
        <v>21</v>
      </c>
      <c r="U359" s="5">
        <v>28</v>
      </c>
      <c r="V359" s="3">
        <f t="shared" si="130"/>
        <v>49</v>
      </c>
      <c r="W359" s="4">
        <v>46</v>
      </c>
      <c r="X359">
        <f>O359/N359</f>
        <v>0.48979591836734693</v>
      </c>
      <c r="Y359">
        <f>T359/S359</f>
        <v>0.41176470588235292</v>
      </c>
      <c r="Z359">
        <f>X359-Y359</f>
        <v>7.8031212484994006E-2</v>
      </c>
      <c r="AA359">
        <f>P359/N359</f>
        <v>0.63265306122448983</v>
      </c>
      <c r="AB359">
        <f>U359/S359</f>
        <v>0.5490196078431373</v>
      </c>
      <c r="AC359">
        <f>AA359-AB359</f>
        <v>8.3633453381352529E-2</v>
      </c>
      <c r="AD359">
        <f>Q359/N359</f>
        <v>1.1224489795918366</v>
      </c>
      <c r="AE359">
        <f>V359/S359</f>
        <v>0.96078431372549022</v>
      </c>
      <c r="AF359">
        <f>AD359-AE359</f>
        <v>0.16166466586634642</v>
      </c>
      <c r="AG359">
        <v>0</v>
      </c>
      <c r="AH359" s="14">
        <v>9.2970521541950113</v>
      </c>
      <c r="AI359" s="14">
        <v>13.573696145124716</v>
      </c>
      <c r="AJ359" s="14">
        <v>22.870748299319729</v>
      </c>
      <c r="AK359" s="14">
        <v>23.056689342403626</v>
      </c>
      <c r="AL359" s="3" t="s">
        <v>608</v>
      </c>
    </row>
    <row r="360" spans="1:41">
      <c r="A360" s="6" t="s">
        <v>135</v>
      </c>
      <c r="B360" t="s">
        <v>396</v>
      </c>
      <c r="C360">
        <v>13</v>
      </c>
      <c r="D360" t="s">
        <v>34</v>
      </c>
      <c r="E360">
        <v>6</v>
      </c>
      <c r="F360">
        <v>3</v>
      </c>
      <c r="G360" s="1">
        <f t="shared" si="127"/>
        <v>75</v>
      </c>
      <c r="H360">
        <v>205</v>
      </c>
      <c r="I360">
        <v>1981</v>
      </c>
      <c r="J360">
        <v>2000</v>
      </c>
      <c r="K360" s="1">
        <f t="shared" si="128"/>
        <v>19</v>
      </c>
      <c r="L360" t="s">
        <v>42</v>
      </c>
      <c r="M360" t="s">
        <v>44</v>
      </c>
      <c r="N360" s="2">
        <v>37</v>
      </c>
      <c r="O360" s="5">
        <v>4</v>
      </c>
      <c r="P360" s="5">
        <v>9</v>
      </c>
      <c r="Q360" s="5">
        <f t="shared" si="129"/>
        <v>13</v>
      </c>
      <c r="R360" s="4">
        <v>24</v>
      </c>
      <c r="S360" s="2">
        <v>54</v>
      </c>
      <c r="T360" s="5">
        <v>7</v>
      </c>
      <c r="U360" s="5">
        <v>13</v>
      </c>
      <c r="V360" s="5">
        <f t="shared" si="130"/>
        <v>20</v>
      </c>
      <c r="W360" s="4">
        <v>53</v>
      </c>
      <c r="X360">
        <f>O360/N360</f>
        <v>0.10810810810810811</v>
      </c>
      <c r="Y360">
        <f>T360/S360</f>
        <v>0.12962962962962962</v>
      </c>
      <c r="Z360">
        <f>X360-Y360</f>
        <v>-2.1521521521521508E-2</v>
      </c>
      <c r="AA360">
        <f>P360/N360</f>
        <v>0.24324324324324326</v>
      </c>
      <c r="AB360">
        <f>U360/S360</f>
        <v>0.24074074074074073</v>
      </c>
      <c r="AC360">
        <f>AA360-AB360</f>
        <v>2.5025025025025294E-3</v>
      </c>
      <c r="AD360">
        <f>Q360/N360</f>
        <v>0.35135135135135137</v>
      </c>
      <c r="AE360">
        <f>V360/S360</f>
        <v>0.37037037037037035</v>
      </c>
      <c r="AF360">
        <f>AD360-AE360</f>
        <v>-1.9019019019018979E-2</v>
      </c>
      <c r="AG360">
        <v>0</v>
      </c>
      <c r="AH360" s="14">
        <v>4.4385321100917432</v>
      </c>
      <c r="AI360" s="14">
        <v>18.355963302752293</v>
      </c>
      <c r="AJ360" s="14">
        <v>22.794495412844039</v>
      </c>
      <c r="AK360" s="14">
        <v>32.72477064220184</v>
      </c>
      <c r="AL360" s="5" t="s">
        <v>611</v>
      </c>
      <c r="AM360" s="22">
        <v>-1</v>
      </c>
      <c r="AN360" s="22">
        <v>25</v>
      </c>
      <c r="AO360">
        <f>AM360/AN360</f>
        <v>-0.04</v>
      </c>
    </row>
    <row r="361" spans="1:41">
      <c r="A361" t="s">
        <v>266</v>
      </c>
      <c r="B361" t="s">
        <v>277</v>
      </c>
      <c r="C361">
        <v>31</v>
      </c>
      <c r="D361" t="s">
        <v>34</v>
      </c>
      <c r="E361">
        <v>6</v>
      </c>
      <c r="F361">
        <v>1</v>
      </c>
      <c r="G361" s="1">
        <f t="shared" si="127"/>
        <v>73</v>
      </c>
      <c r="H361">
        <v>210</v>
      </c>
      <c r="I361">
        <v>1996</v>
      </c>
      <c r="J361">
        <v>2014</v>
      </c>
      <c r="K361" s="1">
        <f t="shared" si="128"/>
        <v>18</v>
      </c>
      <c r="L361" t="s">
        <v>41</v>
      </c>
      <c r="M361" t="s">
        <v>44</v>
      </c>
      <c r="N361" s="2">
        <v>65</v>
      </c>
      <c r="O361" s="5">
        <v>27</v>
      </c>
      <c r="P361" s="5">
        <v>26</v>
      </c>
      <c r="Q361" s="5">
        <f t="shared" si="129"/>
        <v>53</v>
      </c>
      <c r="R361" s="4">
        <v>145</v>
      </c>
      <c r="S361" s="2">
        <v>53</v>
      </c>
      <c r="T361" s="5">
        <v>7</v>
      </c>
      <c r="U361" s="5">
        <v>9</v>
      </c>
      <c r="V361" s="5">
        <f t="shared" si="130"/>
        <v>16</v>
      </c>
      <c r="W361" s="4">
        <v>86</v>
      </c>
      <c r="X361">
        <f>O361/N361</f>
        <v>0.41538461538461541</v>
      </c>
      <c r="Y361">
        <f>T361/S361</f>
        <v>0.13207547169811321</v>
      </c>
      <c r="Z361">
        <f>X361-Y361</f>
        <v>0.28330914368650217</v>
      </c>
      <c r="AA361">
        <f>P361/N361</f>
        <v>0.4</v>
      </c>
      <c r="AB361">
        <f>U361/S361</f>
        <v>0.16981132075471697</v>
      </c>
      <c r="AC361">
        <f>AA361-AB361</f>
        <v>0.23018867924528305</v>
      </c>
      <c r="AD361">
        <f>Q361/N361</f>
        <v>0.81538461538461537</v>
      </c>
      <c r="AE361">
        <f>V361/S361</f>
        <v>0.30188679245283018</v>
      </c>
      <c r="AF361">
        <f>AD361-AE361</f>
        <v>0.51349782293178525</v>
      </c>
      <c r="AG361">
        <v>0</v>
      </c>
      <c r="AH361" s="14">
        <v>12.755555555555555</v>
      </c>
      <c r="AI361" s="14">
        <v>10.022222222222222</v>
      </c>
      <c r="AJ361" s="14">
        <v>22.777777777777779</v>
      </c>
      <c r="AK361" s="14">
        <v>164.9111111111111</v>
      </c>
      <c r="AL361" s="3" t="s">
        <v>600</v>
      </c>
    </row>
    <row r="362" spans="1:41">
      <c r="A362" t="s">
        <v>576</v>
      </c>
      <c r="B362" t="s">
        <v>577</v>
      </c>
      <c r="C362">
        <v>90</v>
      </c>
      <c r="D362" t="s">
        <v>35</v>
      </c>
      <c r="E362">
        <v>6</v>
      </c>
      <c r="F362">
        <v>1</v>
      </c>
      <c r="G362" s="1">
        <f t="shared" si="127"/>
        <v>73</v>
      </c>
      <c r="H362">
        <v>205</v>
      </c>
      <c r="I362">
        <v>1996</v>
      </c>
      <c r="J362">
        <v>2014</v>
      </c>
      <c r="K362" s="1">
        <f t="shared" si="128"/>
        <v>18</v>
      </c>
      <c r="L362" t="s">
        <v>41</v>
      </c>
      <c r="M362" t="s">
        <v>43</v>
      </c>
      <c r="N362" s="2">
        <v>64</v>
      </c>
      <c r="O362" s="5">
        <v>12</v>
      </c>
      <c r="P362" s="5">
        <v>26</v>
      </c>
      <c r="Q362" s="5">
        <f t="shared" si="129"/>
        <v>38</v>
      </c>
      <c r="R362" s="4">
        <v>14</v>
      </c>
      <c r="S362" s="2">
        <v>63</v>
      </c>
      <c r="T362" s="5">
        <v>6</v>
      </c>
      <c r="U362" s="5">
        <v>13</v>
      </c>
      <c r="V362" s="5">
        <f t="shared" si="130"/>
        <v>19</v>
      </c>
      <c r="W362" s="4">
        <v>8</v>
      </c>
      <c r="AG362">
        <v>0</v>
      </c>
      <c r="AH362" s="14">
        <v>11.366336633663368</v>
      </c>
      <c r="AI362" s="14">
        <v>11.366336633663368</v>
      </c>
      <c r="AJ362" s="14">
        <v>22.732673267326735</v>
      </c>
      <c r="AK362" s="14">
        <v>14.613861386138614</v>
      </c>
      <c r="AL362" s="5" t="s">
        <v>600</v>
      </c>
    </row>
    <row r="363" spans="1:41">
      <c r="A363" s="6" t="s">
        <v>17</v>
      </c>
      <c r="B363" t="s">
        <v>22</v>
      </c>
      <c r="C363">
        <v>90</v>
      </c>
      <c r="D363" t="s">
        <v>36</v>
      </c>
      <c r="E363">
        <v>6</v>
      </c>
      <c r="F363">
        <v>2</v>
      </c>
      <c r="G363" s="1">
        <f t="shared" si="127"/>
        <v>74</v>
      </c>
      <c r="H363">
        <v>202</v>
      </c>
      <c r="I363">
        <v>1995</v>
      </c>
      <c r="J363">
        <v>2013</v>
      </c>
      <c r="K363" s="1">
        <f t="shared" si="128"/>
        <v>18</v>
      </c>
      <c r="L363" t="s">
        <v>41</v>
      </c>
      <c r="M363" t="s">
        <v>44</v>
      </c>
      <c r="N363" s="2">
        <f>11+8+6+4+38+2+6</f>
        <v>75</v>
      </c>
      <c r="O363" s="3">
        <f>2+17+5+3+3+4</f>
        <v>34</v>
      </c>
      <c r="P363" s="3">
        <f>5+20+4+5+3+5</f>
        <v>42</v>
      </c>
      <c r="Q363" s="3">
        <f t="shared" si="129"/>
        <v>76</v>
      </c>
      <c r="R363" s="4">
        <f>18</f>
        <v>18</v>
      </c>
      <c r="S363" s="2">
        <f>8+12+12+5+6</f>
        <v>43</v>
      </c>
      <c r="T363" s="3">
        <f>2+8+7+6</f>
        <v>23</v>
      </c>
      <c r="U363" s="3">
        <f>2+8+7+3+2</f>
        <v>22</v>
      </c>
      <c r="V363" s="3">
        <f t="shared" si="130"/>
        <v>45</v>
      </c>
      <c r="W363" s="4">
        <f>18</f>
        <v>18</v>
      </c>
      <c r="X363">
        <f>O363/N363</f>
        <v>0.45333333333333331</v>
      </c>
      <c r="Y363">
        <f>T363/S363</f>
        <v>0.53488372093023251</v>
      </c>
      <c r="Z363">
        <f>X363-Y363</f>
        <v>-8.1550387596899199E-2</v>
      </c>
      <c r="AA363">
        <f>P363/N363</f>
        <v>0.56000000000000005</v>
      </c>
      <c r="AB363">
        <f>U363/S363</f>
        <v>0.51162790697674421</v>
      </c>
      <c r="AC363">
        <f>AA363-AB363</f>
        <v>4.8372093023255847E-2</v>
      </c>
      <c r="AD363">
        <f>Q363/N363</f>
        <v>1.0133333333333334</v>
      </c>
      <c r="AE363">
        <f>V363/S363</f>
        <v>1.0465116279069768</v>
      </c>
      <c r="AF363">
        <f>AD363-AE363</f>
        <v>-3.3178294573643408E-2</v>
      </c>
      <c r="AG363">
        <v>0</v>
      </c>
      <c r="AH363" s="14">
        <v>10.25</v>
      </c>
      <c r="AI363" s="14">
        <v>12.299999999999999</v>
      </c>
      <c r="AJ363" s="14">
        <v>22.549999999999997</v>
      </c>
      <c r="AK363" s="14">
        <v>20.5</v>
      </c>
      <c r="AL363" s="3" t="s">
        <v>65</v>
      </c>
    </row>
    <row r="364" spans="1:41">
      <c r="A364" t="s">
        <v>397</v>
      </c>
      <c r="B364" t="s">
        <v>401</v>
      </c>
      <c r="C364">
        <v>29</v>
      </c>
      <c r="D364" t="s">
        <v>35</v>
      </c>
      <c r="E364">
        <v>6</v>
      </c>
      <c r="F364">
        <v>2</v>
      </c>
      <c r="G364" s="1">
        <f t="shared" si="127"/>
        <v>74</v>
      </c>
      <c r="H364">
        <v>200</v>
      </c>
      <c r="I364">
        <v>1995</v>
      </c>
      <c r="J364">
        <v>2013</v>
      </c>
      <c r="K364" s="1">
        <f t="shared" si="128"/>
        <v>18</v>
      </c>
      <c r="L364" t="s">
        <v>41</v>
      </c>
      <c r="M364" t="s">
        <v>44</v>
      </c>
      <c r="N364" s="2">
        <v>69</v>
      </c>
      <c r="O364" s="5">
        <v>18</v>
      </c>
      <c r="P364" s="5">
        <v>30</v>
      </c>
      <c r="Q364" s="5">
        <f t="shared" si="129"/>
        <v>48</v>
      </c>
      <c r="R364" s="4">
        <v>35</v>
      </c>
      <c r="S364" s="2">
        <v>63</v>
      </c>
      <c r="T364" s="5">
        <v>13</v>
      </c>
      <c r="U364" s="5">
        <v>22</v>
      </c>
      <c r="V364" s="5">
        <f t="shared" si="130"/>
        <v>35</v>
      </c>
      <c r="W364" s="4">
        <v>24</v>
      </c>
      <c r="X364">
        <f>O364/N364</f>
        <v>0.2608695652173913</v>
      </c>
      <c r="AA364">
        <f>P364/N364</f>
        <v>0.43478260869565216</v>
      </c>
      <c r="AD364">
        <f>Q364/N364</f>
        <v>0.69565217391304346</v>
      </c>
      <c r="AG364">
        <v>0</v>
      </c>
      <c r="AH364" s="14">
        <v>7.935483870967742</v>
      </c>
      <c r="AI364" s="14">
        <v>14.548387096774192</v>
      </c>
      <c r="AJ364" s="14">
        <v>22.483870967741936</v>
      </c>
      <c r="AK364" s="14">
        <v>27.774193548387096</v>
      </c>
      <c r="AL364" s="5" t="s">
        <v>600</v>
      </c>
    </row>
    <row r="365" spans="1:41">
      <c r="A365" s="6" t="s">
        <v>135</v>
      </c>
      <c r="B365" t="s">
        <v>140</v>
      </c>
      <c r="C365">
        <v>48</v>
      </c>
      <c r="D365" t="s">
        <v>37</v>
      </c>
      <c r="E365">
        <v>6</v>
      </c>
      <c r="F365">
        <v>1</v>
      </c>
      <c r="G365" s="1">
        <f t="shared" si="127"/>
        <v>73</v>
      </c>
      <c r="H365">
        <v>196</v>
      </c>
      <c r="I365">
        <v>1997</v>
      </c>
      <c r="J365">
        <v>2015</v>
      </c>
      <c r="K365" s="1">
        <f t="shared" si="128"/>
        <v>18</v>
      </c>
      <c r="L365" t="s">
        <v>41</v>
      </c>
      <c r="M365" t="s">
        <v>44</v>
      </c>
      <c r="N365" s="2">
        <v>64</v>
      </c>
      <c r="O365" s="5">
        <v>33</v>
      </c>
      <c r="P365" s="5">
        <v>42</v>
      </c>
      <c r="Q365" s="5">
        <f t="shared" si="129"/>
        <v>75</v>
      </c>
      <c r="R365" s="4">
        <v>42</v>
      </c>
      <c r="S365" s="2">
        <v>51</v>
      </c>
      <c r="T365" s="5">
        <v>17</v>
      </c>
      <c r="U365" s="5">
        <v>27</v>
      </c>
      <c r="V365" s="5">
        <f t="shared" si="130"/>
        <v>44</v>
      </c>
      <c r="W365" s="4">
        <v>26</v>
      </c>
      <c r="X365">
        <f>O365/N365</f>
        <v>0.515625</v>
      </c>
      <c r="Y365">
        <f>T365/S365</f>
        <v>0.33333333333333331</v>
      </c>
      <c r="Z365">
        <f>X365-Y365</f>
        <v>0.18229166666666669</v>
      </c>
      <c r="AA365">
        <f>P365/N365</f>
        <v>0.65625</v>
      </c>
      <c r="AB365">
        <f>U365/S365</f>
        <v>0.52941176470588236</v>
      </c>
      <c r="AC365">
        <f>AA365-AB365</f>
        <v>0.12683823529411764</v>
      </c>
      <c r="AD365">
        <f>Q365/N365</f>
        <v>1.171875</v>
      </c>
      <c r="AE365">
        <f>V365/S365</f>
        <v>0.86274509803921573</v>
      </c>
      <c r="AF365">
        <f>AD365-AE365</f>
        <v>0.30912990196078427</v>
      </c>
      <c r="AG365">
        <v>0</v>
      </c>
      <c r="AH365" s="14">
        <v>8.8648648648648649</v>
      </c>
      <c r="AI365" s="14">
        <v>13.297297297297298</v>
      </c>
      <c r="AJ365" s="14">
        <v>22.162162162162161</v>
      </c>
      <c r="AK365" s="14">
        <v>35.45945945945946</v>
      </c>
      <c r="AL365" s="5" t="s">
        <v>614</v>
      </c>
    </row>
    <row r="366" spans="1:41">
      <c r="A366" t="s">
        <v>498</v>
      </c>
      <c r="B366" t="s">
        <v>502</v>
      </c>
      <c r="C366">
        <v>149</v>
      </c>
      <c r="D366" t="s">
        <v>34</v>
      </c>
      <c r="E366">
        <v>6</v>
      </c>
      <c r="F366">
        <v>1</v>
      </c>
      <c r="G366" s="1">
        <f t="shared" si="127"/>
        <v>73</v>
      </c>
      <c r="H366">
        <v>184</v>
      </c>
      <c r="I366">
        <v>1996</v>
      </c>
      <c r="J366">
        <v>2015</v>
      </c>
      <c r="K366" s="1">
        <f t="shared" si="128"/>
        <v>19</v>
      </c>
      <c r="L366" t="s">
        <v>41</v>
      </c>
      <c r="M366" t="s">
        <v>43</v>
      </c>
      <c r="N366" s="2">
        <v>50</v>
      </c>
      <c r="O366" s="5">
        <v>13</v>
      </c>
      <c r="P366" s="5">
        <v>17</v>
      </c>
      <c r="Q366" s="5">
        <f t="shared" si="129"/>
        <v>30</v>
      </c>
      <c r="R366" s="4">
        <v>55</v>
      </c>
      <c r="S366" s="2">
        <v>27</v>
      </c>
      <c r="T366" s="5">
        <v>29</v>
      </c>
      <c r="U366" s="5">
        <v>38</v>
      </c>
      <c r="V366" s="5">
        <f t="shared" si="130"/>
        <v>67</v>
      </c>
      <c r="W366" s="4">
        <v>0</v>
      </c>
      <c r="AG366">
        <v>0</v>
      </c>
      <c r="AH366" s="14">
        <v>9.9729729729729737</v>
      </c>
      <c r="AI366" s="14">
        <v>12.189189189189189</v>
      </c>
      <c r="AJ366" s="14">
        <v>22.162162162162161</v>
      </c>
      <c r="AK366" s="14">
        <v>24.378378378378379</v>
      </c>
      <c r="AL366" s="5" t="s">
        <v>608</v>
      </c>
    </row>
    <row r="367" spans="1:41">
      <c r="A367" t="s">
        <v>445</v>
      </c>
      <c r="B367" t="s">
        <v>459</v>
      </c>
      <c r="C367">
        <v>20</v>
      </c>
      <c r="D367" t="s">
        <v>65</v>
      </c>
      <c r="E367">
        <v>6</v>
      </c>
      <c r="F367">
        <v>1</v>
      </c>
      <c r="G367" s="1">
        <f t="shared" si="127"/>
        <v>73</v>
      </c>
      <c r="H367">
        <v>208</v>
      </c>
      <c r="I367">
        <v>1997</v>
      </c>
      <c r="J367">
        <v>2015</v>
      </c>
      <c r="K367" s="1">
        <f t="shared" si="128"/>
        <v>18</v>
      </c>
      <c r="L367" t="s">
        <v>41</v>
      </c>
      <c r="M367" t="s">
        <v>44</v>
      </c>
      <c r="N367" s="2">
        <f>19+5+5+25+34+1</f>
        <v>89</v>
      </c>
      <c r="O367" s="3">
        <f>15+5+3+21+4</f>
        <v>48</v>
      </c>
      <c r="P367" s="3">
        <f>7+1+1+11+2</f>
        <v>22</v>
      </c>
      <c r="Q367" s="5">
        <f t="shared" si="129"/>
        <v>70</v>
      </c>
      <c r="R367" s="4">
        <f>10+2+20+4</f>
        <v>36</v>
      </c>
      <c r="S367" s="2">
        <f>5+1+13+19+14+11</f>
        <v>63</v>
      </c>
      <c r="T367" s="3">
        <f>1+2+16+6+2</f>
        <v>27</v>
      </c>
      <c r="U367" s="3">
        <f>2+9+9+3</f>
        <v>23</v>
      </c>
      <c r="V367" s="5">
        <f t="shared" si="130"/>
        <v>50</v>
      </c>
      <c r="W367" s="4">
        <f>4+8+14+2</f>
        <v>28</v>
      </c>
      <c r="AG367">
        <v>0</v>
      </c>
      <c r="AH367" s="14">
        <v>8.3473053892215567</v>
      </c>
      <c r="AI367" s="14">
        <v>13.748502994011975</v>
      </c>
      <c r="AJ367" s="14">
        <v>22.095808383233532</v>
      </c>
      <c r="AK367" s="14">
        <v>23.568862275449099</v>
      </c>
      <c r="AL367" s="5" t="s">
        <v>618</v>
      </c>
    </row>
    <row r="368" spans="1:41">
      <c r="A368" s="6" t="s">
        <v>17</v>
      </c>
      <c r="B368" t="s">
        <v>26</v>
      </c>
      <c r="C368">
        <v>85</v>
      </c>
      <c r="D368" t="s">
        <v>34</v>
      </c>
      <c r="E368">
        <v>5</v>
      </c>
      <c r="F368">
        <v>9</v>
      </c>
      <c r="G368" s="1">
        <f t="shared" si="127"/>
        <v>69</v>
      </c>
      <c r="H368">
        <v>174</v>
      </c>
      <c r="I368">
        <v>1994</v>
      </c>
      <c r="J368">
        <v>2012</v>
      </c>
      <c r="K368" s="1">
        <f t="shared" si="128"/>
        <v>18</v>
      </c>
      <c r="L368" t="s">
        <v>42</v>
      </c>
      <c r="M368" t="s">
        <v>44</v>
      </c>
      <c r="N368" s="2">
        <f>60+6+24</f>
        <v>90</v>
      </c>
      <c r="O368" s="5">
        <v>5</v>
      </c>
      <c r="P368" s="5">
        <v>30</v>
      </c>
      <c r="Q368" s="3">
        <f t="shared" si="129"/>
        <v>35</v>
      </c>
      <c r="R368" s="4">
        <v>30</v>
      </c>
      <c r="S368" s="2">
        <f>55+36+5</f>
        <v>96</v>
      </c>
      <c r="T368" s="5">
        <v>4</v>
      </c>
      <c r="U368" s="5">
        <v>30</v>
      </c>
      <c r="V368" s="3">
        <f t="shared" si="130"/>
        <v>34</v>
      </c>
      <c r="W368" s="4">
        <v>70</v>
      </c>
      <c r="X368">
        <f>O368/N368</f>
        <v>5.5555555555555552E-2</v>
      </c>
      <c r="Y368">
        <f>T368/S368</f>
        <v>4.1666666666666664E-2</v>
      </c>
      <c r="Z368">
        <f>X368-Y368</f>
        <v>1.3888888888888888E-2</v>
      </c>
      <c r="AA368">
        <f>P368/N368</f>
        <v>0.33333333333333331</v>
      </c>
      <c r="AB368">
        <f>U368/S368</f>
        <v>0.3125</v>
      </c>
      <c r="AC368">
        <f>AA368-AB368</f>
        <v>2.0833333333333315E-2</v>
      </c>
      <c r="AD368">
        <f>Q368/N368</f>
        <v>0.3888888888888889</v>
      </c>
      <c r="AE368">
        <f>V368/S368</f>
        <v>0.35416666666666669</v>
      </c>
      <c r="AF368">
        <f>AD368-AE368</f>
        <v>3.472222222222221E-2</v>
      </c>
      <c r="AG368">
        <v>0</v>
      </c>
      <c r="AH368" s="14">
        <v>4.3443708609271523</v>
      </c>
      <c r="AI368" s="14">
        <v>17.377483443708609</v>
      </c>
      <c r="AJ368" s="14">
        <v>21.721854304635762</v>
      </c>
      <c r="AK368" s="14">
        <v>55.390728476821195</v>
      </c>
      <c r="AL368" s="3" t="s">
        <v>608</v>
      </c>
      <c r="AM368" s="22">
        <v>-1</v>
      </c>
      <c r="AN368" s="22">
        <v>819</v>
      </c>
      <c r="AO368">
        <f>AM368/AN368</f>
        <v>-1.221001221001221E-3</v>
      </c>
    </row>
    <row r="369" spans="1:41">
      <c r="A369" s="6" t="s">
        <v>49</v>
      </c>
      <c r="B369" t="s">
        <v>53</v>
      </c>
      <c r="C369">
        <v>54</v>
      </c>
      <c r="D369" t="s">
        <v>34</v>
      </c>
      <c r="E369">
        <v>6</v>
      </c>
      <c r="F369">
        <v>4</v>
      </c>
      <c r="G369" s="1">
        <f t="shared" si="127"/>
        <v>76</v>
      </c>
      <c r="H369">
        <v>205</v>
      </c>
      <c r="I369">
        <v>1992</v>
      </c>
      <c r="J369">
        <v>2010</v>
      </c>
      <c r="K369" s="1">
        <f t="shared" si="128"/>
        <v>18</v>
      </c>
      <c r="L369" t="s">
        <v>42</v>
      </c>
      <c r="M369" t="s">
        <v>43</v>
      </c>
      <c r="N369" s="2">
        <v>25</v>
      </c>
      <c r="O369" s="3">
        <v>17</v>
      </c>
      <c r="P369" s="3">
        <v>14</v>
      </c>
      <c r="Q369" s="3">
        <f t="shared" si="129"/>
        <v>31</v>
      </c>
      <c r="R369" s="4">
        <v>8</v>
      </c>
      <c r="S369" s="2">
        <v>28</v>
      </c>
      <c r="T369" s="3">
        <v>1</v>
      </c>
      <c r="U369" s="3">
        <v>6</v>
      </c>
      <c r="V369" s="3">
        <f t="shared" si="130"/>
        <v>7</v>
      </c>
      <c r="W369" s="4">
        <v>4</v>
      </c>
      <c r="X369">
        <f>O369/N369</f>
        <v>0.68</v>
      </c>
      <c r="Y369">
        <f>T369/S369</f>
        <v>3.5714285714285712E-2</v>
      </c>
      <c r="Z369">
        <f>X369-Y369</f>
        <v>0.64428571428571435</v>
      </c>
      <c r="AA369">
        <f>P369/N369</f>
        <v>0.56000000000000005</v>
      </c>
      <c r="AB369">
        <f>U369/S369</f>
        <v>0.21428571428571427</v>
      </c>
      <c r="AC369">
        <f>AA369-AB369</f>
        <v>0.34571428571428575</v>
      </c>
      <c r="AD369">
        <f>Q369/N369</f>
        <v>1.24</v>
      </c>
      <c r="AE369">
        <f>V369/S369</f>
        <v>0.25</v>
      </c>
      <c r="AF369">
        <f>AD369-AE369</f>
        <v>0.99</v>
      </c>
      <c r="AG369">
        <v>0</v>
      </c>
      <c r="AH369" s="14">
        <v>7.235294117647058</v>
      </c>
      <c r="AI369" s="14">
        <v>14.470588235294116</v>
      </c>
      <c r="AJ369" s="14">
        <v>21.705882352941174</v>
      </c>
      <c r="AK369" s="14">
        <v>33.764705882352942</v>
      </c>
      <c r="AL369" s="3" t="s">
        <v>603</v>
      </c>
    </row>
    <row r="370" spans="1:41">
      <c r="A370" t="s">
        <v>461</v>
      </c>
      <c r="B370" t="s">
        <v>462</v>
      </c>
      <c r="C370">
        <v>174</v>
      </c>
      <c r="D370" t="s">
        <v>35</v>
      </c>
      <c r="E370">
        <v>5</v>
      </c>
      <c r="F370">
        <v>10</v>
      </c>
      <c r="G370" s="1">
        <f t="shared" si="127"/>
        <v>70</v>
      </c>
      <c r="H370">
        <v>176</v>
      </c>
      <c r="I370">
        <v>1992</v>
      </c>
      <c r="J370">
        <v>2011</v>
      </c>
      <c r="K370" s="1">
        <f t="shared" si="128"/>
        <v>19</v>
      </c>
      <c r="L370" t="s">
        <v>41</v>
      </c>
      <c r="M370" t="s">
        <v>43</v>
      </c>
      <c r="N370" s="2">
        <v>46</v>
      </c>
      <c r="O370" s="5">
        <v>35</v>
      </c>
      <c r="P370" s="5">
        <v>53</v>
      </c>
      <c r="Q370" s="5">
        <f t="shared" si="129"/>
        <v>88</v>
      </c>
      <c r="R370" s="4">
        <v>89</v>
      </c>
      <c r="S370" s="2">
        <v>49</v>
      </c>
      <c r="T370" s="5">
        <v>29</v>
      </c>
      <c r="U370" s="5">
        <v>35</v>
      </c>
      <c r="V370" s="5">
        <f t="shared" si="130"/>
        <v>64</v>
      </c>
      <c r="W370" s="4">
        <v>108</v>
      </c>
      <c r="AG370">
        <v>0</v>
      </c>
      <c r="AH370" s="14">
        <v>12.058823529411764</v>
      </c>
      <c r="AI370" s="14">
        <v>9.6470588235294112</v>
      </c>
      <c r="AJ370" s="14">
        <v>21.705882352941174</v>
      </c>
      <c r="AK370" s="14">
        <v>27.735294117647058</v>
      </c>
      <c r="AL370" s="5" t="s">
        <v>603</v>
      </c>
      <c r="AM370" s="22">
        <v>-1</v>
      </c>
      <c r="AN370" s="22">
        <v>31</v>
      </c>
      <c r="AO370">
        <f t="shared" ref="AO370:AO372" si="134">AM370/AN370</f>
        <v>-3.2258064516129031E-2</v>
      </c>
    </row>
    <row r="371" spans="1:41">
      <c r="A371" t="s">
        <v>525</v>
      </c>
      <c r="B371" t="s">
        <v>537</v>
      </c>
      <c r="C371">
        <v>69</v>
      </c>
      <c r="D371" t="s">
        <v>35</v>
      </c>
      <c r="E371">
        <v>6</v>
      </c>
      <c r="F371">
        <v>3</v>
      </c>
      <c r="G371" s="1">
        <f t="shared" si="127"/>
        <v>75</v>
      </c>
      <c r="H371">
        <v>210</v>
      </c>
      <c r="I371">
        <v>1990</v>
      </c>
      <c r="J371">
        <v>2008</v>
      </c>
      <c r="K371" s="1">
        <f t="shared" si="128"/>
        <v>18</v>
      </c>
      <c r="L371" t="s">
        <v>42</v>
      </c>
      <c r="M371" t="s">
        <v>43</v>
      </c>
      <c r="N371" s="2">
        <v>71</v>
      </c>
      <c r="O371" s="5">
        <v>10</v>
      </c>
      <c r="P371" s="5">
        <v>25</v>
      </c>
      <c r="Q371" s="5">
        <f t="shared" si="129"/>
        <v>35</v>
      </c>
      <c r="R371" s="4">
        <v>28</v>
      </c>
      <c r="S371" s="2">
        <v>55</v>
      </c>
      <c r="T371" s="5">
        <v>2</v>
      </c>
      <c r="U371" s="5">
        <v>18</v>
      </c>
      <c r="V371" s="5">
        <f t="shared" si="130"/>
        <v>20</v>
      </c>
      <c r="W371" s="4">
        <v>32</v>
      </c>
      <c r="AG371">
        <v>0</v>
      </c>
      <c r="AH371" s="14">
        <v>5.454545454545455</v>
      </c>
      <c r="AI371" s="14">
        <v>16.181818181818183</v>
      </c>
      <c r="AJ371" s="14">
        <v>21.636363636363637</v>
      </c>
      <c r="AK371" s="14">
        <v>46.909090909090914</v>
      </c>
      <c r="AL371" s="5" t="s">
        <v>599</v>
      </c>
      <c r="AM371" s="22">
        <v>-1</v>
      </c>
      <c r="AN371" s="22">
        <v>775</v>
      </c>
      <c r="AO371">
        <f t="shared" si="134"/>
        <v>-1.2903225806451613E-3</v>
      </c>
    </row>
    <row r="372" spans="1:41">
      <c r="A372" t="s">
        <v>461</v>
      </c>
      <c r="B372" t="s">
        <v>463</v>
      </c>
      <c r="C372">
        <v>124</v>
      </c>
      <c r="D372" t="s">
        <v>35</v>
      </c>
      <c r="E372">
        <v>5</v>
      </c>
      <c r="F372">
        <v>11</v>
      </c>
      <c r="G372" s="1">
        <f t="shared" si="127"/>
        <v>71</v>
      </c>
      <c r="H372">
        <v>198</v>
      </c>
      <c r="I372">
        <v>1997</v>
      </c>
      <c r="J372">
        <v>2015</v>
      </c>
      <c r="K372" s="1">
        <f t="shared" si="128"/>
        <v>18</v>
      </c>
      <c r="L372" t="s">
        <v>42</v>
      </c>
      <c r="M372" t="s">
        <v>43</v>
      </c>
      <c r="N372" s="2">
        <v>69</v>
      </c>
      <c r="O372" s="5">
        <v>13</v>
      </c>
      <c r="P372" s="5">
        <v>25</v>
      </c>
      <c r="Q372" s="5">
        <f t="shared" si="129"/>
        <v>38</v>
      </c>
      <c r="R372" s="4">
        <v>23</v>
      </c>
      <c r="S372" s="2">
        <v>58</v>
      </c>
      <c r="T372" s="5">
        <v>6</v>
      </c>
      <c r="U372" s="5">
        <v>13</v>
      </c>
      <c r="V372" s="5">
        <f t="shared" si="130"/>
        <v>19</v>
      </c>
      <c r="W372" s="4">
        <v>18</v>
      </c>
      <c r="AG372">
        <v>0</v>
      </c>
      <c r="AH372" s="14">
        <v>7.8095238095238093</v>
      </c>
      <c r="AI372" s="14">
        <v>13.666666666666666</v>
      </c>
      <c r="AJ372" s="14">
        <v>21.476190476190474</v>
      </c>
      <c r="AK372" s="14">
        <v>50.761904761904759</v>
      </c>
      <c r="AL372" s="3" t="s">
        <v>599</v>
      </c>
      <c r="AM372" s="22">
        <v>-2</v>
      </c>
      <c r="AN372" s="22">
        <v>274</v>
      </c>
      <c r="AO372">
        <f t="shared" si="134"/>
        <v>-7.2992700729927005E-3</v>
      </c>
    </row>
    <row r="373" spans="1:41">
      <c r="A373" t="s">
        <v>234</v>
      </c>
      <c r="B373" t="s">
        <v>239</v>
      </c>
      <c r="C373">
        <v>67</v>
      </c>
      <c r="D373" t="s">
        <v>35</v>
      </c>
      <c r="E373">
        <v>6</v>
      </c>
      <c r="F373">
        <v>2</v>
      </c>
      <c r="G373" s="1">
        <f t="shared" si="127"/>
        <v>74</v>
      </c>
      <c r="H373">
        <v>198</v>
      </c>
      <c r="I373">
        <v>1996</v>
      </c>
      <c r="J373">
        <v>2014</v>
      </c>
      <c r="K373" s="1">
        <f t="shared" si="128"/>
        <v>18</v>
      </c>
      <c r="L373" t="s">
        <v>41</v>
      </c>
      <c r="M373" t="s">
        <v>44</v>
      </c>
      <c r="N373" s="2">
        <v>44</v>
      </c>
      <c r="O373" s="5">
        <v>47</v>
      </c>
      <c r="P373" s="5">
        <v>40</v>
      </c>
      <c r="Q373" s="5">
        <f t="shared" si="129"/>
        <v>87</v>
      </c>
      <c r="R373" s="4">
        <v>55</v>
      </c>
      <c r="S373" s="2">
        <v>50</v>
      </c>
      <c r="T373" s="5">
        <v>32</v>
      </c>
      <c r="U373" s="5">
        <v>29</v>
      </c>
      <c r="V373" s="5">
        <f t="shared" si="130"/>
        <v>61</v>
      </c>
      <c r="W373" s="4">
        <v>40</v>
      </c>
      <c r="X373">
        <f>O373/N373</f>
        <v>1.0681818181818181</v>
      </c>
      <c r="Y373">
        <f>T373/S373</f>
        <v>0.64</v>
      </c>
      <c r="Z373">
        <f>X373-Y373</f>
        <v>0.42818181818181811</v>
      </c>
      <c r="AA373">
        <f>P373/N373</f>
        <v>0.90909090909090906</v>
      </c>
      <c r="AB373">
        <f>U373/S373</f>
        <v>0.57999999999999996</v>
      </c>
      <c r="AC373">
        <f>AA373-AB373</f>
        <v>0.3290909090909091</v>
      </c>
      <c r="AD373">
        <f>Q373/N373</f>
        <v>1.9772727272727273</v>
      </c>
      <c r="AE373">
        <f>V373/S373</f>
        <v>1.22</v>
      </c>
      <c r="AF373">
        <f>AD373-AE373</f>
        <v>0.75727272727272732</v>
      </c>
      <c r="AG373">
        <v>0</v>
      </c>
      <c r="AH373" s="14">
        <v>12.299999999999999</v>
      </c>
      <c r="AI373" s="14">
        <v>9.02</v>
      </c>
      <c r="AJ373" s="14">
        <v>21.32</v>
      </c>
      <c r="AK373" s="14">
        <v>24.599999999999998</v>
      </c>
      <c r="AL373" s="3" t="s">
        <v>617</v>
      </c>
    </row>
    <row r="374" spans="1:41">
      <c r="A374" t="s">
        <v>354</v>
      </c>
      <c r="B374" t="s">
        <v>352</v>
      </c>
      <c r="C374">
        <v>18</v>
      </c>
      <c r="D374" t="s">
        <v>34</v>
      </c>
      <c r="E374">
        <v>6</v>
      </c>
      <c r="F374">
        <v>4</v>
      </c>
      <c r="G374" s="1">
        <f t="shared" si="127"/>
        <v>76</v>
      </c>
      <c r="H374">
        <v>204</v>
      </c>
      <c r="I374">
        <v>1992</v>
      </c>
      <c r="J374">
        <v>2010</v>
      </c>
      <c r="K374" s="1">
        <f t="shared" si="128"/>
        <v>18</v>
      </c>
      <c r="L374" t="s">
        <v>41</v>
      </c>
      <c r="M374" t="s">
        <v>43</v>
      </c>
      <c r="N374" s="2">
        <v>59</v>
      </c>
      <c r="O374" s="5">
        <v>22</v>
      </c>
      <c r="P374" s="5">
        <v>35</v>
      </c>
      <c r="Q374" s="5">
        <f t="shared" si="129"/>
        <v>57</v>
      </c>
      <c r="R374" s="4">
        <v>55</v>
      </c>
      <c r="S374" s="2">
        <v>63</v>
      </c>
      <c r="T374" s="5">
        <v>10</v>
      </c>
      <c r="U374" s="5">
        <v>19</v>
      </c>
      <c r="V374" s="5">
        <f t="shared" si="130"/>
        <v>29</v>
      </c>
      <c r="W374" s="4">
        <v>41</v>
      </c>
      <c r="X374">
        <f>O374/N374</f>
        <v>0.3728813559322034</v>
      </c>
      <c r="Y374">
        <f>T374/S374</f>
        <v>0.15873015873015872</v>
      </c>
      <c r="Z374">
        <f>X374-Y374</f>
        <v>0.21415119720204467</v>
      </c>
      <c r="AA374">
        <f>P374/N374</f>
        <v>0.59322033898305082</v>
      </c>
      <c r="AB374">
        <f>U374/S374</f>
        <v>0.30158730158730157</v>
      </c>
      <c r="AC374">
        <f>AA374-AB374</f>
        <v>0.29163303739574925</v>
      </c>
      <c r="AD374">
        <f>Q374/N374</f>
        <v>0.96610169491525422</v>
      </c>
      <c r="AE374">
        <f>V374/S374</f>
        <v>0.46031746031746029</v>
      </c>
      <c r="AF374">
        <f>AD374-AE374</f>
        <v>0.50578423459779387</v>
      </c>
      <c r="AG374">
        <v>0</v>
      </c>
      <c r="AH374" s="14">
        <v>9.8759124087591257</v>
      </c>
      <c r="AI374" s="14">
        <v>10.773722627737227</v>
      </c>
      <c r="AJ374" s="14">
        <v>20.649635036496353</v>
      </c>
      <c r="AK374" s="14">
        <v>91.875912408759135</v>
      </c>
      <c r="AL374" s="5" t="s">
        <v>600</v>
      </c>
    </row>
    <row r="375" spans="1:41">
      <c r="A375" t="s">
        <v>413</v>
      </c>
      <c r="B375" t="s">
        <v>419</v>
      </c>
      <c r="C375">
        <v>14</v>
      </c>
      <c r="D375" t="s">
        <v>66</v>
      </c>
      <c r="E375">
        <v>6</v>
      </c>
      <c r="F375">
        <v>1</v>
      </c>
      <c r="G375" s="1">
        <f t="shared" si="127"/>
        <v>73</v>
      </c>
      <c r="H375">
        <v>204</v>
      </c>
      <c r="I375">
        <v>1990</v>
      </c>
      <c r="J375">
        <v>2009</v>
      </c>
      <c r="K375" s="1">
        <f t="shared" si="128"/>
        <v>19</v>
      </c>
      <c r="L375" t="s">
        <v>42</v>
      </c>
      <c r="M375" t="s">
        <v>44</v>
      </c>
      <c r="N375" s="2">
        <v>64</v>
      </c>
      <c r="O375" s="5">
        <v>12</v>
      </c>
      <c r="P375" s="5">
        <v>54</v>
      </c>
      <c r="Q375" s="5">
        <f t="shared" si="129"/>
        <v>66</v>
      </c>
      <c r="R375" s="4">
        <v>50</v>
      </c>
      <c r="S375" s="2">
        <v>6</v>
      </c>
      <c r="T375" s="5">
        <v>0</v>
      </c>
      <c r="U375" s="5">
        <v>2</v>
      </c>
      <c r="V375" s="5">
        <f t="shared" si="130"/>
        <v>2</v>
      </c>
      <c r="W375" s="4">
        <v>6</v>
      </c>
      <c r="AG375">
        <v>0</v>
      </c>
      <c r="AH375" s="14">
        <v>4.3024691358024691</v>
      </c>
      <c r="AI375" s="14">
        <v>16.324074074074076</v>
      </c>
      <c r="AJ375" s="14">
        <v>20.626543209876544</v>
      </c>
      <c r="AK375" s="14">
        <v>52.262345679012348</v>
      </c>
      <c r="AL375" s="3" t="s">
        <v>614</v>
      </c>
      <c r="AM375" s="22">
        <v>-2</v>
      </c>
      <c r="AN375" s="22">
        <v>732</v>
      </c>
      <c r="AO375">
        <f t="shared" ref="AO375:AO376" si="135">AM375/AN375</f>
        <v>-2.7322404371584699E-3</v>
      </c>
    </row>
    <row r="376" spans="1:41">
      <c r="A376" s="6" t="s">
        <v>49</v>
      </c>
      <c r="B376" t="s">
        <v>63</v>
      </c>
      <c r="C376">
        <v>125</v>
      </c>
      <c r="D376" t="s">
        <v>67</v>
      </c>
      <c r="E376">
        <v>5</v>
      </c>
      <c r="F376">
        <v>10</v>
      </c>
      <c r="G376" s="1">
        <f t="shared" si="127"/>
        <v>70</v>
      </c>
      <c r="H376">
        <v>192</v>
      </c>
      <c r="I376">
        <v>1996</v>
      </c>
      <c r="J376">
        <v>2015</v>
      </c>
      <c r="K376" s="1">
        <f t="shared" si="128"/>
        <v>19</v>
      </c>
      <c r="L376" t="s">
        <v>41</v>
      </c>
      <c r="M376" t="s">
        <v>44</v>
      </c>
      <c r="N376" s="2">
        <f>66</f>
        <v>66</v>
      </c>
      <c r="O376" s="3">
        <v>19</v>
      </c>
      <c r="P376" s="3">
        <v>71</v>
      </c>
      <c r="Q376" s="3">
        <f t="shared" si="129"/>
        <v>90</v>
      </c>
      <c r="R376" s="4">
        <v>54</v>
      </c>
      <c r="S376" s="2">
        <f>4+3+40+6+8</f>
        <v>61</v>
      </c>
      <c r="T376" s="3">
        <f>12+2</f>
        <v>14</v>
      </c>
      <c r="U376" s="3">
        <v>36</v>
      </c>
      <c r="V376" s="3">
        <f t="shared" si="130"/>
        <v>50</v>
      </c>
      <c r="W376" s="4">
        <f>22+25</f>
        <v>47</v>
      </c>
      <c r="X376">
        <f t="shared" ref="X376:X381" si="136">O376/N376</f>
        <v>0.2878787878787879</v>
      </c>
      <c r="Y376">
        <f t="shared" ref="Y376:Y381" si="137">T376/S376</f>
        <v>0.22950819672131148</v>
      </c>
      <c r="Z376">
        <f t="shared" ref="Z376:Z381" si="138">X376-Y376</f>
        <v>5.837059115747642E-2</v>
      </c>
      <c r="AA376">
        <f t="shared" ref="AA376:AA381" si="139">P376/N376</f>
        <v>1.0757575757575757</v>
      </c>
      <c r="AB376">
        <f t="shared" ref="AB376:AB381" si="140">U376/S376</f>
        <v>0.5901639344262295</v>
      </c>
      <c r="AC376">
        <f t="shared" ref="AC376:AC381" si="141">AA376-AB376</f>
        <v>0.48559364133134619</v>
      </c>
      <c r="AD376">
        <f t="shared" ref="AD376:AD381" si="142">Q376/N376</f>
        <v>1.3636363636363635</v>
      </c>
      <c r="AE376">
        <f t="shared" ref="AE376:AE381" si="143">V376/S376</f>
        <v>0.81967213114754101</v>
      </c>
      <c r="AF376">
        <f t="shared" ref="AF376:AF381" si="144">AD376-AE376</f>
        <v>0.54396423248882253</v>
      </c>
      <c r="AG376">
        <v>0</v>
      </c>
      <c r="AH376" s="14">
        <v>5.125</v>
      </c>
      <c r="AI376" s="14">
        <v>15.375</v>
      </c>
      <c r="AJ376" s="14">
        <v>20.5</v>
      </c>
      <c r="AK376" s="14">
        <v>30.75</v>
      </c>
      <c r="AL376" s="5" t="s">
        <v>614</v>
      </c>
      <c r="AM376" s="22">
        <v>-2</v>
      </c>
      <c r="AN376" s="22">
        <v>610</v>
      </c>
      <c r="AO376">
        <f t="shared" si="135"/>
        <v>-3.2786885245901639E-3</v>
      </c>
    </row>
    <row r="377" spans="1:41">
      <c r="A377" t="s">
        <v>169</v>
      </c>
      <c r="B377" t="s">
        <v>175</v>
      </c>
      <c r="C377">
        <v>66</v>
      </c>
      <c r="D377" t="s">
        <v>36</v>
      </c>
      <c r="E377">
        <v>6</v>
      </c>
      <c r="F377">
        <v>0</v>
      </c>
      <c r="G377" s="1">
        <f t="shared" si="127"/>
        <v>72</v>
      </c>
      <c r="H377">
        <v>204</v>
      </c>
      <c r="I377">
        <v>1990</v>
      </c>
      <c r="J377">
        <v>2010</v>
      </c>
      <c r="K377" s="1">
        <f t="shared" si="128"/>
        <v>20</v>
      </c>
      <c r="L377" t="s">
        <v>42</v>
      </c>
      <c r="M377" t="s">
        <v>43</v>
      </c>
      <c r="N377" s="2">
        <v>65</v>
      </c>
      <c r="O377" s="5">
        <v>7</v>
      </c>
      <c r="P377" s="5">
        <v>30</v>
      </c>
      <c r="Q377" s="5">
        <f t="shared" si="129"/>
        <v>37</v>
      </c>
      <c r="R377" s="4">
        <v>151</v>
      </c>
      <c r="S377" s="2">
        <v>48</v>
      </c>
      <c r="T377" s="5">
        <v>1</v>
      </c>
      <c r="U377" s="5">
        <v>8</v>
      </c>
      <c r="V377" s="5">
        <f t="shared" si="130"/>
        <v>9</v>
      </c>
      <c r="W377" s="4">
        <v>120</v>
      </c>
      <c r="X377">
        <f t="shared" si="136"/>
        <v>0.1076923076923077</v>
      </c>
      <c r="Y377">
        <f t="shared" si="137"/>
        <v>2.0833333333333332E-2</v>
      </c>
      <c r="Z377">
        <f t="shared" si="138"/>
        <v>8.685897435897437E-2</v>
      </c>
      <c r="AA377">
        <f t="shared" si="139"/>
        <v>0.46153846153846156</v>
      </c>
      <c r="AB377">
        <f t="shared" si="140"/>
        <v>0.16666666666666666</v>
      </c>
      <c r="AC377">
        <f t="shared" si="141"/>
        <v>0.29487179487179493</v>
      </c>
      <c r="AD377">
        <f t="shared" si="142"/>
        <v>0.56923076923076921</v>
      </c>
      <c r="AE377">
        <f t="shared" si="143"/>
        <v>0.1875</v>
      </c>
      <c r="AF377">
        <f t="shared" si="144"/>
        <v>0.38173076923076921</v>
      </c>
      <c r="AG377">
        <v>0</v>
      </c>
      <c r="AH377" s="14">
        <v>4.4727272727272727</v>
      </c>
      <c r="AI377" s="14">
        <v>16.027272727272727</v>
      </c>
      <c r="AJ377" s="14">
        <v>20.5</v>
      </c>
      <c r="AK377" s="14">
        <v>112.19090909090909</v>
      </c>
      <c r="AL377" s="5" t="s">
        <v>599</v>
      </c>
    </row>
    <row r="378" spans="1:41">
      <c r="A378" t="s">
        <v>188</v>
      </c>
      <c r="B378" t="s">
        <v>200</v>
      </c>
      <c r="C378">
        <v>65</v>
      </c>
      <c r="D378" t="s">
        <v>35</v>
      </c>
      <c r="E378">
        <v>6</v>
      </c>
      <c r="F378">
        <v>3</v>
      </c>
      <c r="G378" s="1">
        <f t="shared" si="127"/>
        <v>75</v>
      </c>
      <c r="H378">
        <v>218</v>
      </c>
      <c r="I378">
        <v>1994</v>
      </c>
      <c r="J378">
        <v>2012</v>
      </c>
      <c r="K378" s="1">
        <f t="shared" si="128"/>
        <v>18</v>
      </c>
      <c r="L378" t="s">
        <v>42</v>
      </c>
      <c r="M378" t="s">
        <v>44</v>
      </c>
      <c r="N378" s="2">
        <v>44</v>
      </c>
      <c r="O378" s="5">
        <v>2</v>
      </c>
      <c r="P378" s="5">
        <v>18</v>
      </c>
      <c r="Q378" s="5">
        <f t="shared" si="129"/>
        <v>20</v>
      </c>
      <c r="R378" s="4">
        <v>52</v>
      </c>
      <c r="S378" s="2">
        <v>65</v>
      </c>
      <c r="T378" s="5">
        <v>1</v>
      </c>
      <c r="U378" s="5">
        <v>12</v>
      </c>
      <c r="V378" s="5">
        <f t="shared" si="130"/>
        <v>13</v>
      </c>
      <c r="W378" s="4">
        <v>27</v>
      </c>
      <c r="X378">
        <f t="shared" si="136"/>
        <v>4.5454545454545456E-2</v>
      </c>
      <c r="Y378">
        <f t="shared" si="137"/>
        <v>1.5384615384615385E-2</v>
      </c>
      <c r="Z378">
        <f t="shared" si="138"/>
        <v>3.006993006993007E-2</v>
      </c>
      <c r="AA378">
        <f t="shared" si="139"/>
        <v>0.40909090909090912</v>
      </c>
      <c r="AB378">
        <f t="shared" si="140"/>
        <v>0.18461538461538463</v>
      </c>
      <c r="AC378">
        <f t="shared" si="141"/>
        <v>0.22447552447552449</v>
      </c>
      <c r="AD378">
        <f t="shared" si="142"/>
        <v>0.45454545454545453</v>
      </c>
      <c r="AE378">
        <f t="shared" si="143"/>
        <v>0.2</v>
      </c>
      <c r="AF378">
        <f t="shared" si="144"/>
        <v>0.25454545454545452</v>
      </c>
      <c r="AG378">
        <v>0</v>
      </c>
      <c r="AH378" s="14">
        <v>4.3157894736842106</v>
      </c>
      <c r="AI378" s="14">
        <v>16.184210526315791</v>
      </c>
      <c r="AJ378" s="14">
        <v>20.5</v>
      </c>
      <c r="AK378" s="14">
        <v>23.736842105263158</v>
      </c>
      <c r="AL378" s="5" t="s">
        <v>600</v>
      </c>
      <c r="AM378" s="22">
        <v>-2</v>
      </c>
      <c r="AN378" s="22">
        <v>21</v>
      </c>
      <c r="AO378">
        <f t="shared" ref="AO378:AO380" si="145">AM378/AN378</f>
        <v>-9.5238095238095233E-2</v>
      </c>
    </row>
    <row r="379" spans="1:41">
      <c r="A379" t="s">
        <v>169</v>
      </c>
      <c r="B379" t="s">
        <v>179</v>
      </c>
      <c r="C379">
        <v>204</v>
      </c>
      <c r="D379" t="s">
        <v>35</v>
      </c>
      <c r="E379">
        <v>6</v>
      </c>
      <c r="F379">
        <v>0</v>
      </c>
      <c r="G379" s="1">
        <f t="shared" si="127"/>
        <v>72</v>
      </c>
      <c r="H379">
        <v>194</v>
      </c>
      <c r="I379">
        <v>1994</v>
      </c>
      <c r="J379">
        <v>2013</v>
      </c>
      <c r="K379" s="1">
        <f t="shared" si="128"/>
        <v>19</v>
      </c>
      <c r="L379" t="s">
        <v>42</v>
      </c>
      <c r="M379" t="s">
        <v>43</v>
      </c>
      <c r="N379" s="2">
        <v>69</v>
      </c>
      <c r="O379" s="5">
        <v>2</v>
      </c>
      <c r="P379" s="5">
        <v>24</v>
      </c>
      <c r="Q379" s="5">
        <f t="shared" si="129"/>
        <v>26</v>
      </c>
      <c r="R379" s="4">
        <v>131</v>
      </c>
      <c r="S379" s="2">
        <v>44</v>
      </c>
      <c r="T379" s="5">
        <v>0</v>
      </c>
      <c r="U379" s="5">
        <v>3</v>
      </c>
      <c r="V379" s="5">
        <f t="shared" si="130"/>
        <v>3</v>
      </c>
      <c r="W379" s="4">
        <v>46</v>
      </c>
      <c r="X379">
        <f t="shared" si="136"/>
        <v>2.8985507246376812E-2</v>
      </c>
      <c r="Y379">
        <f t="shared" si="137"/>
        <v>0</v>
      </c>
      <c r="Z379">
        <f t="shared" si="138"/>
        <v>2.8985507246376812E-2</v>
      </c>
      <c r="AA379">
        <f t="shared" si="139"/>
        <v>0.34782608695652173</v>
      </c>
      <c r="AB379">
        <f t="shared" si="140"/>
        <v>6.8181818181818177E-2</v>
      </c>
      <c r="AC379">
        <f t="shared" si="141"/>
        <v>0.27964426877470355</v>
      </c>
      <c r="AD379">
        <f t="shared" si="142"/>
        <v>0.37681159420289856</v>
      </c>
      <c r="AE379">
        <f t="shared" si="143"/>
        <v>6.8181818181818177E-2</v>
      </c>
      <c r="AF379">
        <f t="shared" si="144"/>
        <v>0.30862977602108038</v>
      </c>
      <c r="AG379">
        <v>0</v>
      </c>
      <c r="AH379" s="14">
        <v>10.25</v>
      </c>
      <c r="AI379" s="14">
        <v>10.25</v>
      </c>
      <c r="AJ379" s="14">
        <v>20.5</v>
      </c>
      <c r="AK379" s="14">
        <v>246</v>
      </c>
      <c r="AL379" s="5" t="s">
        <v>599</v>
      </c>
      <c r="AM379" s="22">
        <v>-2</v>
      </c>
      <c r="AN379" s="22">
        <v>59</v>
      </c>
      <c r="AO379">
        <f t="shared" si="145"/>
        <v>-3.3898305084745763E-2</v>
      </c>
    </row>
    <row r="380" spans="1:41">
      <c r="A380" t="s">
        <v>220</v>
      </c>
      <c r="B380" t="s">
        <v>221</v>
      </c>
      <c r="C380">
        <v>201</v>
      </c>
      <c r="D380" t="s">
        <v>34</v>
      </c>
      <c r="E380">
        <v>6</v>
      </c>
      <c r="F380">
        <v>2</v>
      </c>
      <c r="G380" s="1">
        <f t="shared" si="127"/>
        <v>74</v>
      </c>
      <c r="H380">
        <v>205</v>
      </c>
      <c r="I380">
        <v>1987</v>
      </c>
      <c r="J380">
        <v>2007</v>
      </c>
      <c r="K380" s="1">
        <f t="shared" si="128"/>
        <v>20</v>
      </c>
      <c r="L380" t="s">
        <v>42</v>
      </c>
      <c r="M380" t="s">
        <v>43</v>
      </c>
      <c r="N380" s="2">
        <v>39</v>
      </c>
      <c r="O380" s="5">
        <v>4</v>
      </c>
      <c r="P380" s="5">
        <v>10</v>
      </c>
      <c r="Q380" s="5">
        <f t="shared" si="129"/>
        <v>14</v>
      </c>
      <c r="R380" s="4">
        <v>20</v>
      </c>
      <c r="S380" s="2">
        <v>59</v>
      </c>
      <c r="T380" s="5">
        <v>2</v>
      </c>
      <c r="U380" s="5">
        <v>11</v>
      </c>
      <c r="V380" s="5">
        <f t="shared" si="130"/>
        <v>13</v>
      </c>
      <c r="W380" s="4">
        <v>69</v>
      </c>
      <c r="X380">
        <f t="shared" si="136"/>
        <v>0.10256410256410256</v>
      </c>
      <c r="Y380">
        <f t="shared" si="137"/>
        <v>3.3898305084745763E-2</v>
      </c>
      <c r="Z380">
        <f t="shared" si="138"/>
        <v>6.8665797479356805E-2</v>
      </c>
      <c r="AA380">
        <f t="shared" si="139"/>
        <v>0.25641025641025639</v>
      </c>
      <c r="AB380">
        <f t="shared" si="140"/>
        <v>0.1864406779661017</v>
      </c>
      <c r="AC380">
        <f t="shared" si="141"/>
        <v>6.996957844415469E-2</v>
      </c>
      <c r="AD380">
        <f t="shared" si="142"/>
        <v>0.35897435897435898</v>
      </c>
      <c r="AE380">
        <f t="shared" si="143"/>
        <v>0.22033898305084745</v>
      </c>
      <c r="AF380">
        <f t="shared" si="144"/>
        <v>0.13863537592351152</v>
      </c>
      <c r="AG380">
        <v>0</v>
      </c>
      <c r="AH380" s="14">
        <v>3.1287758346581875</v>
      </c>
      <c r="AI380" s="14">
        <v>17.338632750397455</v>
      </c>
      <c r="AJ380" s="14">
        <v>20.467408585055644</v>
      </c>
      <c r="AK380" s="14">
        <v>30.244833068362478</v>
      </c>
      <c r="AL380" s="3" t="s">
        <v>611</v>
      </c>
      <c r="AM380" s="22">
        <v>-3</v>
      </c>
      <c r="AN380" s="22">
        <v>634</v>
      </c>
      <c r="AO380">
        <f t="shared" si="145"/>
        <v>-4.7318611987381704E-3</v>
      </c>
    </row>
    <row r="381" spans="1:41">
      <c r="A381" t="s">
        <v>169</v>
      </c>
      <c r="B381" t="s">
        <v>173</v>
      </c>
      <c r="C381">
        <v>198</v>
      </c>
      <c r="D381" t="s">
        <v>34</v>
      </c>
      <c r="E381">
        <v>6</v>
      </c>
      <c r="F381">
        <v>2</v>
      </c>
      <c r="G381" s="1">
        <f t="shared" si="127"/>
        <v>74</v>
      </c>
      <c r="H381">
        <v>197</v>
      </c>
      <c r="I381">
        <v>1990</v>
      </c>
      <c r="J381">
        <v>2009</v>
      </c>
      <c r="K381" s="1">
        <f t="shared" si="128"/>
        <v>19</v>
      </c>
      <c r="L381" t="s">
        <v>41</v>
      </c>
      <c r="M381" t="s">
        <v>43</v>
      </c>
      <c r="N381" s="2">
        <v>46</v>
      </c>
      <c r="O381" s="5">
        <v>16</v>
      </c>
      <c r="P381" s="5">
        <v>33</v>
      </c>
      <c r="Q381" s="5">
        <f t="shared" si="129"/>
        <v>49</v>
      </c>
      <c r="R381" s="4">
        <v>73</v>
      </c>
      <c r="S381" s="2">
        <v>45</v>
      </c>
      <c r="T381" s="5">
        <v>15</v>
      </c>
      <c r="U381" s="5">
        <v>31</v>
      </c>
      <c r="V381" s="5">
        <f t="shared" si="130"/>
        <v>46</v>
      </c>
      <c r="W381" s="4">
        <v>38</v>
      </c>
      <c r="X381">
        <f t="shared" si="136"/>
        <v>0.34782608695652173</v>
      </c>
      <c r="Y381">
        <f t="shared" si="137"/>
        <v>0.33333333333333331</v>
      </c>
      <c r="Z381">
        <f t="shared" si="138"/>
        <v>1.4492753623188415E-2</v>
      </c>
      <c r="AA381">
        <f t="shared" si="139"/>
        <v>0.71739130434782605</v>
      </c>
      <c r="AB381">
        <f t="shared" si="140"/>
        <v>0.68888888888888888</v>
      </c>
      <c r="AC381">
        <f t="shared" si="141"/>
        <v>2.8502415458937169E-2</v>
      </c>
      <c r="AD381">
        <f t="shared" si="142"/>
        <v>1.0652173913043479</v>
      </c>
      <c r="AE381">
        <f t="shared" si="143"/>
        <v>1.0222222222222221</v>
      </c>
      <c r="AF381">
        <f t="shared" si="144"/>
        <v>4.299516908212575E-2</v>
      </c>
      <c r="AG381">
        <v>0</v>
      </c>
      <c r="AH381" s="14">
        <v>7.4545454545454541</v>
      </c>
      <c r="AI381" s="14">
        <v>12.947368421052632</v>
      </c>
      <c r="AJ381" s="14">
        <v>20.401913875598087</v>
      </c>
      <c r="AK381" s="14">
        <v>30.995215311004785</v>
      </c>
      <c r="AL381" s="3" t="s">
        <v>630</v>
      </c>
    </row>
    <row r="382" spans="1:41">
      <c r="A382" t="s">
        <v>430</v>
      </c>
      <c r="B382" t="s">
        <v>432</v>
      </c>
      <c r="C382">
        <v>12</v>
      </c>
      <c r="D382" t="s">
        <v>35</v>
      </c>
      <c r="E382">
        <v>6</v>
      </c>
      <c r="F382">
        <v>1</v>
      </c>
      <c r="G382" s="1">
        <f t="shared" si="127"/>
        <v>73</v>
      </c>
      <c r="H382">
        <v>195</v>
      </c>
      <c r="I382">
        <v>1991</v>
      </c>
      <c r="J382">
        <v>2009</v>
      </c>
      <c r="K382" s="1">
        <f t="shared" si="128"/>
        <v>18</v>
      </c>
      <c r="L382" t="s">
        <v>42</v>
      </c>
      <c r="M382" t="s">
        <v>44</v>
      </c>
      <c r="N382" s="2">
        <v>74</v>
      </c>
      <c r="O382" s="5">
        <v>8</v>
      </c>
      <c r="P382" s="5">
        <v>61</v>
      </c>
      <c r="Q382" s="5">
        <f t="shared" si="129"/>
        <v>69</v>
      </c>
      <c r="R382" s="4">
        <v>40</v>
      </c>
      <c r="S382" s="2">
        <v>58</v>
      </c>
      <c r="T382" s="5">
        <v>3</v>
      </c>
      <c r="U382" s="5">
        <v>39</v>
      </c>
      <c r="V382" s="5">
        <f t="shared" si="130"/>
        <v>42</v>
      </c>
      <c r="W382" s="4">
        <v>14</v>
      </c>
      <c r="AG382">
        <v>0</v>
      </c>
      <c r="AH382" s="14">
        <v>2.8844221105527641</v>
      </c>
      <c r="AI382" s="14">
        <v>17.512562814070353</v>
      </c>
      <c r="AJ382" s="14">
        <v>20.396984924623116</v>
      </c>
      <c r="AK382" s="14">
        <v>29.668341708542712</v>
      </c>
      <c r="AL382" s="3" t="s">
        <v>600</v>
      </c>
      <c r="AM382" s="22">
        <v>-3</v>
      </c>
      <c r="AN382" s="22">
        <v>111</v>
      </c>
      <c r="AO382">
        <f t="shared" ref="AO382:AO386" si="146">AM382/AN382</f>
        <v>-2.7027027027027029E-2</v>
      </c>
    </row>
    <row r="383" spans="1:41">
      <c r="A383" s="6" t="s">
        <v>121</v>
      </c>
      <c r="B383" t="s">
        <v>124</v>
      </c>
      <c r="C383">
        <v>8</v>
      </c>
      <c r="D383" t="s">
        <v>35</v>
      </c>
      <c r="E383">
        <v>6</v>
      </c>
      <c r="F383">
        <v>5</v>
      </c>
      <c r="G383" s="1">
        <f t="shared" si="127"/>
        <v>77</v>
      </c>
      <c r="H383">
        <v>223</v>
      </c>
      <c r="I383">
        <v>1985</v>
      </c>
      <c r="J383">
        <v>2003</v>
      </c>
      <c r="K383" s="1">
        <f t="shared" si="128"/>
        <v>18</v>
      </c>
      <c r="L383" t="s">
        <v>42</v>
      </c>
      <c r="M383" t="s">
        <v>44</v>
      </c>
      <c r="N383" s="2">
        <v>60</v>
      </c>
      <c r="O383" s="5">
        <v>3</v>
      </c>
      <c r="P383" s="5">
        <v>16</v>
      </c>
      <c r="Q383" s="5">
        <f t="shared" si="129"/>
        <v>19</v>
      </c>
      <c r="R383" s="4">
        <v>159</v>
      </c>
      <c r="S383" s="2">
        <v>78</v>
      </c>
      <c r="T383" s="5">
        <v>5</v>
      </c>
      <c r="U383" s="5">
        <v>42</v>
      </c>
      <c r="V383" s="5">
        <f t="shared" si="130"/>
        <v>47</v>
      </c>
      <c r="W383" s="4">
        <v>104</v>
      </c>
      <c r="X383">
        <f>O383/N383</f>
        <v>0.05</v>
      </c>
      <c r="Y383">
        <f>T383/S383</f>
        <v>6.4102564102564097E-2</v>
      </c>
      <c r="Z383">
        <f>X383-Y383</f>
        <v>-1.4102564102564094E-2</v>
      </c>
      <c r="AA383">
        <f>P383/N383</f>
        <v>0.26666666666666666</v>
      </c>
      <c r="AB383">
        <f>U383/S383</f>
        <v>0.53846153846153844</v>
      </c>
      <c r="AC383">
        <f>AA383-AB383</f>
        <v>-0.27179487179487177</v>
      </c>
      <c r="AD383">
        <f>Q383/N383</f>
        <v>0.31666666666666665</v>
      </c>
      <c r="AE383">
        <f>V383/S383</f>
        <v>0.60256410256410253</v>
      </c>
      <c r="AF383">
        <f>AD383-AE383</f>
        <v>-0.28589743589743588</v>
      </c>
      <c r="AG383">
        <v>0</v>
      </c>
      <c r="AH383" s="14">
        <v>4.2881536819637143</v>
      </c>
      <c r="AI383" s="14">
        <v>15.752401280683031</v>
      </c>
      <c r="AJ383" s="14">
        <v>20.040554962646745</v>
      </c>
      <c r="AK383" s="14">
        <v>60.734258271077913</v>
      </c>
      <c r="AL383" s="5" t="s">
        <v>599</v>
      </c>
      <c r="AM383" s="22">
        <v>-3</v>
      </c>
      <c r="AN383" s="22">
        <v>66</v>
      </c>
      <c r="AO383">
        <f t="shared" si="146"/>
        <v>-4.5454545454545456E-2</v>
      </c>
    </row>
    <row r="384" spans="1:41">
      <c r="A384" t="s">
        <v>251</v>
      </c>
      <c r="B384" t="s">
        <v>261</v>
      </c>
      <c r="C384">
        <v>189</v>
      </c>
      <c r="D384" t="s">
        <v>38</v>
      </c>
      <c r="E384">
        <v>6</v>
      </c>
      <c r="F384">
        <v>1</v>
      </c>
      <c r="G384" s="1">
        <f t="shared" si="127"/>
        <v>73</v>
      </c>
      <c r="H384">
        <v>187</v>
      </c>
      <c r="I384">
        <v>1994</v>
      </c>
      <c r="J384">
        <v>2015</v>
      </c>
      <c r="K384" s="1">
        <f t="shared" si="128"/>
        <v>21</v>
      </c>
      <c r="L384" t="s">
        <v>42</v>
      </c>
      <c r="M384" t="s">
        <v>44</v>
      </c>
      <c r="N384" s="2">
        <v>50</v>
      </c>
      <c r="O384" s="5">
        <v>2</v>
      </c>
      <c r="P384" s="5">
        <v>11</v>
      </c>
      <c r="Q384" s="5">
        <f t="shared" si="129"/>
        <v>13</v>
      </c>
      <c r="R384" s="4">
        <v>6</v>
      </c>
      <c r="S384" s="2">
        <v>39</v>
      </c>
      <c r="T384" s="5">
        <v>2</v>
      </c>
      <c r="U384" s="5">
        <v>13</v>
      </c>
      <c r="V384" s="5">
        <f t="shared" si="130"/>
        <v>15</v>
      </c>
      <c r="W384" s="4">
        <v>18</v>
      </c>
      <c r="X384">
        <f>O384/N384</f>
        <v>0.04</v>
      </c>
      <c r="Y384">
        <f>T384/S384</f>
        <v>5.128205128205128E-2</v>
      </c>
      <c r="Z384">
        <f>X384-Y384</f>
        <v>-1.1282051282051279E-2</v>
      </c>
      <c r="AA384">
        <f>P384/N384</f>
        <v>0.22</v>
      </c>
      <c r="AB384">
        <f>U384/S384</f>
        <v>0.33333333333333331</v>
      </c>
      <c r="AC384">
        <f>AA384-AB384</f>
        <v>-0.11333333333333331</v>
      </c>
      <c r="AD384">
        <f>Q384/N384</f>
        <v>0.26</v>
      </c>
      <c r="AE384">
        <f>V384/S384</f>
        <v>0.38461538461538464</v>
      </c>
      <c r="AF384">
        <f>AD384-AE384</f>
        <v>-0.12461538461538463</v>
      </c>
      <c r="AG384">
        <v>0</v>
      </c>
      <c r="AH384" s="14">
        <v>6.0460829493087553</v>
      </c>
      <c r="AI384" s="14">
        <v>13.981566820276496</v>
      </c>
      <c r="AJ384" s="14">
        <v>20.027649769585253</v>
      </c>
      <c r="AK384" s="14">
        <v>10.580645161290322</v>
      </c>
      <c r="AL384" s="3" t="s">
        <v>615</v>
      </c>
      <c r="AM384" s="22">
        <v>-4</v>
      </c>
      <c r="AN384" s="22">
        <v>273</v>
      </c>
      <c r="AO384">
        <f t="shared" si="146"/>
        <v>-1.4652014652014652E-2</v>
      </c>
    </row>
    <row r="385" spans="1:41">
      <c r="A385" t="s">
        <v>445</v>
      </c>
      <c r="B385" t="s">
        <v>446</v>
      </c>
      <c r="C385">
        <v>10</v>
      </c>
      <c r="D385" t="s">
        <v>65</v>
      </c>
      <c r="E385">
        <v>6</v>
      </c>
      <c r="F385">
        <v>1</v>
      </c>
      <c r="G385" s="1">
        <f t="shared" si="127"/>
        <v>73</v>
      </c>
      <c r="H385">
        <v>198</v>
      </c>
      <c r="I385">
        <v>1993</v>
      </c>
      <c r="J385">
        <v>2011</v>
      </c>
      <c r="K385" s="1">
        <f t="shared" si="128"/>
        <v>18</v>
      </c>
      <c r="L385" t="s">
        <v>42</v>
      </c>
      <c r="M385" t="s">
        <v>44</v>
      </c>
      <c r="N385" s="2">
        <f>42+2+42+4</f>
        <v>90</v>
      </c>
      <c r="O385" s="3">
        <f>0</f>
        <v>0</v>
      </c>
      <c r="P385" s="5">
        <v>10</v>
      </c>
      <c r="Q385" s="5">
        <f t="shared" si="129"/>
        <v>10</v>
      </c>
      <c r="R385" s="4">
        <v>28</v>
      </c>
      <c r="S385" s="2">
        <f>3+2+21+3+19</f>
        <v>48</v>
      </c>
      <c r="T385" s="3">
        <f>7</f>
        <v>7</v>
      </c>
      <c r="U385" s="5">
        <v>18</v>
      </c>
      <c r="V385" s="5">
        <f t="shared" si="130"/>
        <v>25</v>
      </c>
      <c r="W385" s="4">
        <v>22</v>
      </c>
      <c r="AG385">
        <v>0</v>
      </c>
      <c r="AH385" s="14">
        <v>4.6811023622047241</v>
      </c>
      <c r="AI385" s="14">
        <v>15.334645669291337</v>
      </c>
      <c r="AJ385" s="14">
        <v>20.015748031496063</v>
      </c>
      <c r="AK385" s="14">
        <v>22.921259842519685</v>
      </c>
      <c r="AL385" s="3" t="s">
        <v>605</v>
      </c>
      <c r="AM385" s="22">
        <v>-4</v>
      </c>
      <c r="AN385" s="22">
        <v>205</v>
      </c>
      <c r="AO385">
        <f t="shared" si="146"/>
        <v>-1.9512195121951219E-2</v>
      </c>
    </row>
    <row r="386" spans="1:41">
      <c r="A386" t="s">
        <v>461</v>
      </c>
      <c r="B386" t="s">
        <v>471</v>
      </c>
      <c r="C386">
        <v>4</v>
      </c>
      <c r="D386" t="s">
        <v>65</v>
      </c>
      <c r="E386">
        <v>6</v>
      </c>
      <c r="F386">
        <v>3</v>
      </c>
      <c r="G386" s="1">
        <f t="shared" ref="G386:G449" si="147">E386*12+F386</f>
        <v>75</v>
      </c>
      <c r="H386">
        <v>208</v>
      </c>
      <c r="I386">
        <v>1992</v>
      </c>
      <c r="J386">
        <v>2011</v>
      </c>
      <c r="K386" s="1">
        <f t="shared" ref="K386:K449" si="148">J386-I386</f>
        <v>19</v>
      </c>
      <c r="L386" t="s">
        <v>42</v>
      </c>
      <c r="M386" t="s">
        <v>43</v>
      </c>
      <c r="N386" s="2">
        <v>37</v>
      </c>
      <c r="O386" s="5">
        <v>1</v>
      </c>
      <c r="P386" s="5">
        <v>8</v>
      </c>
      <c r="Q386" s="5">
        <f t="shared" ref="Q386:Q449" si="149">O386+P386</f>
        <v>9</v>
      </c>
      <c r="R386" s="4">
        <v>41</v>
      </c>
      <c r="V386" s="5">
        <f t="shared" si="130"/>
        <v>0</v>
      </c>
      <c r="AG386">
        <v>0</v>
      </c>
      <c r="AH386" s="14">
        <v>3.2800000000000002</v>
      </c>
      <c r="AI386" s="14">
        <v>16.564</v>
      </c>
      <c r="AJ386" s="14">
        <v>19.844000000000001</v>
      </c>
      <c r="AK386" s="14">
        <v>47.231999999999999</v>
      </c>
      <c r="AL386" s="5" t="s">
        <v>605</v>
      </c>
      <c r="AM386" s="22">
        <v>-4</v>
      </c>
      <c r="AN386" s="22">
        <v>26</v>
      </c>
      <c r="AO386">
        <f t="shared" si="146"/>
        <v>-0.15384615384615385</v>
      </c>
    </row>
    <row r="387" spans="1:41">
      <c r="A387" t="s">
        <v>478</v>
      </c>
      <c r="B387" t="s">
        <v>480</v>
      </c>
      <c r="C387">
        <v>11</v>
      </c>
      <c r="D387" t="s">
        <v>35</v>
      </c>
      <c r="E387">
        <v>6</v>
      </c>
      <c r="F387">
        <v>4</v>
      </c>
      <c r="G387" s="1">
        <f t="shared" si="147"/>
        <v>76</v>
      </c>
      <c r="H387">
        <v>220</v>
      </c>
      <c r="I387">
        <v>1997</v>
      </c>
      <c r="J387">
        <v>2015</v>
      </c>
      <c r="K387" s="1">
        <f t="shared" si="148"/>
        <v>18</v>
      </c>
      <c r="L387" t="s">
        <v>41</v>
      </c>
      <c r="M387" t="s">
        <v>44</v>
      </c>
      <c r="N387" s="2">
        <f>5+3+1+56+7</f>
        <v>72</v>
      </c>
      <c r="O387" s="3">
        <f>6+1+29+1</f>
        <v>37</v>
      </c>
      <c r="P387" s="3">
        <f>22+2</f>
        <v>24</v>
      </c>
      <c r="Q387" s="5">
        <f t="shared" si="149"/>
        <v>61</v>
      </c>
      <c r="R387" s="4">
        <f>8+4+70</f>
        <v>82</v>
      </c>
      <c r="S387" s="2">
        <v>75</v>
      </c>
      <c r="T387" s="5">
        <v>18</v>
      </c>
      <c r="U387" s="5">
        <v>14</v>
      </c>
      <c r="V387" s="5">
        <f t="shared" ref="V387:V450" si="150">T387+U387</f>
        <v>32</v>
      </c>
      <c r="W387" s="4">
        <v>64</v>
      </c>
      <c r="AG387">
        <v>0</v>
      </c>
      <c r="AH387" s="14">
        <v>9.258064516129032</v>
      </c>
      <c r="AI387" s="14">
        <v>10.580645161290322</v>
      </c>
      <c r="AJ387" s="14">
        <v>19.838709677419356</v>
      </c>
      <c r="AK387" s="14">
        <v>60.397849462365592</v>
      </c>
      <c r="AL387" s="3" t="s">
        <v>600</v>
      </c>
    </row>
    <row r="388" spans="1:41">
      <c r="A388" s="6" t="s">
        <v>135</v>
      </c>
      <c r="B388" t="s">
        <v>141</v>
      </c>
      <c r="C388">
        <v>179</v>
      </c>
      <c r="D388" t="s">
        <v>35</v>
      </c>
      <c r="E388">
        <v>6</v>
      </c>
      <c r="F388">
        <v>1</v>
      </c>
      <c r="G388" s="1">
        <f t="shared" si="147"/>
        <v>73</v>
      </c>
      <c r="H388">
        <v>195</v>
      </c>
      <c r="I388">
        <v>1993</v>
      </c>
      <c r="J388">
        <v>2011</v>
      </c>
      <c r="K388" s="1">
        <f t="shared" si="148"/>
        <v>18</v>
      </c>
      <c r="L388" t="s">
        <v>42</v>
      </c>
      <c r="M388" t="s">
        <v>43</v>
      </c>
      <c r="N388" s="2">
        <v>67</v>
      </c>
      <c r="O388" s="5">
        <v>3</v>
      </c>
      <c r="P388" s="5">
        <v>24</v>
      </c>
      <c r="Q388" s="5">
        <f t="shared" si="149"/>
        <v>27</v>
      </c>
      <c r="R388" s="4">
        <v>70</v>
      </c>
      <c r="S388" s="2">
        <v>20</v>
      </c>
      <c r="T388" s="5">
        <v>0</v>
      </c>
      <c r="U388" s="5">
        <v>1</v>
      </c>
      <c r="V388" s="5">
        <f t="shared" si="150"/>
        <v>1</v>
      </c>
      <c r="W388" s="4">
        <v>12</v>
      </c>
      <c r="X388">
        <f>O388/N388</f>
        <v>4.4776119402985072E-2</v>
      </c>
      <c r="Y388">
        <f>T388/S388</f>
        <v>0</v>
      </c>
      <c r="Z388">
        <f>X388-Y388</f>
        <v>4.4776119402985072E-2</v>
      </c>
      <c r="AA388">
        <f>P388/N388</f>
        <v>0.35820895522388058</v>
      </c>
      <c r="AB388">
        <f>U388/S388</f>
        <v>0.05</v>
      </c>
      <c r="AC388">
        <f>AA388-AB388</f>
        <v>0.30820895522388059</v>
      </c>
      <c r="AD388">
        <f>Q388/N388</f>
        <v>0.40298507462686567</v>
      </c>
      <c r="AE388">
        <f>V388/S388</f>
        <v>0.05</v>
      </c>
      <c r="AF388">
        <f>AD388-AE388</f>
        <v>0.35298507462686568</v>
      </c>
      <c r="AG388">
        <v>0</v>
      </c>
      <c r="AH388" s="14">
        <v>2.4741379310344827</v>
      </c>
      <c r="AI388" s="14">
        <v>17.318965517241377</v>
      </c>
      <c r="AJ388" s="14">
        <v>19.793103448275861</v>
      </c>
      <c r="AK388" s="14">
        <v>37.818965517241381</v>
      </c>
      <c r="AL388" s="5" t="s">
        <v>600</v>
      </c>
      <c r="AM388" s="22">
        <v>-5</v>
      </c>
      <c r="AN388" s="22">
        <v>137</v>
      </c>
      <c r="AO388">
        <f t="shared" ref="AO388:AO390" si="151">AM388/AN388</f>
        <v>-3.6496350364963501E-2</v>
      </c>
    </row>
    <row r="389" spans="1:41">
      <c r="A389" t="s">
        <v>322</v>
      </c>
      <c r="B389" t="s">
        <v>325</v>
      </c>
      <c r="C389">
        <v>18</v>
      </c>
      <c r="D389" t="s">
        <v>34</v>
      </c>
      <c r="E389">
        <v>6</v>
      </c>
      <c r="F389">
        <v>1</v>
      </c>
      <c r="G389" s="1">
        <f t="shared" si="147"/>
        <v>73</v>
      </c>
      <c r="H389">
        <v>225</v>
      </c>
      <c r="I389">
        <v>1989</v>
      </c>
      <c r="J389">
        <v>2007</v>
      </c>
      <c r="K389" s="1">
        <f t="shared" si="148"/>
        <v>18</v>
      </c>
      <c r="L389" t="s">
        <v>42</v>
      </c>
      <c r="M389" t="s">
        <v>44</v>
      </c>
      <c r="N389" s="2">
        <f>42+16+7</f>
        <v>65</v>
      </c>
      <c r="O389" s="5">
        <v>12</v>
      </c>
      <c r="P389" s="5">
        <v>19</v>
      </c>
      <c r="Q389" s="5">
        <f t="shared" si="149"/>
        <v>31</v>
      </c>
      <c r="R389" s="4">
        <v>70</v>
      </c>
      <c r="S389" s="2">
        <v>58</v>
      </c>
      <c r="T389" s="5">
        <v>4</v>
      </c>
      <c r="U389" s="5">
        <v>9</v>
      </c>
      <c r="V389" s="5">
        <f t="shared" si="150"/>
        <v>13</v>
      </c>
      <c r="W389" s="4">
        <v>89</v>
      </c>
      <c r="X389">
        <f>O389/N389</f>
        <v>0.18461538461538463</v>
      </c>
      <c r="Y389">
        <f>T389/S389</f>
        <v>6.8965517241379309E-2</v>
      </c>
      <c r="Z389">
        <f>X389-Y389</f>
        <v>0.11564986737400532</v>
      </c>
      <c r="AA389">
        <f>P389/N389</f>
        <v>0.29230769230769232</v>
      </c>
      <c r="AB389">
        <f>U389/S389</f>
        <v>0.15517241379310345</v>
      </c>
      <c r="AC389">
        <f>AA389-AB389</f>
        <v>0.13713527851458887</v>
      </c>
      <c r="AD389">
        <f>Q389/N389</f>
        <v>0.47692307692307695</v>
      </c>
      <c r="AE389">
        <f>V389/S389</f>
        <v>0.22413793103448276</v>
      </c>
      <c r="AF389">
        <f>AD389-AE389</f>
        <v>0.25278514588859419</v>
      </c>
      <c r="AG389">
        <v>0</v>
      </c>
      <c r="AH389" s="14">
        <v>3.6592292089249492</v>
      </c>
      <c r="AI389" s="14">
        <v>16.133874239350913</v>
      </c>
      <c r="AJ389" s="14">
        <v>19.793103448275861</v>
      </c>
      <c r="AK389" s="14">
        <v>81.667342799188646</v>
      </c>
      <c r="AL389" s="5" t="s">
        <v>608</v>
      </c>
      <c r="AM389" s="22">
        <v>-5</v>
      </c>
      <c r="AN389" s="22">
        <v>26</v>
      </c>
      <c r="AO389">
        <f t="shared" si="151"/>
        <v>-0.19230769230769232</v>
      </c>
    </row>
    <row r="390" spans="1:41">
      <c r="A390" t="s">
        <v>413</v>
      </c>
      <c r="B390" t="s">
        <v>414</v>
      </c>
      <c r="C390">
        <v>17</v>
      </c>
      <c r="D390" t="s">
        <v>35</v>
      </c>
      <c r="E390">
        <v>6</v>
      </c>
      <c r="F390">
        <v>2</v>
      </c>
      <c r="G390" s="1">
        <f t="shared" si="147"/>
        <v>74</v>
      </c>
      <c r="H390">
        <v>200</v>
      </c>
      <c r="I390">
        <v>1992</v>
      </c>
      <c r="J390">
        <v>2011</v>
      </c>
      <c r="K390" s="1">
        <f t="shared" si="148"/>
        <v>19</v>
      </c>
      <c r="L390" t="s">
        <v>42</v>
      </c>
      <c r="M390" t="s">
        <v>44</v>
      </c>
      <c r="N390" s="2">
        <v>65</v>
      </c>
      <c r="O390" s="5">
        <v>12</v>
      </c>
      <c r="P390" s="5">
        <v>33</v>
      </c>
      <c r="Q390" s="5">
        <f t="shared" si="149"/>
        <v>45</v>
      </c>
      <c r="R390" s="4">
        <v>52</v>
      </c>
      <c r="S390" s="2">
        <v>66</v>
      </c>
      <c r="T390" s="5">
        <v>12</v>
      </c>
      <c r="U390" s="5">
        <v>33</v>
      </c>
      <c r="V390" s="5">
        <f t="shared" si="150"/>
        <v>45</v>
      </c>
      <c r="W390" s="4">
        <v>40</v>
      </c>
      <c r="AG390">
        <v>0</v>
      </c>
      <c r="AH390" s="14">
        <v>2.6529411764705881</v>
      </c>
      <c r="AI390" s="14">
        <v>17.123529411764707</v>
      </c>
      <c r="AJ390" s="14">
        <v>19.776470588235295</v>
      </c>
      <c r="AK390" s="14">
        <v>56.194117647058825</v>
      </c>
      <c r="AL390" s="3" t="s">
        <v>614</v>
      </c>
      <c r="AM390" s="22">
        <v>-6</v>
      </c>
      <c r="AN390" s="22">
        <v>272</v>
      </c>
      <c r="AO390">
        <f t="shared" si="151"/>
        <v>-2.2058823529411766E-2</v>
      </c>
    </row>
    <row r="391" spans="1:41">
      <c r="A391" t="s">
        <v>306</v>
      </c>
      <c r="B391" t="s">
        <v>307</v>
      </c>
      <c r="C391">
        <v>176</v>
      </c>
      <c r="D391" t="s">
        <v>35</v>
      </c>
      <c r="E391">
        <v>6</v>
      </c>
      <c r="F391">
        <v>2</v>
      </c>
      <c r="G391" s="1">
        <f t="shared" si="147"/>
        <v>74</v>
      </c>
      <c r="H391">
        <v>205</v>
      </c>
      <c r="I391">
        <v>1996</v>
      </c>
      <c r="J391">
        <v>2014</v>
      </c>
      <c r="K391" s="1">
        <f t="shared" si="148"/>
        <v>18</v>
      </c>
      <c r="L391" t="s">
        <v>41</v>
      </c>
      <c r="M391" t="s">
        <v>44</v>
      </c>
      <c r="N391" s="2">
        <v>46</v>
      </c>
      <c r="O391" s="5">
        <v>16</v>
      </c>
      <c r="P391" s="5">
        <v>33</v>
      </c>
      <c r="Q391" s="5">
        <f t="shared" si="149"/>
        <v>49</v>
      </c>
      <c r="R391" s="4">
        <v>12</v>
      </c>
      <c r="S391" s="2">
        <v>42</v>
      </c>
      <c r="T391" s="5">
        <v>16</v>
      </c>
      <c r="U391" s="5">
        <v>24</v>
      </c>
      <c r="V391" s="5">
        <f t="shared" si="150"/>
        <v>40</v>
      </c>
      <c r="W391" s="4">
        <v>18</v>
      </c>
      <c r="X391">
        <f>O391/N391</f>
        <v>0.34782608695652173</v>
      </c>
      <c r="Y391">
        <f>T391/S391</f>
        <v>0.38095238095238093</v>
      </c>
      <c r="Z391">
        <f>X391-Y391</f>
        <v>-3.3126293995859202E-2</v>
      </c>
      <c r="AA391">
        <f>P391/N391</f>
        <v>0.71739130434782605</v>
      </c>
      <c r="AB391">
        <f>U391/S391</f>
        <v>0.5714285714285714</v>
      </c>
      <c r="AC391">
        <f>AA391-AB391</f>
        <v>0.14596273291925466</v>
      </c>
      <c r="AD391">
        <f>Q391/N391</f>
        <v>1.0652173913043479</v>
      </c>
      <c r="AE391">
        <f>V391/S391</f>
        <v>0.95238095238095233</v>
      </c>
      <c r="AF391">
        <f>AD391-AE391</f>
        <v>0.11283643892339557</v>
      </c>
      <c r="AG391">
        <v>0</v>
      </c>
      <c r="AH391" s="14">
        <v>10.412698412698413</v>
      </c>
      <c r="AI391" s="14">
        <v>9.1111111111111107</v>
      </c>
      <c r="AJ391" s="14">
        <v>19.523809523809526</v>
      </c>
      <c r="AK391" s="14">
        <v>28.634920634920636</v>
      </c>
      <c r="AL391" s="5" t="s">
        <v>614</v>
      </c>
    </row>
    <row r="392" spans="1:41">
      <c r="A392" s="6" t="s">
        <v>148</v>
      </c>
      <c r="B392" t="s">
        <v>152</v>
      </c>
      <c r="C392">
        <v>53</v>
      </c>
      <c r="D392" t="s">
        <v>35</v>
      </c>
      <c r="E392">
        <v>6</v>
      </c>
      <c r="F392">
        <v>2</v>
      </c>
      <c r="G392" s="1">
        <f t="shared" si="147"/>
        <v>74</v>
      </c>
      <c r="H392">
        <v>202</v>
      </c>
      <c r="I392">
        <v>1995</v>
      </c>
      <c r="J392">
        <v>2013</v>
      </c>
      <c r="K392" s="1">
        <f t="shared" si="148"/>
        <v>18</v>
      </c>
      <c r="L392" t="s">
        <v>42</v>
      </c>
      <c r="M392" t="s">
        <v>43</v>
      </c>
      <c r="N392" s="2">
        <v>76</v>
      </c>
      <c r="O392" s="5">
        <v>14</v>
      </c>
      <c r="P392" s="5">
        <v>20</v>
      </c>
      <c r="Q392" s="5">
        <f t="shared" si="149"/>
        <v>34</v>
      </c>
      <c r="R392" s="4">
        <v>81</v>
      </c>
      <c r="S392" s="2">
        <v>57</v>
      </c>
      <c r="T392" s="5">
        <v>8</v>
      </c>
      <c r="U392" s="5">
        <v>13</v>
      </c>
      <c r="V392" s="5">
        <f t="shared" si="150"/>
        <v>21</v>
      </c>
      <c r="W392" s="4">
        <v>39</v>
      </c>
      <c r="X392">
        <f>O392/N392</f>
        <v>0.18421052631578946</v>
      </c>
      <c r="Y392">
        <f>T392/S392</f>
        <v>0.14035087719298245</v>
      </c>
      <c r="Z392">
        <f>X392-Y392</f>
        <v>4.3859649122807015E-2</v>
      </c>
      <c r="AA392">
        <f>P392/N392</f>
        <v>0.26315789473684209</v>
      </c>
      <c r="AB392">
        <f>U392/S392</f>
        <v>0.22807017543859648</v>
      </c>
      <c r="AC392">
        <f>AA392-AB392</f>
        <v>3.5087719298245612E-2</v>
      </c>
      <c r="AD392">
        <f>Q392/N392</f>
        <v>0.44736842105263158</v>
      </c>
      <c r="AE392">
        <f>V392/S392</f>
        <v>0.36842105263157893</v>
      </c>
      <c r="AF392">
        <f>AD392-AE392</f>
        <v>7.8947368421052655E-2</v>
      </c>
      <c r="AG392">
        <v>0</v>
      </c>
      <c r="AH392" s="14">
        <v>2.0672268907563023</v>
      </c>
      <c r="AI392" s="14">
        <v>17.22689075630252</v>
      </c>
      <c r="AJ392" s="14">
        <v>19.294117647058822</v>
      </c>
      <c r="AK392" s="14">
        <v>53.747899159663866</v>
      </c>
      <c r="AL392" s="5" t="s">
        <v>599</v>
      </c>
      <c r="AM392" s="22">
        <v>-6</v>
      </c>
      <c r="AN392" s="22">
        <v>159</v>
      </c>
      <c r="AO392">
        <f>AM392/AN392</f>
        <v>-3.7735849056603772E-2</v>
      </c>
    </row>
    <row r="393" spans="1:41">
      <c r="A393" s="6" t="s">
        <v>69</v>
      </c>
      <c r="B393" t="s">
        <v>76</v>
      </c>
      <c r="C393">
        <v>56</v>
      </c>
      <c r="D393" t="s">
        <v>65</v>
      </c>
      <c r="E393">
        <v>5</v>
      </c>
      <c r="F393">
        <v>11</v>
      </c>
      <c r="G393" s="1">
        <f t="shared" si="147"/>
        <v>71</v>
      </c>
      <c r="H393">
        <v>198</v>
      </c>
      <c r="I393">
        <v>1992</v>
      </c>
      <c r="J393">
        <v>2010</v>
      </c>
      <c r="K393" s="1">
        <f t="shared" si="148"/>
        <v>18</v>
      </c>
      <c r="L393" t="s">
        <v>41</v>
      </c>
      <c r="M393" t="s">
        <v>44</v>
      </c>
      <c r="N393" s="2">
        <v>49</v>
      </c>
      <c r="O393" s="5">
        <v>22</v>
      </c>
      <c r="P393" s="5">
        <v>28</v>
      </c>
      <c r="Q393" s="3">
        <f t="shared" si="149"/>
        <v>50</v>
      </c>
      <c r="R393" s="4">
        <v>82</v>
      </c>
      <c r="S393" s="2">
        <v>44</v>
      </c>
      <c r="T393" s="5">
        <v>10</v>
      </c>
      <c r="U393" s="5">
        <v>9</v>
      </c>
      <c r="V393" s="3">
        <f t="shared" si="150"/>
        <v>19</v>
      </c>
      <c r="W393" s="4">
        <v>131</v>
      </c>
      <c r="X393">
        <f>O393/N393</f>
        <v>0.44897959183673469</v>
      </c>
      <c r="Y393">
        <f>T393/S393</f>
        <v>0.22727272727272727</v>
      </c>
      <c r="Z393">
        <f>X393-Y393</f>
        <v>0.22170686456400743</v>
      </c>
      <c r="AA393">
        <f>P393/N393</f>
        <v>0.5714285714285714</v>
      </c>
      <c r="AB393">
        <f>U393/S393</f>
        <v>0.20454545454545456</v>
      </c>
      <c r="AC393">
        <f>AA393-AB393</f>
        <v>0.36688311688311681</v>
      </c>
      <c r="AD393">
        <f>Q393/N393</f>
        <v>1.0204081632653061</v>
      </c>
      <c r="AE393">
        <f>V393/S393</f>
        <v>0.43181818181818182</v>
      </c>
      <c r="AF393">
        <f>AD393-AE393</f>
        <v>0.58858998144712427</v>
      </c>
      <c r="AG393">
        <v>0</v>
      </c>
      <c r="AH393" s="14">
        <v>7.9885386819484241</v>
      </c>
      <c r="AI393" s="14">
        <v>11.277936962750717</v>
      </c>
      <c r="AJ393" s="14">
        <v>19.266475644699142</v>
      </c>
      <c r="AK393" s="14">
        <v>41.352435530085963</v>
      </c>
      <c r="AL393" s="3" t="s">
        <v>65</v>
      </c>
    </row>
    <row r="394" spans="1:41">
      <c r="A394" t="s">
        <v>322</v>
      </c>
      <c r="B394" t="s">
        <v>329</v>
      </c>
      <c r="C394">
        <v>110</v>
      </c>
      <c r="D394" t="s">
        <v>35</v>
      </c>
      <c r="E394">
        <v>6</v>
      </c>
      <c r="F394">
        <v>5</v>
      </c>
      <c r="G394" s="1">
        <f t="shared" si="147"/>
        <v>77</v>
      </c>
      <c r="H394">
        <v>220</v>
      </c>
      <c r="I394">
        <v>1995</v>
      </c>
      <c r="J394">
        <v>2013</v>
      </c>
      <c r="K394" s="1">
        <f t="shared" si="148"/>
        <v>18</v>
      </c>
      <c r="L394" t="s">
        <v>42</v>
      </c>
      <c r="M394" t="s">
        <v>44</v>
      </c>
      <c r="N394" s="2">
        <v>74</v>
      </c>
      <c r="O394" s="5">
        <v>9</v>
      </c>
      <c r="P394" s="5">
        <v>12</v>
      </c>
      <c r="Q394" s="5">
        <f t="shared" si="149"/>
        <v>21</v>
      </c>
      <c r="R394" s="4">
        <v>53</v>
      </c>
      <c r="S394" s="2">
        <v>50</v>
      </c>
      <c r="T394" s="5">
        <v>15</v>
      </c>
      <c r="U394" s="5">
        <v>24</v>
      </c>
      <c r="V394" s="5">
        <f t="shared" si="150"/>
        <v>39</v>
      </c>
      <c r="W394" s="4">
        <v>49</v>
      </c>
      <c r="X394">
        <f>O394/N394</f>
        <v>0.12162162162162163</v>
      </c>
      <c r="Y394">
        <f>T394/S394</f>
        <v>0.3</v>
      </c>
      <c r="Z394">
        <f>X394-Y394</f>
        <v>-0.17837837837837836</v>
      </c>
      <c r="AA394">
        <f>P394/N394</f>
        <v>0.16216216216216217</v>
      </c>
      <c r="AB394">
        <f>U394/S394</f>
        <v>0.48</v>
      </c>
      <c r="AC394">
        <f>AA394-AB394</f>
        <v>-0.31783783783783781</v>
      </c>
      <c r="AD394">
        <f>Q394/N394</f>
        <v>0.28378378378378377</v>
      </c>
      <c r="AE394">
        <f>V394/S394</f>
        <v>0.78</v>
      </c>
      <c r="AF394">
        <f>AD394-AE394</f>
        <v>-0.49621621621621625</v>
      </c>
      <c r="AG394">
        <v>0</v>
      </c>
      <c r="AH394" s="14">
        <v>8.7234042553191493</v>
      </c>
      <c r="AI394" s="14">
        <v>10.468085106382979</v>
      </c>
      <c r="AJ394" s="14">
        <v>19.191489361702128</v>
      </c>
      <c r="AK394" s="14">
        <v>34.893617021276597</v>
      </c>
      <c r="AL394" s="3" t="s">
        <v>614</v>
      </c>
      <c r="AM394" s="22">
        <v>-6</v>
      </c>
      <c r="AN394" s="22">
        <v>22</v>
      </c>
      <c r="AO394">
        <f>AM394/AN394</f>
        <v>-0.27272727272727271</v>
      </c>
    </row>
    <row r="395" spans="1:41">
      <c r="A395" t="s">
        <v>556</v>
      </c>
      <c r="B395" t="s">
        <v>560</v>
      </c>
      <c r="C395">
        <v>119</v>
      </c>
      <c r="D395" t="s">
        <v>35</v>
      </c>
      <c r="E395">
        <v>6</v>
      </c>
      <c r="F395">
        <v>3</v>
      </c>
      <c r="G395" s="1">
        <f t="shared" si="147"/>
        <v>75</v>
      </c>
      <c r="H395">
        <v>215</v>
      </c>
      <c r="I395">
        <v>1990</v>
      </c>
      <c r="J395">
        <v>2008</v>
      </c>
      <c r="K395" s="1">
        <f t="shared" si="148"/>
        <v>18</v>
      </c>
      <c r="L395" t="s">
        <v>41</v>
      </c>
      <c r="M395" t="s">
        <v>44</v>
      </c>
      <c r="N395" s="2">
        <v>57</v>
      </c>
      <c r="O395" s="5">
        <v>24</v>
      </c>
      <c r="P395" s="5">
        <v>39</v>
      </c>
      <c r="Q395" s="5">
        <f t="shared" si="149"/>
        <v>63</v>
      </c>
      <c r="R395" s="4">
        <v>44</v>
      </c>
      <c r="S395" s="2">
        <v>47</v>
      </c>
      <c r="T395" s="5">
        <v>31</v>
      </c>
      <c r="U395" s="5">
        <v>20</v>
      </c>
      <c r="V395" s="5">
        <f t="shared" si="150"/>
        <v>51</v>
      </c>
      <c r="W395" s="4">
        <v>42</v>
      </c>
      <c r="AG395">
        <v>0</v>
      </c>
      <c r="AH395" s="14">
        <v>7.7758620689655169</v>
      </c>
      <c r="AI395" s="14">
        <v>11.310344827586206</v>
      </c>
      <c r="AJ395" s="14">
        <v>19.086206896551722</v>
      </c>
      <c r="AK395" s="14">
        <v>24.741379310344826</v>
      </c>
      <c r="AL395" s="5" t="s">
        <v>602</v>
      </c>
    </row>
    <row r="396" spans="1:41">
      <c r="A396" s="6" t="s">
        <v>87</v>
      </c>
      <c r="B396" t="s">
        <v>95</v>
      </c>
      <c r="C396">
        <v>98</v>
      </c>
      <c r="D396" t="s">
        <v>34</v>
      </c>
      <c r="E396">
        <v>6</v>
      </c>
      <c r="F396">
        <v>1</v>
      </c>
      <c r="G396" s="1">
        <f t="shared" si="147"/>
        <v>73</v>
      </c>
      <c r="H396">
        <v>195</v>
      </c>
      <c r="I396">
        <v>1993</v>
      </c>
      <c r="J396">
        <v>2011</v>
      </c>
      <c r="K396" s="1">
        <f t="shared" si="148"/>
        <v>18</v>
      </c>
      <c r="L396" t="s">
        <v>42</v>
      </c>
      <c r="M396" t="s">
        <v>44</v>
      </c>
      <c r="N396" s="2">
        <v>54</v>
      </c>
      <c r="O396" s="5">
        <v>14</v>
      </c>
      <c r="P396" s="5">
        <v>34</v>
      </c>
      <c r="Q396" s="5">
        <f t="shared" si="149"/>
        <v>48</v>
      </c>
      <c r="R396" s="4">
        <v>30</v>
      </c>
      <c r="S396" s="2">
        <v>47</v>
      </c>
      <c r="T396" s="5">
        <v>10</v>
      </c>
      <c r="U396" s="5">
        <v>32</v>
      </c>
      <c r="V396" s="3">
        <f t="shared" si="150"/>
        <v>42</v>
      </c>
      <c r="W396" s="4">
        <v>25</v>
      </c>
      <c r="X396">
        <f>O396/N396</f>
        <v>0.25925925925925924</v>
      </c>
      <c r="Y396">
        <f>T396/S396</f>
        <v>0.21276595744680851</v>
      </c>
      <c r="Z396">
        <f>X396-Y396</f>
        <v>4.6493301812450732E-2</v>
      </c>
      <c r="AA396">
        <f>P396/N396</f>
        <v>0.62962962962962965</v>
      </c>
      <c r="AB396">
        <f>U396/S396</f>
        <v>0.68085106382978722</v>
      </c>
      <c r="AC396">
        <f>AA396-AB396</f>
        <v>-5.1221434200157567E-2</v>
      </c>
      <c r="AD396">
        <f>Q396/N396</f>
        <v>0.88888888888888884</v>
      </c>
      <c r="AE396">
        <f>V396/S396</f>
        <v>0.8936170212765957</v>
      </c>
      <c r="AF396">
        <f>AD396-AE396</f>
        <v>-4.7281323877068626E-3</v>
      </c>
      <c r="AG396">
        <v>0</v>
      </c>
      <c r="AH396" s="14">
        <v>3.4166666666666701</v>
      </c>
      <c r="AI396" s="14">
        <v>15.619047619047619</v>
      </c>
      <c r="AJ396" s="14">
        <v>19.035714285714285</v>
      </c>
      <c r="AK396" s="14">
        <v>26.357142857142858</v>
      </c>
      <c r="AL396" s="3" t="s">
        <v>603</v>
      </c>
      <c r="AM396" s="22">
        <v>-7</v>
      </c>
      <c r="AN396" s="22">
        <v>171</v>
      </c>
      <c r="AO396">
        <f>AM396/AN396</f>
        <v>-4.0935672514619881E-2</v>
      </c>
    </row>
    <row r="397" spans="1:41">
      <c r="A397" t="s">
        <v>322</v>
      </c>
      <c r="B397" t="s">
        <v>333</v>
      </c>
      <c r="C397">
        <v>42</v>
      </c>
      <c r="D397" t="s">
        <v>66</v>
      </c>
      <c r="E397">
        <v>6</v>
      </c>
      <c r="F397">
        <v>2</v>
      </c>
      <c r="G397" s="1">
        <f t="shared" si="147"/>
        <v>74</v>
      </c>
      <c r="H397">
        <v>194</v>
      </c>
      <c r="I397">
        <v>1996</v>
      </c>
      <c r="J397">
        <v>2014</v>
      </c>
      <c r="K397" s="1">
        <f t="shared" si="148"/>
        <v>18</v>
      </c>
      <c r="L397" t="s">
        <v>41</v>
      </c>
      <c r="M397" t="s">
        <v>44</v>
      </c>
      <c r="N397" s="2">
        <f>15+5+5+4+16+3</f>
        <v>48</v>
      </c>
      <c r="O397" s="3">
        <f>4+1+2+1</f>
        <v>8</v>
      </c>
      <c r="P397" s="3">
        <f>6+6+5+1</f>
        <v>18</v>
      </c>
      <c r="Q397" s="5">
        <f t="shared" si="149"/>
        <v>26</v>
      </c>
      <c r="R397" s="4">
        <f>12+26+2+2+2+2</f>
        <v>46</v>
      </c>
      <c r="S397" s="2">
        <f>10+36+6+6</f>
        <v>58</v>
      </c>
      <c r="T397" s="3">
        <f>5+9+4</f>
        <v>18</v>
      </c>
      <c r="U397" s="3">
        <f>13+6+1+2</f>
        <v>22</v>
      </c>
      <c r="V397" s="5">
        <f t="shared" si="150"/>
        <v>40</v>
      </c>
      <c r="W397" s="4">
        <f>6+22+4</f>
        <v>32</v>
      </c>
      <c r="X397">
        <f>O397/N397</f>
        <v>0.16666666666666666</v>
      </c>
      <c r="Y397">
        <f>T397/S397</f>
        <v>0.31034482758620691</v>
      </c>
      <c r="Z397">
        <f>X397-Y397</f>
        <v>-0.14367816091954025</v>
      </c>
      <c r="AA397">
        <f>P397/N397</f>
        <v>0.375</v>
      </c>
      <c r="AB397">
        <f>U397/S397</f>
        <v>0.37931034482758619</v>
      </c>
      <c r="AC397">
        <f>AA397-AB397</f>
        <v>-4.3103448275861878E-3</v>
      </c>
      <c r="AD397">
        <f>Q397/N397</f>
        <v>0.54166666666666663</v>
      </c>
      <c r="AE397">
        <f>V397/S397</f>
        <v>0.68965517241379315</v>
      </c>
      <c r="AF397">
        <f>AD397-AE397</f>
        <v>-0.14798850574712652</v>
      </c>
      <c r="AG397">
        <v>0</v>
      </c>
      <c r="AH397" s="14">
        <v>6.3076923076923084</v>
      </c>
      <c r="AI397" s="14">
        <v>12.615384615384617</v>
      </c>
      <c r="AJ397" s="14">
        <v>18.923076923076923</v>
      </c>
      <c r="AK397" s="14">
        <v>29.435897435897438</v>
      </c>
      <c r="AL397" s="3" t="s">
        <v>610</v>
      </c>
    </row>
    <row r="398" spans="1:41">
      <c r="A398" s="6" t="s">
        <v>102</v>
      </c>
      <c r="B398" t="s">
        <v>116</v>
      </c>
      <c r="C398">
        <v>206</v>
      </c>
      <c r="D398" t="s">
        <v>35</v>
      </c>
      <c r="E398">
        <v>6</v>
      </c>
      <c r="F398">
        <v>0</v>
      </c>
      <c r="G398" s="1">
        <f t="shared" si="147"/>
        <v>72</v>
      </c>
      <c r="H398">
        <v>200</v>
      </c>
      <c r="I398">
        <v>1994</v>
      </c>
      <c r="J398">
        <v>2013</v>
      </c>
      <c r="K398" s="1">
        <f t="shared" si="148"/>
        <v>19</v>
      </c>
      <c r="L398" t="s">
        <v>42</v>
      </c>
      <c r="M398" t="s">
        <v>43</v>
      </c>
      <c r="N398" s="2">
        <v>66</v>
      </c>
      <c r="O398" s="5">
        <v>8</v>
      </c>
      <c r="P398" s="5">
        <v>40</v>
      </c>
      <c r="Q398" s="5">
        <f t="shared" si="149"/>
        <v>48</v>
      </c>
      <c r="R398" s="4">
        <v>62</v>
      </c>
      <c r="S398" s="2">
        <v>62</v>
      </c>
      <c r="T398" s="5">
        <v>13</v>
      </c>
      <c r="U398" s="5">
        <v>40</v>
      </c>
      <c r="V398" s="5">
        <f t="shared" si="150"/>
        <v>53</v>
      </c>
      <c r="W398" s="4">
        <v>67</v>
      </c>
      <c r="X398">
        <f>O398/N398</f>
        <v>0.12121212121212122</v>
      </c>
      <c r="Y398">
        <f>T398/S398</f>
        <v>0.20967741935483872</v>
      </c>
      <c r="Z398">
        <f>X398-Y398</f>
        <v>-8.8465298142717502E-2</v>
      </c>
      <c r="AA398">
        <f>P398/N398</f>
        <v>0.60606060606060608</v>
      </c>
      <c r="AB398">
        <f>U398/S398</f>
        <v>0.64516129032258063</v>
      </c>
      <c r="AC398">
        <f>AA398-AB398</f>
        <v>-3.910068426197455E-2</v>
      </c>
      <c r="AD398">
        <f>Q398/N398</f>
        <v>0.72727272727272729</v>
      </c>
      <c r="AE398">
        <f>V398/S398</f>
        <v>0.85483870967741937</v>
      </c>
      <c r="AF398">
        <f>AD398-AE398</f>
        <v>-0.12756598240469208</v>
      </c>
      <c r="AG398">
        <v>0</v>
      </c>
      <c r="AH398" s="14">
        <v>5.125</v>
      </c>
      <c r="AI398" s="14">
        <v>13.666666666666666</v>
      </c>
      <c r="AJ398" s="14">
        <v>18.791666666666664</v>
      </c>
      <c r="AK398" s="14">
        <v>64.347222222222214</v>
      </c>
      <c r="AL398" s="3" t="s">
        <v>614</v>
      </c>
      <c r="AM398" s="22">
        <v>-7</v>
      </c>
      <c r="AN398" s="22">
        <v>350</v>
      </c>
      <c r="AO398">
        <f t="shared" ref="AO398:AO399" si="152">AM398/AN398</f>
        <v>-0.02</v>
      </c>
    </row>
    <row r="399" spans="1:41">
      <c r="A399" t="s">
        <v>576</v>
      </c>
      <c r="B399" t="s">
        <v>588</v>
      </c>
      <c r="C399">
        <v>194</v>
      </c>
      <c r="D399" t="s">
        <v>34</v>
      </c>
      <c r="E399">
        <v>6</v>
      </c>
      <c r="F399">
        <v>1</v>
      </c>
      <c r="G399" s="1">
        <f t="shared" si="147"/>
        <v>73</v>
      </c>
      <c r="H399">
        <v>200</v>
      </c>
      <c r="I399">
        <v>1995</v>
      </c>
      <c r="J399">
        <v>2015</v>
      </c>
      <c r="K399" s="1">
        <f t="shared" si="148"/>
        <v>20</v>
      </c>
      <c r="L399" t="s">
        <v>42</v>
      </c>
      <c r="M399" t="s">
        <v>43</v>
      </c>
      <c r="N399" s="2">
        <v>36</v>
      </c>
      <c r="O399" s="5">
        <v>0</v>
      </c>
      <c r="P399" s="5">
        <v>9</v>
      </c>
      <c r="Q399" s="5">
        <f t="shared" si="149"/>
        <v>9</v>
      </c>
      <c r="R399" s="4">
        <v>22</v>
      </c>
      <c r="S399" s="2">
        <v>24</v>
      </c>
      <c r="T399" s="5">
        <v>4</v>
      </c>
      <c r="U399" s="5">
        <v>5</v>
      </c>
      <c r="V399" s="5">
        <f t="shared" si="150"/>
        <v>9</v>
      </c>
      <c r="W399" s="4">
        <v>21</v>
      </c>
      <c r="AG399">
        <v>0</v>
      </c>
      <c r="AH399" s="14">
        <v>5.125</v>
      </c>
      <c r="AI399" s="14">
        <v>13.666666666666666</v>
      </c>
      <c r="AJ399" s="14">
        <v>18.791666666666664</v>
      </c>
      <c r="AK399" s="14">
        <v>20.5</v>
      </c>
      <c r="AL399" s="3" t="s">
        <v>613</v>
      </c>
      <c r="AM399" s="22">
        <v>-8</v>
      </c>
      <c r="AN399" s="22">
        <v>579</v>
      </c>
      <c r="AO399">
        <f t="shared" si="152"/>
        <v>-1.3816925734024179E-2</v>
      </c>
    </row>
    <row r="400" spans="1:41">
      <c r="A400" s="6" t="s">
        <v>17</v>
      </c>
      <c r="B400" t="s">
        <v>30</v>
      </c>
      <c r="C400">
        <v>133</v>
      </c>
      <c r="D400" t="s">
        <v>34</v>
      </c>
      <c r="E400">
        <v>6</v>
      </c>
      <c r="F400">
        <v>2</v>
      </c>
      <c r="G400" s="1">
        <f t="shared" si="147"/>
        <v>74</v>
      </c>
      <c r="H400">
        <v>213</v>
      </c>
      <c r="I400">
        <v>1993</v>
      </c>
      <c r="J400">
        <v>2011</v>
      </c>
      <c r="K400" s="1">
        <f t="shared" si="148"/>
        <v>18</v>
      </c>
      <c r="L400" t="s">
        <v>41</v>
      </c>
      <c r="M400" t="s">
        <v>44</v>
      </c>
      <c r="N400" s="2">
        <v>51</v>
      </c>
      <c r="O400" s="5">
        <v>8</v>
      </c>
      <c r="P400" s="5">
        <v>21</v>
      </c>
      <c r="Q400" s="3">
        <f t="shared" si="149"/>
        <v>29</v>
      </c>
      <c r="R400" s="4">
        <v>45</v>
      </c>
      <c r="S400" s="2">
        <v>46</v>
      </c>
      <c r="T400" s="5">
        <v>20</v>
      </c>
      <c r="U400" s="5">
        <v>33</v>
      </c>
      <c r="V400" s="3">
        <f t="shared" si="150"/>
        <v>53</v>
      </c>
      <c r="W400" s="4">
        <v>26</v>
      </c>
      <c r="X400">
        <f>O400/N400</f>
        <v>0.15686274509803921</v>
      </c>
      <c r="Y400">
        <f>T400/S400</f>
        <v>0.43478260869565216</v>
      </c>
      <c r="Z400">
        <f>X400-Y400</f>
        <v>-0.27791986359761295</v>
      </c>
      <c r="AA400">
        <f>P400/N400</f>
        <v>0.41176470588235292</v>
      </c>
      <c r="AB400">
        <f>U400/S400</f>
        <v>0.71739130434782605</v>
      </c>
      <c r="AC400">
        <f>AA400-AB400</f>
        <v>-0.30562659846547313</v>
      </c>
      <c r="AD400">
        <f>Q400/N400</f>
        <v>0.56862745098039214</v>
      </c>
      <c r="AE400">
        <f>V400/S400</f>
        <v>1.1521739130434783</v>
      </c>
      <c r="AF400">
        <f>AD400-AE400</f>
        <v>-0.58354646206308614</v>
      </c>
      <c r="AG400">
        <v>0</v>
      </c>
      <c r="AH400" s="14">
        <v>7.0285714285714285</v>
      </c>
      <c r="AI400" s="14">
        <v>11.714285714285715</v>
      </c>
      <c r="AJ400" s="14">
        <v>18.742857142857144</v>
      </c>
      <c r="AK400" s="14">
        <v>42.171428571428571</v>
      </c>
      <c r="AL400" s="5" t="s">
        <v>608</v>
      </c>
    </row>
    <row r="401" spans="1:41">
      <c r="A401" t="s">
        <v>525</v>
      </c>
      <c r="B401" t="s">
        <v>526</v>
      </c>
      <c r="C401">
        <v>53</v>
      </c>
      <c r="D401" t="s">
        <v>65</v>
      </c>
      <c r="E401">
        <v>6</v>
      </c>
      <c r="F401">
        <v>1</v>
      </c>
      <c r="G401" s="1">
        <f t="shared" si="147"/>
        <v>73</v>
      </c>
      <c r="H401">
        <v>214</v>
      </c>
      <c r="I401">
        <v>1996</v>
      </c>
      <c r="J401">
        <v>2015</v>
      </c>
      <c r="K401" s="1">
        <f t="shared" si="148"/>
        <v>19</v>
      </c>
      <c r="L401" t="s">
        <v>42</v>
      </c>
      <c r="M401" t="s">
        <v>43</v>
      </c>
      <c r="N401" s="2">
        <v>67</v>
      </c>
      <c r="O401" s="5">
        <v>12</v>
      </c>
      <c r="P401" s="5">
        <v>52</v>
      </c>
      <c r="Q401" s="5">
        <f t="shared" si="149"/>
        <v>64</v>
      </c>
      <c r="R401" s="4">
        <v>88</v>
      </c>
      <c r="S401" s="2">
        <f>4+8+43+13+7</f>
        <v>75</v>
      </c>
      <c r="T401" s="3">
        <f>1+3+2+2</f>
        <v>8</v>
      </c>
      <c r="U401" s="3">
        <f>4+4+10+9+1</f>
        <v>28</v>
      </c>
      <c r="V401" s="5">
        <f t="shared" si="150"/>
        <v>36</v>
      </c>
      <c r="W401" s="4">
        <f>10+12+26+26+14</f>
        <v>88</v>
      </c>
      <c r="AG401">
        <v>0</v>
      </c>
      <c r="AH401" s="14">
        <v>2.8275862068965516</v>
      </c>
      <c r="AI401" s="14">
        <v>15.551724137931034</v>
      </c>
      <c r="AJ401" s="14">
        <v>18.379310344827587</v>
      </c>
      <c r="AK401" s="14">
        <v>29.689655172413794</v>
      </c>
      <c r="AL401" s="3" t="s">
        <v>600</v>
      </c>
      <c r="AM401" s="22">
        <v>-8</v>
      </c>
      <c r="AN401" s="22">
        <v>46</v>
      </c>
      <c r="AO401">
        <f t="shared" ref="AO401:AO404" si="153">AM401/AN401</f>
        <v>-0.17391304347826086</v>
      </c>
    </row>
    <row r="402" spans="1:41">
      <c r="A402" t="s">
        <v>306</v>
      </c>
      <c r="B402" t="s">
        <v>312</v>
      </c>
      <c r="C402">
        <v>194</v>
      </c>
      <c r="D402" t="s">
        <v>65</v>
      </c>
      <c r="E402">
        <v>6</v>
      </c>
      <c r="F402">
        <v>2</v>
      </c>
      <c r="G402" s="1">
        <f t="shared" si="147"/>
        <v>74</v>
      </c>
      <c r="H402">
        <v>198</v>
      </c>
      <c r="I402">
        <v>1986</v>
      </c>
      <c r="J402">
        <v>2007</v>
      </c>
      <c r="K402" s="1">
        <f t="shared" si="148"/>
        <v>21</v>
      </c>
      <c r="L402" t="s">
        <v>42</v>
      </c>
      <c r="M402" t="s">
        <v>44</v>
      </c>
      <c r="N402" s="2">
        <f>30+15+6+15+30</f>
        <v>96</v>
      </c>
      <c r="O402" s="3">
        <f>2+2+2+2</f>
        <v>8</v>
      </c>
      <c r="P402" s="3">
        <f>2+3+5+3+2</f>
        <v>15</v>
      </c>
      <c r="Q402" s="5">
        <f t="shared" si="149"/>
        <v>23</v>
      </c>
      <c r="R402" s="4">
        <f>8+14+6+14+8</f>
        <v>50</v>
      </c>
      <c r="S402" s="2">
        <f>14+12+30+12+14</f>
        <v>82</v>
      </c>
      <c r="T402" s="3">
        <f>9</f>
        <v>9</v>
      </c>
      <c r="U402" s="5">
        <v>16</v>
      </c>
      <c r="V402" s="5">
        <f t="shared" si="150"/>
        <v>25</v>
      </c>
      <c r="W402" s="4">
        <v>42</v>
      </c>
      <c r="X402">
        <f>O402/N402</f>
        <v>8.3333333333333329E-2</v>
      </c>
      <c r="Y402">
        <f>T402/S402</f>
        <v>0.10975609756097561</v>
      </c>
      <c r="Z402">
        <f>X402-Y402</f>
        <v>-2.6422764227642281E-2</v>
      </c>
      <c r="AA402">
        <f>P402/N402</f>
        <v>0.15625</v>
      </c>
      <c r="AB402">
        <f>U402/S402</f>
        <v>0.1951219512195122</v>
      </c>
      <c r="AC402">
        <f>AA402-AB402</f>
        <v>-3.8871951219512202E-2</v>
      </c>
      <c r="AD402">
        <f>Q402/N402</f>
        <v>0.23958333333333334</v>
      </c>
      <c r="AE402">
        <f>V402/S402</f>
        <v>0.3048780487804878</v>
      </c>
      <c r="AF402">
        <f>AD402-AE402</f>
        <v>-6.5294715447154456E-2</v>
      </c>
      <c r="AG402">
        <v>0</v>
      </c>
      <c r="AH402" s="14">
        <v>4.0033670033670035</v>
      </c>
      <c r="AI402" s="14">
        <v>14.356902356902358</v>
      </c>
      <c r="AJ402" s="14">
        <v>18.36026936026936</v>
      </c>
      <c r="AK402" s="14">
        <v>22.501683501683502</v>
      </c>
      <c r="AL402" s="5" t="s">
        <v>605</v>
      </c>
      <c r="AM402" s="22">
        <v>-8</v>
      </c>
      <c r="AN402" s="22">
        <v>78</v>
      </c>
      <c r="AO402">
        <f t="shared" si="153"/>
        <v>-0.10256410256410256</v>
      </c>
    </row>
    <row r="403" spans="1:41">
      <c r="A403" s="6" t="s">
        <v>121</v>
      </c>
      <c r="B403" t="s">
        <v>122</v>
      </c>
      <c r="C403">
        <v>43</v>
      </c>
      <c r="D403" t="s">
        <v>85</v>
      </c>
      <c r="E403">
        <v>6</v>
      </c>
      <c r="F403">
        <v>4</v>
      </c>
      <c r="G403" s="1">
        <f t="shared" si="147"/>
        <v>76</v>
      </c>
      <c r="H403">
        <v>225</v>
      </c>
      <c r="I403">
        <v>1997</v>
      </c>
      <c r="J403">
        <v>2015</v>
      </c>
      <c r="K403" s="1">
        <f t="shared" si="148"/>
        <v>18</v>
      </c>
      <c r="L403" t="s">
        <v>42</v>
      </c>
      <c r="M403" t="s">
        <v>43</v>
      </c>
      <c r="N403" s="2">
        <v>43</v>
      </c>
      <c r="O403" s="5">
        <v>5</v>
      </c>
      <c r="P403" s="5">
        <v>8</v>
      </c>
      <c r="Q403" s="5">
        <f t="shared" si="149"/>
        <v>13</v>
      </c>
      <c r="R403" s="4">
        <v>16</v>
      </c>
      <c r="S403" s="2">
        <v>41</v>
      </c>
      <c r="T403" s="5">
        <v>3</v>
      </c>
      <c r="U403" s="5">
        <v>4</v>
      </c>
      <c r="V403" s="5">
        <f t="shared" si="150"/>
        <v>7</v>
      </c>
      <c r="W403" s="4">
        <v>18</v>
      </c>
      <c r="X403">
        <f>O403/N403</f>
        <v>0.11627906976744186</v>
      </c>
      <c r="Y403">
        <f>T403/S403</f>
        <v>7.3170731707317069E-2</v>
      </c>
      <c r="Z403">
        <f>X403-Y403</f>
        <v>4.310833806012479E-2</v>
      </c>
      <c r="AA403">
        <f>P403/N403</f>
        <v>0.18604651162790697</v>
      </c>
      <c r="AB403">
        <f>U403/S403</f>
        <v>9.7560975609756101E-2</v>
      </c>
      <c r="AC403">
        <f>AA403-AB403</f>
        <v>8.8485536018150873E-2</v>
      </c>
      <c r="AD403">
        <f>Q403/N403</f>
        <v>0.30232558139534882</v>
      </c>
      <c r="AE403">
        <f>V403/S403</f>
        <v>0.17073170731707318</v>
      </c>
      <c r="AF403">
        <f>AD403-AE403</f>
        <v>0.13159387407827564</v>
      </c>
      <c r="AG403">
        <v>0</v>
      </c>
      <c r="AH403" s="14">
        <v>6.4736842105263159</v>
      </c>
      <c r="AI403" s="14">
        <v>11.868421052631579</v>
      </c>
      <c r="AJ403" s="14">
        <v>18.342105263157894</v>
      </c>
      <c r="AK403" s="14">
        <v>83.078947368421055</v>
      </c>
      <c r="AL403" s="3" t="s">
        <v>36</v>
      </c>
      <c r="AM403" s="22">
        <v>-9</v>
      </c>
      <c r="AN403" s="22">
        <v>442</v>
      </c>
      <c r="AO403">
        <f t="shared" si="153"/>
        <v>-2.0361990950226245E-2</v>
      </c>
    </row>
    <row r="404" spans="1:41">
      <c r="A404" t="s">
        <v>266</v>
      </c>
      <c r="B404" t="s">
        <v>280</v>
      </c>
      <c r="C404">
        <v>27</v>
      </c>
      <c r="D404" t="s">
        <v>35</v>
      </c>
      <c r="E404">
        <v>6</v>
      </c>
      <c r="F404">
        <v>2</v>
      </c>
      <c r="G404" s="1">
        <f t="shared" si="147"/>
        <v>74</v>
      </c>
      <c r="H404">
        <v>195</v>
      </c>
      <c r="I404">
        <v>1989</v>
      </c>
      <c r="J404">
        <v>2007</v>
      </c>
      <c r="K404" s="1">
        <f t="shared" si="148"/>
        <v>18</v>
      </c>
      <c r="L404" t="s">
        <v>42</v>
      </c>
      <c r="M404" t="s">
        <v>44</v>
      </c>
      <c r="N404" s="2">
        <v>39</v>
      </c>
      <c r="O404" s="5">
        <v>12</v>
      </c>
      <c r="P404" s="5">
        <v>24</v>
      </c>
      <c r="Q404" s="5">
        <f t="shared" si="149"/>
        <v>36</v>
      </c>
      <c r="R404" s="4">
        <v>90</v>
      </c>
      <c r="S404" s="2">
        <v>39</v>
      </c>
      <c r="T404" s="5">
        <v>5</v>
      </c>
      <c r="U404" s="5">
        <v>21</v>
      </c>
      <c r="V404" s="5">
        <f t="shared" si="150"/>
        <v>26</v>
      </c>
      <c r="W404" s="4">
        <v>55</v>
      </c>
      <c r="X404">
        <f>O404/N404</f>
        <v>0.30769230769230771</v>
      </c>
      <c r="Y404">
        <f>T404/S404</f>
        <v>0.12820512820512819</v>
      </c>
      <c r="Z404">
        <f>X404-Y404</f>
        <v>0.17948717948717952</v>
      </c>
      <c r="AA404">
        <f>P404/N404</f>
        <v>0.61538461538461542</v>
      </c>
      <c r="AB404">
        <f>U404/S404</f>
        <v>0.53846153846153844</v>
      </c>
      <c r="AC404">
        <f>AA404-AB404</f>
        <v>7.6923076923076983E-2</v>
      </c>
      <c r="AD404">
        <f>Q404/N404</f>
        <v>0.92307692307692313</v>
      </c>
      <c r="AE404">
        <f>V404/S404</f>
        <v>0.66666666666666663</v>
      </c>
      <c r="AF404">
        <f>AD404-AE404</f>
        <v>0.2564102564102565</v>
      </c>
      <c r="AG404">
        <v>0</v>
      </c>
      <c r="AH404" s="14">
        <v>4.1471264367816092</v>
      </c>
      <c r="AI404" s="14">
        <v>13.949425287356322</v>
      </c>
      <c r="AJ404" s="14">
        <v>18.096551724137932</v>
      </c>
      <c r="AK404" s="14">
        <v>88.03218390804598</v>
      </c>
      <c r="AL404" s="3" t="s">
        <v>626</v>
      </c>
      <c r="AM404" s="22">
        <v>-9</v>
      </c>
      <c r="AN404" s="22">
        <v>59</v>
      </c>
      <c r="AO404">
        <f t="shared" si="153"/>
        <v>-0.15254237288135594</v>
      </c>
    </row>
    <row r="405" spans="1:41">
      <c r="A405" s="6" t="s">
        <v>135</v>
      </c>
      <c r="B405" t="s">
        <v>144</v>
      </c>
      <c r="C405">
        <v>101</v>
      </c>
      <c r="D405" t="s">
        <v>35</v>
      </c>
      <c r="E405">
        <v>6</v>
      </c>
      <c r="F405">
        <v>4</v>
      </c>
      <c r="G405" s="1">
        <f t="shared" si="147"/>
        <v>76</v>
      </c>
      <c r="H405">
        <v>230</v>
      </c>
      <c r="I405">
        <v>1995</v>
      </c>
      <c r="J405">
        <v>2013</v>
      </c>
      <c r="K405" s="1">
        <f t="shared" si="148"/>
        <v>18</v>
      </c>
      <c r="L405" t="s">
        <v>41</v>
      </c>
      <c r="M405" t="s">
        <v>44</v>
      </c>
      <c r="N405" s="2">
        <v>66</v>
      </c>
      <c r="O405" s="5">
        <v>12</v>
      </c>
      <c r="P405" s="5">
        <v>16</v>
      </c>
      <c r="Q405" s="5">
        <f t="shared" si="149"/>
        <v>28</v>
      </c>
      <c r="R405" s="4">
        <v>21</v>
      </c>
      <c r="S405" s="2">
        <v>105</v>
      </c>
      <c r="T405" s="5">
        <v>76</v>
      </c>
      <c r="U405" s="5">
        <v>94</v>
      </c>
      <c r="V405" s="5">
        <f t="shared" si="150"/>
        <v>170</v>
      </c>
      <c r="W405" s="4">
        <v>4</v>
      </c>
      <c r="X405">
        <f>O405/N405</f>
        <v>0.18181818181818182</v>
      </c>
      <c r="Y405">
        <f>T405/S405</f>
        <v>0.72380952380952379</v>
      </c>
      <c r="Z405">
        <f>X405-Y405</f>
        <v>-0.54199134199134202</v>
      </c>
      <c r="AA405">
        <f>P405/N405</f>
        <v>0.24242424242424243</v>
      </c>
      <c r="AB405">
        <f>U405/S405</f>
        <v>0.89523809523809528</v>
      </c>
      <c r="AC405">
        <f>AA405-AB405</f>
        <v>-0.65281385281385285</v>
      </c>
      <c r="AD405">
        <f>Q405/N405</f>
        <v>0.42424242424242425</v>
      </c>
      <c r="AE405">
        <f>V405/S405</f>
        <v>1.6190476190476191</v>
      </c>
      <c r="AF405">
        <f>AD405-AE405</f>
        <v>-1.1948051948051948</v>
      </c>
      <c r="AG405">
        <v>0</v>
      </c>
      <c r="AH405" s="14">
        <v>6.7397260273972606</v>
      </c>
      <c r="AI405" s="14">
        <v>11.232876712328768</v>
      </c>
      <c r="AJ405" s="14">
        <v>17.972602739726028</v>
      </c>
      <c r="AK405" s="14">
        <v>20.219178082191782</v>
      </c>
      <c r="AL405" s="3" t="s">
        <v>600</v>
      </c>
    </row>
    <row r="406" spans="1:41">
      <c r="A406" t="s">
        <v>556</v>
      </c>
      <c r="B406" t="s">
        <v>562</v>
      </c>
      <c r="C406">
        <v>51</v>
      </c>
      <c r="D406" t="s">
        <v>35</v>
      </c>
      <c r="E406">
        <v>6</v>
      </c>
      <c r="F406">
        <v>2</v>
      </c>
      <c r="G406" s="1">
        <f t="shared" si="147"/>
        <v>74</v>
      </c>
      <c r="H406">
        <v>197</v>
      </c>
      <c r="I406">
        <v>1997</v>
      </c>
      <c r="J406">
        <v>2015</v>
      </c>
      <c r="K406" s="1">
        <f t="shared" si="148"/>
        <v>18</v>
      </c>
      <c r="L406" t="s">
        <v>42</v>
      </c>
      <c r="M406" t="s">
        <v>44</v>
      </c>
      <c r="N406" s="2">
        <v>72</v>
      </c>
      <c r="O406" s="5">
        <v>5</v>
      </c>
      <c r="P406" s="5">
        <v>27</v>
      </c>
      <c r="Q406" s="5">
        <f t="shared" si="149"/>
        <v>32</v>
      </c>
      <c r="R406" s="4">
        <v>36</v>
      </c>
      <c r="S406" s="2">
        <v>57</v>
      </c>
      <c r="T406" s="5">
        <v>0</v>
      </c>
      <c r="U406" s="5">
        <v>11</v>
      </c>
      <c r="V406" s="5">
        <f t="shared" si="150"/>
        <v>11</v>
      </c>
      <c r="W406" s="4">
        <v>33</v>
      </c>
      <c r="AG406">
        <v>0</v>
      </c>
      <c r="AH406" s="14">
        <v>0</v>
      </c>
      <c r="AI406" s="14">
        <v>17.571428571428569</v>
      </c>
      <c r="AJ406" s="14">
        <v>17.571428571428569</v>
      </c>
      <c r="AK406" s="14">
        <v>42.952380952380949</v>
      </c>
      <c r="AL406" s="3" t="s">
        <v>599</v>
      </c>
      <c r="AM406" s="22">
        <v>-11</v>
      </c>
      <c r="AN406" s="22">
        <v>106</v>
      </c>
      <c r="AO406">
        <f t="shared" ref="AO406:AO410" si="154">AM406/AN406</f>
        <v>-0.10377358490566038</v>
      </c>
    </row>
    <row r="407" spans="1:41">
      <c r="A407" t="s">
        <v>169</v>
      </c>
      <c r="B407" t="s">
        <v>177</v>
      </c>
      <c r="C407">
        <v>150</v>
      </c>
      <c r="D407" t="s">
        <v>34</v>
      </c>
      <c r="E407">
        <v>6</v>
      </c>
      <c r="F407">
        <v>0</v>
      </c>
      <c r="G407" s="1">
        <f t="shared" si="147"/>
        <v>72</v>
      </c>
      <c r="H407">
        <v>194</v>
      </c>
      <c r="I407">
        <v>1990</v>
      </c>
      <c r="J407">
        <v>2009</v>
      </c>
      <c r="K407" s="1">
        <f t="shared" si="148"/>
        <v>19</v>
      </c>
      <c r="L407" t="s">
        <v>42</v>
      </c>
      <c r="M407" t="s">
        <v>43</v>
      </c>
      <c r="N407" s="2">
        <v>52</v>
      </c>
      <c r="O407" s="5">
        <v>5</v>
      </c>
      <c r="P407" s="5">
        <v>17</v>
      </c>
      <c r="Q407" s="5">
        <f t="shared" si="149"/>
        <v>22</v>
      </c>
      <c r="R407" s="4">
        <v>27</v>
      </c>
      <c r="S407" s="2">
        <v>14</v>
      </c>
      <c r="T407" s="5">
        <v>14</v>
      </c>
      <c r="U407" s="5">
        <v>13</v>
      </c>
      <c r="V407" s="5">
        <f t="shared" si="150"/>
        <v>27</v>
      </c>
      <c r="W407" s="4">
        <v>0</v>
      </c>
      <c r="X407">
        <f>O407/N407</f>
        <v>9.6153846153846159E-2</v>
      </c>
      <c r="Y407">
        <f>T407/S407</f>
        <v>1</v>
      </c>
      <c r="Z407">
        <f>X407-Y407</f>
        <v>-0.90384615384615385</v>
      </c>
      <c r="AA407">
        <f>P407/N407</f>
        <v>0.32692307692307693</v>
      </c>
      <c r="AB407">
        <f>U407/S407</f>
        <v>0.9285714285714286</v>
      </c>
      <c r="AC407">
        <f>AA407-AB407</f>
        <v>-0.60164835164835173</v>
      </c>
      <c r="AD407">
        <f>Q407/N407</f>
        <v>0.42307692307692307</v>
      </c>
      <c r="AE407">
        <f>V407/S407</f>
        <v>1.9285714285714286</v>
      </c>
      <c r="AF407">
        <f>AD407-AE407</f>
        <v>-1.5054945054945055</v>
      </c>
      <c r="AG407">
        <v>0</v>
      </c>
      <c r="AH407" s="14">
        <v>2.1025641025641022</v>
      </c>
      <c r="AI407" s="14">
        <v>15.418803418803417</v>
      </c>
      <c r="AJ407" s="14">
        <v>17.52136752136752</v>
      </c>
      <c r="AK407" s="14">
        <v>21.025641025641026</v>
      </c>
      <c r="AL407" s="3" t="s">
        <v>608</v>
      </c>
      <c r="AM407" s="22">
        <v>-12</v>
      </c>
      <c r="AN407" s="22">
        <v>26</v>
      </c>
      <c r="AO407">
        <f t="shared" si="154"/>
        <v>-0.46153846153846156</v>
      </c>
    </row>
    <row r="408" spans="1:41">
      <c r="A408" t="s">
        <v>266</v>
      </c>
      <c r="B408" t="s">
        <v>281</v>
      </c>
      <c r="C408">
        <v>12</v>
      </c>
      <c r="D408" t="s">
        <v>35</v>
      </c>
      <c r="E408">
        <v>6</v>
      </c>
      <c r="F408">
        <v>4</v>
      </c>
      <c r="G408" s="1">
        <f t="shared" si="147"/>
        <v>76</v>
      </c>
      <c r="H408">
        <v>213</v>
      </c>
      <c r="I408">
        <v>1987</v>
      </c>
      <c r="J408">
        <v>2005</v>
      </c>
      <c r="K408" s="1">
        <f t="shared" si="148"/>
        <v>18</v>
      </c>
      <c r="L408" t="s">
        <v>42</v>
      </c>
      <c r="M408" t="s">
        <v>44</v>
      </c>
      <c r="N408" s="2">
        <v>65</v>
      </c>
      <c r="O408" s="5">
        <v>6</v>
      </c>
      <c r="P408" s="5">
        <v>20</v>
      </c>
      <c r="Q408" s="5">
        <f t="shared" si="149"/>
        <v>26</v>
      </c>
      <c r="R408" s="4">
        <v>53</v>
      </c>
      <c r="S408" s="2">
        <v>61</v>
      </c>
      <c r="T408" s="5">
        <v>1</v>
      </c>
      <c r="U408" s="5">
        <v>13</v>
      </c>
      <c r="V408" s="5">
        <f t="shared" si="150"/>
        <v>14</v>
      </c>
      <c r="W408" s="4">
        <v>34</v>
      </c>
      <c r="X408">
        <f>O408/N408</f>
        <v>9.2307692307692313E-2</v>
      </c>
      <c r="Y408">
        <f>T408/S408</f>
        <v>1.6393442622950821E-2</v>
      </c>
      <c r="Z408">
        <f>X408-Y408</f>
        <v>7.5914249684741489E-2</v>
      </c>
      <c r="AA408">
        <f>P408/N408</f>
        <v>0.30769230769230771</v>
      </c>
      <c r="AB408">
        <f>U408/S408</f>
        <v>0.21311475409836064</v>
      </c>
      <c r="AC408">
        <f>AA408-AB408</f>
        <v>9.4577553593947067E-2</v>
      </c>
      <c r="AD408">
        <f>Q408/N408</f>
        <v>0.4</v>
      </c>
      <c r="AE408">
        <f>V408/S408</f>
        <v>0.22950819672131148</v>
      </c>
      <c r="AF408">
        <f>AD408-AE408</f>
        <v>0.17049180327868854</v>
      </c>
      <c r="AG408">
        <v>0</v>
      </c>
      <c r="AH408" s="14">
        <v>4.0470035252643948</v>
      </c>
      <c r="AI408" s="14">
        <v>13.200940070505288</v>
      </c>
      <c r="AJ408" s="14">
        <v>17.247943595769684</v>
      </c>
      <c r="AK408" s="14">
        <v>40.855464159811987</v>
      </c>
      <c r="AL408" s="5" t="s">
        <v>600</v>
      </c>
      <c r="AM408" s="22">
        <v>-13</v>
      </c>
      <c r="AN408" s="22">
        <v>264</v>
      </c>
      <c r="AO408">
        <f t="shared" si="154"/>
        <v>-4.924242424242424E-2</v>
      </c>
    </row>
    <row r="409" spans="1:41">
      <c r="A409" t="s">
        <v>322</v>
      </c>
      <c r="B409" t="s">
        <v>323</v>
      </c>
      <c r="C409">
        <v>152</v>
      </c>
      <c r="D409" t="s">
        <v>35</v>
      </c>
      <c r="E409">
        <v>6</v>
      </c>
      <c r="F409">
        <v>1</v>
      </c>
      <c r="G409" s="1">
        <f t="shared" si="147"/>
        <v>73</v>
      </c>
      <c r="H409">
        <v>200</v>
      </c>
      <c r="I409">
        <v>1990</v>
      </c>
      <c r="J409">
        <v>2008</v>
      </c>
      <c r="K409" s="1">
        <f t="shared" si="148"/>
        <v>18</v>
      </c>
      <c r="L409" t="s">
        <v>42</v>
      </c>
      <c r="M409" t="s">
        <v>44</v>
      </c>
      <c r="N409" s="2">
        <v>70</v>
      </c>
      <c r="O409" s="5">
        <v>11</v>
      </c>
      <c r="P409" s="5">
        <v>35</v>
      </c>
      <c r="Q409" s="5">
        <f t="shared" si="149"/>
        <v>46</v>
      </c>
      <c r="R409" s="4">
        <v>75</v>
      </c>
      <c r="S409" s="2">
        <v>60</v>
      </c>
      <c r="T409" s="5">
        <v>3</v>
      </c>
      <c r="U409" s="5">
        <v>14</v>
      </c>
      <c r="V409" s="5">
        <f t="shared" si="150"/>
        <v>17</v>
      </c>
      <c r="W409" s="4">
        <v>63</v>
      </c>
      <c r="X409">
        <f>O409/N409</f>
        <v>0.15714285714285714</v>
      </c>
      <c r="Y409">
        <f>T409/S409</f>
        <v>0.05</v>
      </c>
      <c r="Z409">
        <f>X409-Y409</f>
        <v>0.10714285714285714</v>
      </c>
      <c r="AA409">
        <f>P409/N409</f>
        <v>0.5</v>
      </c>
      <c r="AB409">
        <f>U409/S409</f>
        <v>0.23333333333333334</v>
      </c>
      <c r="AC409">
        <f>AA409-AB409</f>
        <v>0.26666666666666666</v>
      </c>
      <c r="AD409">
        <f>Q409/N409</f>
        <v>0.65714285714285714</v>
      </c>
      <c r="AE409">
        <f>V409/S409</f>
        <v>0.28333333333333333</v>
      </c>
      <c r="AF409">
        <f>AD409-AE409</f>
        <v>0.37380952380952381</v>
      </c>
      <c r="AG409">
        <v>0</v>
      </c>
      <c r="AH409" s="14">
        <v>4.4496124031007751</v>
      </c>
      <c r="AI409" s="14">
        <v>12.713178294573645</v>
      </c>
      <c r="AJ409" s="14">
        <v>17.162790697674421</v>
      </c>
      <c r="AK409" s="14">
        <v>34.007751937984494</v>
      </c>
      <c r="AL409" s="5" t="s">
        <v>614</v>
      </c>
      <c r="AM409" s="22">
        <v>-13</v>
      </c>
      <c r="AN409" s="22">
        <v>181</v>
      </c>
      <c r="AO409">
        <f t="shared" si="154"/>
        <v>-7.18232044198895E-2</v>
      </c>
    </row>
    <row r="410" spans="1:41">
      <c r="A410" t="s">
        <v>266</v>
      </c>
      <c r="B410" t="s">
        <v>273</v>
      </c>
      <c r="C410">
        <v>37</v>
      </c>
      <c r="D410" t="s">
        <v>37</v>
      </c>
      <c r="E410">
        <v>6</v>
      </c>
      <c r="F410">
        <v>2</v>
      </c>
      <c r="G410" s="1">
        <f t="shared" si="147"/>
        <v>74</v>
      </c>
      <c r="H410">
        <v>196</v>
      </c>
      <c r="I410">
        <v>1998</v>
      </c>
      <c r="J410">
        <v>2016</v>
      </c>
      <c r="K410" s="1">
        <f t="shared" si="148"/>
        <v>18</v>
      </c>
      <c r="L410" t="s">
        <v>42</v>
      </c>
      <c r="M410" t="s">
        <v>44</v>
      </c>
      <c r="N410" s="2">
        <v>75</v>
      </c>
      <c r="O410" s="5">
        <v>3</v>
      </c>
      <c r="P410" s="5">
        <v>25</v>
      </c>
      <c r="Q410" s="5">
        <f t="shared" si="149"/>
        <v>28</v>
      </c>
      <c r="R410" s="4">
        <v>82</v>
      </c>
      <c r="S410" s="2">
        <v>63</v>
      </c>
      <c r="T410" s="5">
        <v>2</v>
      </c>
      <c r="U410" s="5">
        <v>12</v>
      </c>
      <c r="V410" s="5">
        <f t="shared" si="150"/>
        <v>14</v>
      </c>
      <c r="W410" s="4">
        <v>68</v>
      </c>
      <c r="X410">
        <f>O410/N410</f>
        <v>0.04</v>
      </c>
      <c r="Y410">
        <f>T410/S410</f>
        <v>3.1746031746031744E-2</v>
      </c>
      <c r="Z410">
        <f>X410-Y410</f>
        <v>8.2539682539682566E-3</v>
      </c>
      <c r="AA410">
        <f>P410/N410</f>
        <v>0.33333333333333331</v>
      </c>
      <c r="AB410">
        <f>U410/S410</f>
        <v>0.19047619047619047</v>
      </c>
      <c r="AC410">
        <f>AA410-AB410</f>
        <v>0.14285714285714285</v>
      </c>
      <c r="AD410">
        <f>Q410/N410</f>
        <v>0.37333333333333335</v>
      </c>
      <c r="AE410">
        <f>V410/S410</f>
        <v>0.22222222222222221</v>
      </c>
      <c r="AF410">
        <f>AD410-AE410</f>
        <v>0.15111111111111114</v>
      </c>
      <c r="AG410">
        <v>0</v>
      </c>
      <c r="AH410" s="14">
        <v>3.4166666666666665</v>
      </c>
      <c r="AI410" s="14">
        <v>13.666666666666666</v>
      </c>
      <c r="AJ410" s="14">
        <v>17.083333333333332</v>
      </c>
      <c r="AK410" s="14">
        <v>47.833333333333329</v>
      </c>
      <c r="AL410" s="5" t="s">
        <v>599</v>
      </c>
      <c r="AM410" s="22">
        <v>-14</v>
      </c>
      <c r="AN410" s="22">
        <v>47</v>
      </c>
      <c r="AO410">
        <f t="shared" si="154"/>
        <v>-0.2978723404255319</v>
      </c>
    </row>
    <row r="411" spans="1:41">
      <c r="A411" s="6" t="s">
        <v>87</v>
      </c>
      <c r="B411" t="s">
        <v>98</v>
      </c>
      <c r="C411">
        <v>183</v>
      </c>
      <c r="D411" t="s">
        <v>34</v>
      </c>
      <c r="E411">
        <v>6</v>
      </c>
      <c r="F411">
        <v>1</v>
      </c>
      <c r="G411" s="1">
        <f t="shared" si="147"/>
        <v>73</v>
      </c>
      <c r="H411">
        <v>207</v>
      </c>
      <c r="I411">
        <v>1984</v>
      </c>
      <c r="J411">
        <v>2003</v>
      </c>
      <c r="K411" s="1">
        <f t="shared" si="148"/>
        <v>19</v>
      </c>
      <c r="L411" t="s">
        <v>41</v>
      </c>
      <c r="M411" t="s">
        <v>44</v>
      </c>
      <c r="N411" s="2">
        <v>61</v>
      </c>
      <c r="O411" s="5">
        <v>10</v>
      </c>
      <c r="P411" s="5">
        <v>24</v>
      </c>
      <c r="Q411" s="5">
        <f t="shared" si="149"/>
        <v>34</v>
      </c>
      <c r="R411" s="4">
        <v>48</v>
      </c>
      <c r="S411" s="2">
        <v>69</v>
      </c>
      <c r="T411" s="5">
        <v>13</v>
      </c>
      <c r="U411" s="5">
        <v>26</v>
      </c>
      <c r="V411" s="3">
        <f t="shared" si="150"/>
        <v>39</v>
      </c>
      <c r="W411" s="4">
        <v>42</v>
      </c>
      <c r="X411">
        <f>O411/N411</f>
        <v>0.16393442622950818</v>
      </c>
      <c r="Y411">
        <f>T411/S411</f>
        <v>0.18840579710144928</v>
      </c>
      <c r="Z411">
        <f>X411-Y411</f>
        <v>-2.4471370871941095E-2</v>
      </c>
      <c r="AA411">
        <f>P411/N411</f>
        <v>0.39344262295081966</v>
      </c>
      <c r="AB411">
        <f>U411/S411</f>
        <v>0.37681159420289856</v>
      </c>
      <c r="AC411">
        <f>AA411-AB411</f>
        <v>1.6631028747921106E-2</v>
      </c>
      <c r="AD411">
        <f>Q411/N411</f>
        <v>0.55737704918032782</v>
      </c>
      <c r="AE411">
        <f>V411/S411</f>
        <v>0.56521739130434778</v>
      </c>
      <c r="AF411">
        <f>AD411-AE411</f>
        <v>-7.8403421240199611E-3</v>
      </c>
      <c r="AG411">
        <v>0</v>
      </c>
      <c r="AH411" s="14">
        <v>6.7287899860917939</v>
      </c>
      <c r="AI411" s="14">
        <v>10.150208623087622</v>
      </c>
      <c r="AJ411" s="14">
        <v>16.878998609179416</v>
      </c>
      <c r="AK411" s="14">
        <v>38.890125173852574</v>
      </c>
      <c r="AL411" s="3" t="s">
        <v>599</v>
      </c>
    </row>
    <row r="412" spans="1:41">
      <c r="A412" t="s">
        <v>510</v>
      </c>
      <c r="B412" t="s">
        <v>517</v>
      </c>
      <c r="C412">
        <v>66</v>
      </c>
      <c r="D412" t="s">
        <v>35</v>
      </c>
      <c r="E412">
        <v>6</v>
      </c>
      <c r="F412">
        <v>4</v>
      </c>
      <c r="G412" s="1">
        <f t="shared" si="147"/>
        <v>76</v>
      </c>
      <c r="H412">
        <v>212</v>
      </c>
      <c r="I412">
        <v>1991</v>
      </c>
      <c r="J412">
        <v>2009</v>
      </c>
      <c r="K412" s="1">
        <f t="shared" si="148"/>
        <v>18</v>
      </c>
      <c r="L412" t="s">
        <v>42</v>
      </c>
      <c r="M412" t="s">
        <v>44</v>
      </c>
      <c r="N412" s="2">
        <v>73</v>
      </c>
      <c r="O412" s="5">
        <v>10</v>
      </c>
      <c r="P412" s="5">
        <v>26</v>
      </c>
      <c r="Q412" s="5">
        <f t="shared" si="149"/>
        <v>36</v>
      </c>
      <c r="R412" s="4">
        <v>142</v>
      </c>
      <c r="S412" s="2">
        <v>65</v>
      </c>
      <c r="T412" s="5">
        <v>2</v>
      </c>
      <c r="U412" s="5">
        <v>9</v>
      </c>
      <c r="V412" s="5">
        <f t="shared" si="150"/>
        <v>11</v>
      </c>
      <c r="W412" s="4">
        <v>63</v>
      </c>
      <c r="AG412">
        <v>0</v>
      </c>
      <c r="AH412" s="14">
        <v>3.5142857142857142</v>
      </c>
      <c r="AI412" s="14">
        <v>13.276190476190477</v>
      </c>
      <c r="AJ412" s="14">
        <v>16.790476190476191</v>
      </c>
      <c r="AK412" s="14">
        <v>68.919047619047618</v>
      </c>
      <c r="AL412" s="3" t="s">
        <v>599</v>
      </c>
      <c r="AM412" s="22">
        <v>-15</v>
      </c>
      <c r="AN412" s="22">
        <v>1213</v>
      </c>
      <c r="AO412">
        <f>AM412/AN412</f>
        <v>-1.236603462489695E-2</v>
      </c>
    </row>
    <row r="413" spans="1:41">
      <c r="A413" s="6" t="s">
        <v>148</v>
      </c>
      <c r="B413" t="s">
        <v>155</v>
      </c>
      <c r="C413">
        <v>33</v>
      </c>
      <c r="D413" t="s">
        <v>34</v>
      </c>
      <c r="E413">
        <v>6</v>
      </c>
      <c r="F413">
        <v>1</v>
      </c>
      <c r="G413" s="1">
        <f t="shared" si="147"/>
        <v>73</v>
      </c>
      <c r="H413">
        <v>214</v>
      </c>
      <c r="I413">
        <v>1995</v>
      </c>
      <c r="J413">
        <v>2013</v>
      </c>
      <c r="K413" s="1">
        <f t="shared" si="148"/>
        <v>18</v>
      </c>
      <c r="L413" t="s">
        <v>41</v>
      </c>
      <c r="M413" t="s">
        <v>44</v>
      </c>
      <c r="N413" s="2">
        <v>72</v>
      </c>
      <c r="O413" s="5">
        <v>33</v>
      </c>
      <c r="P413" s="5">
        <v>45</v>
      </c>
      <c r="Q413" s="5">
        <f t="shared" si="149"/>
        <v>78</v>
      </c>
      <c r="R413" s="4">
        <v>67</v>
      </c>
      <c r="S413" s="2">
        <v>64</v>
      </c>
      <c r="T413" s="5">
        <v>28</v>
      </c>
      <c r="U413" s="5">
        <v>27</v>
      </c>
      <c r="V413" s="5">
        <f t="shared" si="150"/>
        <v>55</v>
      </c>
      <c r="W413" s="4">
        <v>32</v>
      </c>
      <c r="X413">
        <f>O413/N413</f>
        <v>0.45833333333333331</v>
      </c>
      <c r="Y413">
        <f>T413/S413</f>
        <v>0.4375</v>
      </c>
      <c r="Z413">
        <f>X413-Y413</f>
        <v>2.0833333333333315E-2</v>
      </c>
      <c r="AA413">
        <f>P413/N413</f>
        <v>0.625</v>
      </c>
      <c r="AB413">
        <f>U413/S413</f>
        <v>0.421875</v>
      </c>
      <c r="AC413">
        <f>AA413-AB413</f>
        <v>0.203125</v>
      </c>
      <c r="AD413">
        <f>Q413/N413</f>
        <v>1.0833333333333333</v>
      </c>
      <c r="AE413">
        <f>V413/S413</f>
        <v>0.859375</v>
      </c>
      <c r="AF413">
        <f>AD413-AE413</f>
        <v>0.22395833333333326</v>
      </c>
      <c r="AG413">
        <v>0</v>
      </c>
      <c r="AH413" s="14">
        <v>8.0757575757575761</v>
      </c>
      <c r="AI413" s="14">
        <v>8.6969696969696972</v>
      </c>
      <c r="AJ413" s="14">
        <v>16.772727272727273</v>
      </c>
      <c r="AK413" s="14">
        <v>48.454545454545453</v>
      </c>
      <c r="AL413" s="5" t="s">
        <v>614</v>
      </c>
    </row>
    <row r="414" spans="1:41">
      <c r="A414" t="s">
        <v>413</v>
      </c>
      <c r="B414" t="s">
        <v>424</v>
      </c>
      <c r="C414">
        <v>19</v>
      </c>
      <c r="D414" t="s">
        <v>428</v>
      </c>
      <c r="E414">
        <v>6</v>
      </c>
      <c r="F414">
        <v>3</v>
      </c>
      <c r="G414" s="1">
        <f t="shared" si="147"/>
        <v>75</v>
      </c>
      <c r="H414">
        <v>204</v>
      </c>
      <c r="I414">
        <v>1990</v>
      </c>
      <c r="J414">
        <v>2008</v>
      </c>
      <c r="K414" s="1">
        <f t="shared" si="148"/>
        <v>18</v>
      </c>
      <c r="L414" t="s">
        <v>42</v>
      </c>
      <c r="M414" t="s">
        <v>44</v>
      </c>
      <c r="N414" s="2">
        <v>68</v>
      </c>
      <c r="O414" s="5">
        <v>6</v>
      </c>
      <c r="P414" s="5">
        <v>27</v>
      </c>
      <c r="Q414" s="5">
        <f t="shared" si="149"/>
        <v>33</v>
      </c>
      <c r="R414" s="4">
        <v>67</v>
      </c>
      <c r="S414" s="2">
        <v>13</v>
      </c>
      <c r="T414" s="5">
        <v>1</v>
      </c>
      <c r="U414" s="5">
        <v>2</v>
      </c>
      <c r="V414" s="5">
        <f t="shared" si="150"/>
        <v>3</v>
      </c>
      <c r="W414" s="4">
        <v>4</v>
      </c>
      <c r="AG414">
        <v>0</v>
      </c>
      <c r="AH414" s="14">
        <v>3.0252427184466018</v>
      </c>
      <c r="AI414" s="14">
        <v>13.693203883495146</v>
      </c>
      <c r="AJ414" s="14">
        <v>16.718446601941746</v>
      </c>
      <c r="AK414" s="14">
        <v>56.046601941747568</v>
      </c>
      <c r="AL414" s="3" t="s">
        <v>599</v>
      </c>
      <c r="AM414" s="22">
        <v>-16</v>
      </c>
      <c r="AN414" s="22">
        <v>37</v>
      </c>
      <c r="AO414">
        <f t="shared" ref="AO414:AO415" si="155">AM414/AN414</f>
        <v>-0.43243243243243246</v>
      </c>
    </row>
    <row r="415" spans="1:41">
      <c r="A415" t="s">
        <v>234</v>
      </c>
      <c r="B415" t="s">
        <v>237</v>
      </c>
      <c r="C415">
        <v>46</v>
      </c>
      <c r="D415" t="s">
        <v>35</v>
      </c>
      <c r="E415">
        <v>6</v>
      </c>
      <c r="F415">
        <v>4</v>
      </c>
      <c r="G415" s="1">
        <f t="shared" si="147"/>
        <v>76</v>
      </c>
      <c r="H415">
        <v>215</v>
      </c>
      <c r="I415">
        <v>1993</v>
      </c>
      <c r="J415">
        <v>2011</v>
      </c>
      <c r="K415" s="1">
        <f t="shared" si="148"/>
        <v>18</v>
      </c>
      <c r="L415" t="s">
        <v>42</v>
      </c>
      <c r="M415" t="s">
        <v>44</v>
      </c>
      <c r="N415" s="2">
        <v>71</v>
      </c>
      <c r="O415" s="5">
        <v>2</v>
      </c>
      <c r="P415" s="5">
        <v>18</v>
      </c>
      <c r="Q415" s="5">
        <f t="shared" si="149"/>
        <v>20</v>
      </c>
      <c r="R415" s="4">
        <v>95</v>
      </c>
      <c r="V415" s="5">
        <f t="shared" si="150"/>
        <v>0</v>
      </c>
      <c r="X415">
        <f>O415/N415</f>
        <v>2.8169014084507043E-2</v>
      </c>
      <c r="Y415" t="e">
        <f>T415/S415</f>
        <v>#DIV/0!</v>
      </c>
      <c r="Z415" t="e">
        <f>X415-Y415</f>
        <v>#DIV/0!</v>
      </c>
      <c r="AA415">
        <f>P415/N415</f>
        <v>0.25352112676056338</v>
      </c>
      <c r="AB415" t="e">
        <f>U415/S415</f>
        <v>#DIV/0!</v>
      </c>
      <c r="AC415" t="e">
        <f>AA415-AB415</f>
        <v>#DIV/0!</v>
      </c>
      <c r="AD415">
        <f>Q415/N415</f>
        <v>0.28169014084507044</v>
      </c>
      <c r="AE415" t="e">
        <f>V415/S415</f>
        <v>#DIV/0!</v>
      </c>
      <c r="AF415" t="e">
        <f>AD415-AE415</f>
        <v>#DIV/0!</v>
      </c>
      <c r="AG415">
        <v>0</v>
      </c>
      <c r="AH415" s="14">
        <v>4.2268041237113403</v>
      </c>
      <c r="AI415" s="14">
        <v>12.398625429553265</v>
      </c>
      <c r="AJ415" s="14">
        <v>16.625429553264606</v>
      </c>
      <c r="AK415" s="14">
        <v>79.745704467353946</v>
      </c>
      <c r="AL415" s="5" t="s">
        <v>599</v>
      </c>
      <c r="AM415" s="22">
        <v>-17</v>
      </c>
      <c r="AN415" s="22">
        <v>123</v>
      </c>
      <c r="AO415">
        <f t="shared" si="155"/>
        <v>-0.13821138211382114</v>
      </c>
    </row>
    <row r="416" spans="1:41">
      <c r="A416" t="s">
        <v>169</v>
      </c>
      <c r="B416" t="s">
        <v>184</v>
      </c>
      <c r="C416">
        <v>77</v>
      </c>
      <c r="D416" t="s">
        <v>35</v>
      </c>
      <c r="E416">
        <v>6</v>
      </c>
      <c r="F416">
        <v>0</v>
      </c>
      <c r="G416" s="1">
        <f t="shared" si="147"/>
        <v>72</v>
      </c>
      <c r="H416">
        <v>203</v>
      </c>
      <c r="I416">
        <v>1994</v>
      </c>
      <c r="J416">
        <v>2012</v>
      </c>
      <c r="K416" s="1">
        <f t="shared" si="148"/>
        <v>18</v>
      </c>
      <c r="L416" t="s">
        <v>41</v>
      </c>
      <c r="M416" t="s">
        <v>44</v>
      </c>
      <c r="N416" s="2">
        <v>55</v>
      </c>
      <c r="O416" s="5">
        <v>22</v>
      </c>
      <c r="P416" s="5">
        <v>20</v>
      </c>
      <c r="Q416" s="5">
        <f t="shared" si="149"/>
        <v>42</v>
      </c>
      <c r="R416" s="4">
        <v>24</v>
      </c>
      <c r="S416" s="2">
        <v>60</v>
      </c>
      <c r="T416" s="5">
        <v>7</v>
      </c>
      <c r="U416" s="5">
        <v>12</v>
      </c>
      <c r="V416" s="5">
        <f t="shared" si="150"/>
        <v>19</v>
      </c>
      <c r="W416" s="4">
        <v>6</v>
      </c>
      <c r="X416">
        <f>O416/N416</f>
        <v>0.4</v>
      </c>
      <c r="Y416">
        <f>T416/S416</f>
        <v>0.11666666666666667</v>
      </c>
      <c r="Z416">
        <f>X416-Y416</f>
        <v>0.28333333333333333</v>
      </c>
      <c r="AA416">
        <f>P416/N416</f>
        <v>0.36363636363636365</v>
      </c>
      <c r="AB416">
        <f>U416/S416</f>
        <v>0.2</v>
      </c>
      <c r="AC416">
        <f>AA416-AB416</f>
        <v>0.16363636363636364</v>
      </c>
      <c r="AD416">
        <f>Q416/N416</f>
        <v>0.76363636363636367</v>
      </c>
      <c r="AE416">
        <f>V416/S416</f>
        <v>0.31666666666666665</v>
      </c>
      <c r="AF416">
        <f>AD416-AE416</f>
        <v>0.44696969696969702</v>
      </c>
      <c r="AG416">
        <v>0</v>
      </c>
      <c r="AH416" s="14">
        <v>7</v>
      </c>
      <c r="AI416" s="14">
        <v>9.5</v>
      </c>
      <c r="AJ416" s="14">
        <v>16.5</v>
      </c>
      <c r="AK416" s="14">
        <v>7</v>
      </c>
      <c r="AL416" s="5" t="s">
        <v>599</v>
      </c>
    </row>
    <row r="417" spans="1:41">
      <c r="A417" t="s">
        <v>188</v>
      </c>
      <c r="B417" t="s">
        <v>194</v>
      </c>
      <c r="C417">
        <v>5</v>
      </c>
      <c r="D417" t="s">
        <v>35</v>
      </c>
      <c r="E417">
        <v>6</v>
      </c>
      <c r="F417">
        <v>3</v>
      </c>
      <c r="G417" s="1">
        <f t="shared" si="147"/>
        <v>75</v>
      </c>
      <c r="H417">
        <v>204</v>
      </c>
      <c r="I417">
        <v>1996</v>
      </c>
      <c r="J417">
        <v>2014</v>
      </c>
      <c r="K417" s="1">
        <f t="shared" si="148"/>
        <v>18</v>
      </c>
      <c r="L417" t="s">
        <v>41</v>
      </c>
      <c r="M417" t="s">
        <v>44</v>
      </c>
      <c r="N417" s="2">
        <v>67</v>
      </c>
      <c r="O417" s="5">
        <v>39</v>
      </c>
      <c r="P417" s="5">
        <v>56</v>
      </c>
      <c r="Q417" s="5">
        <f t="shared" si="149"/>
        <v>95</v>
      </c>
      <c r="R417" s="4">
        <v>34</v>
      </c>
      <c r="S417" s="2">
        <v>63</v>
      </c>
      <c r="T417" s="5">
        <v>15</v>
      </c>
      <c r="U417" s="5">
        <v>33</v>
      </c>
      <c r="V417" s="5">
        <f t="shared" si="150"/>
        <v>48</v>
      </c>
      <c r="W417" s="4">
        <v>18</v>
      </c>
      <c r="X417">
        <f>O417/N417</f>
        <v>0.58208955223880599</v>
      </c>
      <c r="Y417">
        <f>T417/S417</f>
        <v>0.23809523809523808</v>
      </c>
      <c r="Z417">
        <f>X417-Y417</f>
        <v>0.3439943141435679</v>
      </c>
      <c r="AA417">
        <f>P417/N417</f>
        <v>0.83582089552238803</v>
      </c>
      <c r="AB417">
        <f>U417/S417</f>
        <v>0.52380952380952384</v>
      </c>
      <c r="AC417">
        <f>AA417-AB417</f>
        <v>0.31201137171286419</v>
      </c>
      <c r="AD417">
        <f>Q417/N417</f>
        <v>1.4179104477611941</v>
      </c>
      <c r="AE417">
        <f>V417/S417</f>
        <v>0.76190476190476186</v>
      </c>
      <c r="AF417">
        <f>AD417-AE417</f>
        <v>0.65600568585643226</v>
      </c>
      <c r="AG417">
        <v>0</v>
      </c>
      <c r="AH417" s="14">
        <v>6.56</v>
      </c>
      <c r="AI417" s="14">
        <v>9.84</v>
      </c>
      <c r="AJ417" s="14">
        <v>16.399999999999999</v>
      </c>
      <c r="AK417" s="14">
        <v>16.399999999999999</v>
      </c>
      <c r="AL417" s="3" t="s">
        <v>600</v>
      </c>
    </row>
    <row r="418" spans="1:41">
      <c r="A418" t="s">
        <v>306</v>
      </c>
      <c r="B418" t="s">
        <v>313</v>
      </c>
      <c r="C418">
        <v>67</v>
      </c>
      <c r="D418" t="s">
        <v>34</v>
      </c>
      <c r="E418">
        <v>6</v>
      </c>
      <c r="F418">
        <v>2</v>
      </c>
      <c r="G418" s="1">
        <f t="shared" si="147"/>
        <v>74</v>
      </c>
      <c r="H418">
        <v>190</v>
      </c>
      <c r="I418">
        <v>1994</v>
      </c>
      <c r="J418">
        <v>2012</v>
      </c>
      <c r="K418" s="1">
        <f t="shared" si="148"/>
        <v>18</v>
      </c>
      <c r="L418" t="s">
        <v>41</v>
      </c>
      <c r="M418" t="s">
        <v>44</v>
      </c>
      <c r="N418" s="2">
        <v>18</v>
      </c>
      <c r="O418" s="5">
        <v>7</v>
      </c>
      <c r="P418" s="5">
        <v>8</v>
      </c>
      <c r="Q418" s="5">
        <f t="shared" si="149"/>
        <v>15</v>
      </c>
      <c r="R418" s="4">
        <v>8</v>
      </c>
      <c r="S418" s="2">
        <v>30</v>
      </c>
      <c r="T418" s="5">
        <v>23</v>
      </c>
      <c r="U418" s="5">
        <v>41</v>
      </c>
      <c r="V418" s="5">
        <f t="shared" si="150"/>
        <v>64</v>
      </c>
      <c r="W418" s="4">
        <v>12</v>
      </c>
      <c r="X418">
        <f>O418/N418</f>
        <v>0.3888888888888889</v>
      </c>
      <c r="Y418">
        <f>T418/S418</f>
        <v>0.76666666666666672</v>
      </c>
      <c r="Z418">
        <f>X418-Y418</f>
        <v>-0.37777777777777782</v>
      </c>
      <c r="AA418">
        <f>P418/N418</f>
        <v>0.44444444444444442</v>
      </c>
      <c r="AB418">
        <f>U418/S418</f>
        <v>1.3666666666666667</v>
      </c>
      <c r="AC418">
        <f>AA418-AB418</f>
        <v>-0.92222222222222228</v>
      </c>
      <c r="AD418">
        <f>Q418/N418</f>
        <v>0.83333333333333337</v>
      </c>
      <c r="AE418">
        <f>V418/S418</f>
        <v>2.1333333333333333</v>
      </c>
      <c r="AF418">
        <f>AD418-AE418</f>
        <v>-1.2999999999999998</v>
      </c>
      <c r="AG418">
        <v>0</v>
      </c>
      <c r="AH418" s="14">
        <v>9.1111111111111107</v>
      </c>
      <c r="AI418" s="14">
        <v>7.2888888888888888</v>
      </c>
      <c r="AJ418" s="14">
        <v>16.399999999999999</v>
      </c>
      <c r="AK418" s="14">
        <v>21.866666666666667</v>
      </c>
      <c r="AL418" s="3" t="s">
        <v>638</v>
      </c>
    </row>
    <row r="419" spans="1:41">
      <c r="A419" t="s">
        <v>413</v>
      </c>
      <c r="B419" t="s">
        <v>422</v>
      </c>
      <c r="C419">
        <v>127</v>
      </c>
      <c r="D419" t="s">
        <v>34</v>
      </c>
      <c r="E419">
        <v>6</v>
      </c>
      <c r="F419">
        <v>2</v>
      </c>
      <c r="G419" s="1">
        <f t="shared" si="147"/>
        <v>74</v>
      </c>
      <c r="H419">
        <v>199</v>
      </c>
      <c r="I419">
        <v>1993</v>
      </c>
      <c r="J419">
        <v>2013</v>
      </c>
      <c r="K419" s="1">
        <f t="shared" si="148"/>
        <v>20</v>
      </c>
      <c r="L419" t="s">
        <v>42</v>
      </c>
      <c r="M419" t="s">
        <v>43</v>
      </c>
      <c r="N419" s="2">
        <v>40</v>
      </c>
      <c r="O419" s="5">
        <v>8</v>
      </c>
      <c r="P419" s="5">
        <v>10</v>
      </c>
      <c r="Q419" s="5">
        <f t="shared" si="149"/>
        <v>18</v>
      </c>
      <c r="R419" s="4">
        <v>16</v>
      </c>
      <c r="S419" s="2">
        <v>58</v>
      </c>
      <c r="T419" s="5">
        <v>15</v>
      </c>
      <c r="U419" s="5">
        <v>26</v>
      </c>
      <c r="V419" s="5">
        <f t="shared" si="150"/>
        <v>41</v>
      </c>
      <c r="W419" s="4">
        <v>23</v>
      </c>
      <c r="AG419">
        <v>0</v>
      </c>
      <c r="AH419" s="14">
        <v>3.6444444444444444</v>
      </c>
      <c r="AI419" s="14">
        <v>12.755555555555555</v>
      </c>
      <c r="AJ419" s="14">
        <v>16.399999999999999</v>
      </c>
      <c r="AK419" s="14">
        <v>3.6444444444444444</v>
      </c>
      <c r="AL419" s="5" t="s">
        <v>637</v>
      </c>
    </row>
    <row r="420" spans="1:41">
      <c r="A420" t="s">
        <v>556</v>
      </c>
      <c r="B420" t="s">
        <v>565</v>
      </c>
      <c r="C420">
        <v>24</v>
      </c>
      <c r="D420" t="s">
        <v>34</v>
      </c>
      <c r="E420">
        <v>6</v>
      </c>
      <c r="F420">
        <v>3</v>
      </c>
      <c r="G420" s="1">
        <f t="shared" si="147"/>
        <v>75</v>
      </c>
      <c r="H420">
        <v>210</v>
      </c>
      <c r="I420">
        <v>1998</v>
      </c>
      <c r="J420">
        <v>2016</v>
      </c>
      <c r="K420" s="1">
        <f t="shared" si="148"/>
        <v>18</v>
      </c>
      <c r="L420" t="s">
        <v>41</v>
      </c>
      <c r="M420" t="s">
        <v>44</v>
      </c>
      <c r="N420" s="2">
        <v>63</v>
      </c>
      <c r="O420" s="5">
        <v>28</v>
      </c>
      <c r="P420" s="5">
        <v>24</v>
      </c>
      <c r="Q420" s="5">
        <f t="shared" si="149"/>
        <v>52</v>
      </c>
      <c r="R420" s="4">
        <v>106</v>
      </c>
      <c r="S420" s="2">
        <v>40</v>
      </c>
      <c r="T420" s="5">
        <v>18</v>
      </c>
      <c r="U420" s="5">
        <v>10</v>
      </c>
      <c r="V420" s="5">
        <f t="shared" si="150"/>
        <v>28</v>
      </c>
      <c r="W420" s="4">
        <f>116+73</f>
        <v>189</v>
      </c>
      <c r="AG420">
        <v>0</v>
      </c>
      <c r="AH420" s="14">
        <v>8.1999999999999993</v>
      </c>
      <c r="AI420" s="14">
        <v>8.1999999999999993</v>
      </c>
      <c r="AJ420" s="14">
        <v>16.399999999999999</v>
      </c>
      <c r="AK420" s="14">
        <v>36.08</v>
      </c>
      <c r="AL420" s="3" t="s">
        <v>600</v>
      </c>
      <c r="AM420" s="22">
        <v>-18</v>
      </c>
      <c r="AN420" s="22">
        <v>239</v>
      </c>
      <c r="AO420">
        <f t="shared" ref="AO420:AO424" si="156">AM420/AN420</f>
        <v>-7.5313807531380755E-2</v>
      </c>
    </row>
    <row r="421" spans="1:41">
      <c r="A421" s="6" t="s">
        <v>121</v>
      </c>
      <c r="B421" t="s">
        <v>131</v>
      </c>
      <c r="C421">
        <v>5</v>
      </c>
      <c r="D421" t="s">
        <v>35</v>
      </c>
      <c r="E421">
        <v>6</v>
      </c>
      <c r="F421">
        <v>2</v>
      </c>
      <c r="G421" s="1">
        <f t="shared" si="147"/>
        <v>74</v>
      </c>
      <c r="H421">
        <v>229</v>
      </c>
      <c r="I421">
        <v>1989</v>
      </c>
      <c r="J421">
        <v>2008</v>
      </c>
      <c r="K421" s="1">
        <f t="shared" si="148"/>
        <v>19</v>
      </c>
      <c r="L421" t="s">
        <v>42</v>
      </c>
      <c r="M421" t="s">
        <v>43</v>
      </c>
      <c r="N421" s="2">
        <v>64</v>
      </c>
      <c r="O421" s="5">
        <v>7</v>
      </c>
      <c r="P421" s="5">
        <v>21</v>
      </c>
      <c r="Q421" s="5">
        <f t="shared" si="149"/>
        <v>28</v>
      </c>
      <c r="R421" s="4">
        <v>106</v>
      </c>
      <c r="S421" s="2">
        <v>78</v>
      </c>
      <c r="T421" s="5">
        <v>5</v>
      </c>
      <c r="U421" s="5">
        <v>27</v>
      </c>
      <c r="V421" s="5">
        <f t="shared" si="150"/>
        <v>32</v>
      </c>
      <c r="W421" s="4">
        <v>143</v>
      </c>
      <c r="X421">
        <f>O421/N421</f>
        <v>0.109375</v>
      </c>
      <c r="Y421">
        <f>T421/S421</f>
        <v>6.4102564102564097E-2</v>
      </c>
      <c r="Z421">
        <f>X421-Y421</f>
        <v>4.5272435897435903E-2</v>
      </c>
      <c r="AA421">
        <f>P421/N421</f>
        <v>0.328125</v>
      </c>
      <c r="AB421">
        <f>U421/S421</f>
        <v>0.34615384615384615</v>
      </c>
      <c r="AC421">
        <f>AA421-AB421</f>
        <v>-1.8028846153846145E-2</v>
      </c>
      <c r="AD421">
        <f>Q421/N421</f>
        <v>0.4375</v>
      </c>
      <c r="AE421">
        <f>V421/S421</f>
        <v>0.41025641025641024</v>
      </c>
      <c r="AF421">
        <f>AD421-AE421</f>
        <v>2.7243589743589758E-2</v>
      </c>
      <c r="AG421">
        <v>0</v>
      </c>
      <c r="AH421" s="14">
        <v>3.4351351351351354</v>
      </c>
      <c r="AI421" s="14">
        <v>12.743243243243244</v>
      </c>
      <c r="AJ421" s="14">
        <v>16.17837837837838</v>
      </c>
      <c r="AK421" s="14">
        <v>61.056756756756762</v>
      </c>
      <c r="AL421" s="5" t="s">
        <v>599</v>
      </c>
      <c r="AM421" s="22">
        <v>-19</v>
      </c>
      <c r="AN421" s="22">
        <v>272</v>
      </c>
      <c r="AO421">
        <f t="shared" si="156"/>
        <v>-6.985294117647059E-2</v>
      </c>
    </row>
    <row r="422" spans="1:41">
      <c r="A422" t="s">
        <v>397</v>
      </c>
      <c r="B422" t="s">
        <v>405</v>
      </c>
      <c r="C422">
        <v>14</v>
      </c>
      <c r="D422" t="s">
        <v>35</v>
      </c>
      <c r="E422">
        <v>6</v>
      </c>
      <c r="F422">
        <v>7</v>
      </c>
      <c r="G422" s="1">
        <f t="shared" si="147"/>
        <v>79</v>
      </c>
      <c r="H422">
        <v>255</v>
      </c>
      <c r="I422">
        <v>1992</v>
      </c>
      <c r="J422">
        <v>2011</v>
      </c>
      <c r="K422" s="1">
        <f t="shared" si="148"/>
        <v>19</v>
      </c>
      <c r="L422" t="s">
        <v>42</v>
      </c>
      <c r="M422" t="s">
        <v>44</v>
      </c>
      <c r="N422" s="2">
        <v>38</v>
      </c>
      <c r="O422" s="5">
        <v>4</v>
      </c>
      <c r="P422" s="5">
        <v>9</v>
      </c>
      <c r="Q422" s="5">
        <f t="shared" si="149"/>
        <v>13</v>
      </c>
      <c r="R422" s="4">
        <v>57</v>
      </c>
      <c r="S422" s="2">
        <v>53</v>
      </c>
      <c r="T422" s="5">
        <v>2</v>
      </c>
      <c r="U422" s="5">
        <v>12</v>
      </c>
      <c r="V422" s="5">
        <f t="shared" si="150"/>
        <v>14</v>
      </c>
      <c r="W422" s="4">
        <v>75</v>
      </c>
      <c r="AG422">
        <v>0</v>
      </c>
      <c r="AH422" s="14">
        <v>4.6067415730337071</v>
      </c>
      <c r="AI422" s="14">
        <v>11.363295880149812</v>
      </c>
      <c r="AJ422" s="14">
        <v>15.970037453183519</v>
      </c>
      <c r="AK422" s="14">
        <v>69.101123595505612</v>
      </c>
      <c r="AL422" s="3" t="s">
        <v>611</v>
      </c>
      <c r="AM422" s="22">
        <v>-19</v>
      </c>
      <c r="AN422" s="22">
        <v>520</v>
      </c>
      <c r="AO422">
        <f t="shared" si="156"/>
        <v>-3.653846153846154E-2</v>
      </c>
    </row>
    <row r="423" spans="1:41">
      <c r="A423" t="s">
        <v>354</v>
      </c>
      <c r="B423" t="s">
        <v>353</v>
      </c>
      <c r="C423">
        <v>73</v>
      </c>
      <c r="D423" t="s">
        <v>119</v>
      </c>
      <c r="E423">
        <v>5</v>
      </c>
      <c r="F423">
        <v>11</v>
      </c>
      <c r="G423" s="1">
        <f t="shared" si="147"/>
        <v>71</v>
      </c>
      <c r="H423">
        <v>200</v>
      </c>
      <c r="I423">
        <v>1988</v>
      </c>
      <c r="J423">
        <v>2007</v>
      </c>
      <c r="K423" s="1">
        <f t="shared" si="148"/>
        <v>19</v>
      </c>
      <c r="L423" t="s">
        <v>42</v>
      </c>
      <c r="M423" t="s">
        <v>43</v>
      </c>
      <c r="N423" s="2">
        <v>52</v>
      </c>
      <c r="O423" s="5">
        <v>13</v>
      </c>
      <c r="P423" s="5">
        <v>28</v>
      </c>
      <c r="Q423" s="5">
        <f t="shared" si="149"/>
        <v>41</v>
      </c>
      <c r="R423" s="4">
        <v>44</v>
      </c>
      <c r="S423" s="2">
        <f>17+28+5</f>
        <v>50</v>
      </c>
      <c r="T423" s="5">
        <v>4</v>
      </c>
      <c r="U423" s="5">
        <v>8</v>
      </c>
      <c r="V423" s="5">
        <f t="shared" si="150"/>
        <v>12</v>
      </c>
      <c r="W423" s="4">
        <v>74</v>
      </c>
      <c r="X423">
        <f>O423/N423</f>
        <v>0.25</v>
      </c>
      <c r="Y423">
        <f>T423/S423</f>
        <v>0.08</v>
      </c>
      <c r="Z423">
        <f>X423-Y423</f>
        <v>0.16999999999999998</v>
      </c>
      <c r="AA423">
        <f>P423/N423</f>
        <v>0.53846153846153844</v>
      </c>
      <c r="AB423">
        <f>U423/S423</f>
        <v>0.16</v>
      </c>
      <c r="AC423">
        <f>AA423-AB423</f>
        <v>0.3784615384615384</v>
      </c>
      <c r="AD423">
        <f>Q423/N423</f>
        <v>0.78846153846153844</v>
      </c>
      <c r="AE423">
        <f>V423/S423</f>
        <v>0.24</v>
      </c>
      <c r="AF423">
        <f>AD423-AE423</f>
        <v>0.54846153846153844</v>
      </c>
      <c r="AG423">
        <v>0</v>
      </c>
      <c r="AH423" s="14">
        <v>4.7206823027718547</v>
      </c>
      <c r="AI423" s="14">
        <v>11.189765458422174</v>
      </c>
      <c r="AJ423" s="14">
        <v>15.91044776119403</v>
      </c>
      <c r="AK423" s="14">
        <v>31.995735607675904</v>
      </c>
      <c r="AL423" s="3" t="s">
        <v>600</v>
      </c>
      <c r="AM423" s="22">
        <v>-20</v>
      </c>
      <c r="AN423" s="22">
        <v>681</v>
      </c>
      <c r="AO423">
        <f t="shared" si="156"/>
        <v>-2.9368575624082231E-2</v>
      </c>
    </row>
    <row r="424" spans="1:41">
      <c r="A424" s="6" t="s">
        <v>102</v>
      </c>
      <c r="B424" t="s">
        <v>112</v>
      </c>
      <c r="C424">
        <v>23</v>
      </c>
      <c r="D424" t="s">
        <v>35</v>
      </c>
      <c r="E424">
        <v>6</v>
      </c>
      <c r="F424">
        <v>1</v>
      </c>
      <c r="G424" s="1">
        <f t="shared" si="147"/>
        <v>73</v>
      </c>
      <c r="H424">
        <v>200</v>
      </c>
      <c r="I424">
        <v>1992</v>
      </c>
      <c r="J424">
        <v>2010</v>
      </c>
      <c r="K424" s="1">
        <f t="shared" si="148"/>
        <v>18</v>
      </c>
      <c r="L424" t="s">
        <v>42</v>
      </c>
      <c r="M424" t="s">
        <v>43</v>
      </c>
      <c r="N424" s="2">
        <v>48</v>
      </c>
      <c r="O424" s="5">
        <v>7</v>
      </c>
      <c r="P424" s="5">
        <v>17</v>
      </c>
      <c r="Q424" s="5">
        <f t="shared" si="149"/>
        <v>24</v>
      </c>
      <c r="R424" s="4">
        <v>47</v>
      </c>
      <c r="S424" s="2">
        <v>61</v>
      </c>
      <c r="T424" s="5">
        <v>5</v>
      </c>
      <c r="U424" s="5">
        <v>15</v>
      </c>
      <c r="V424" s="5">
        <f t="shared" si="150"/>
        <v>20</v>
      </c>
      <c r="W424" s="4">
        <v>27</v>
      </c>
      <c r="X424">
        <f>O424/N424</f>
        <v>0.14583333333333334</v>
      </c>
      <c r="Y424">
        <f>T424/S424</f>
        <v>8.1967213114754092E-2</v>
      </c>
      <c r="Z424">
        <f>X424-Y424</f>
        <v>6.386612021857925E-2</v>
      </c>
      <c r="AA424">
        <f>P424/N424</f>
        <v>0.35416666666666669</v>
      </c>
      <c r="AB424">
        <f>U424/S424</f>
        <v>0.24590163934426229</v>
      </c>
      <c r="AC424">
        <f>AA424-AB424</f>
        <v>0.10826502732240439</v>
      </c>
      <c r="AD424">
        <f>Q424/N424</f>
        <v>0.5</v>
      </c>
      <c r="AE424">
        <f>V424/S424</f>
        <v>0.32786885245901637</v>
      </c>
      <c r="AF424">
        <f>AD424-AE424</f>
        <v>0.17213114754098363</v>
      </c>
      <c r="AG424">
        <v>0</v>
      </c>
      <c r="AH424" s="14">
        <v>3.0695187165775399</v>
      </c>
      <c r="AI424" s="14">
        <v>12.71657754010695</v>
      </c>
      <c r="AJ424" s="14">
        <v>15.786096256684491</v>
      </c>
      <c r="AK424" s="14">
        <v>24.55614973262032</v>
      </c>
      <c r="AL424" s="3" t="s">
        <v>599</v>
      </c>
      <c r="AM424" s="22">
        <v>-23</v>
      </c>
      <c r="AN424" s="22">
        <v>74</v>
      </c>
      <c r="AO424">
        <f t="shared" si="156"/>
        <v>-0.3108108108108108</v>
      </c>
    </row>
    <row r="425" spans="1:41">
      <c r="A425" t="s">
        <v>576</v>
      </c>
      <c r="B425" t="s">
        <v>580</v>
      </c>
      <c r="C425">
        <v>35</v>
      </c>
      <c r="D425" t="s">
        <v>35</v>
      </c>
      <c r="E425">
        <v>6</v>
      </c>
      <c r="F425">
        <v>2</v>
      </c>
      <c r="G425" s="1">
        <f t="shared" si="147"/>
        <v>74</v>
      </c>
      <c r="H425">
        <v>211</v>
      </c>
      <c r="I425">
        <v>1991</v>
      </c>
      <c r="J425">
        <v>2009</v>
      </c>
      <c r="K425" s="1">
        <f t="shared" si="148"/>
        <v>18</v>
      </c>
      <c r="L425" t="s">
        <v>41</v>
      </c>
      <c r="M425" t="s">
        <v>44</v>
      </c>
      <c r="N425" s="2">
        <v>66</v>
      </c>
      <c r="O425" s="5">
        <v>16</v>
      </c>
      <c r="P425" s="5">
        <v>12</v>
      </c>
      <c r="Q425" s="5">
        <f t="shared" si="149"/>
        <v>28</v>
      </c>
      <c r="R425" s="4">
        <v>149</v>
      </c>
      <c r="S425" s="2">
        <v>66</v>
      </c>
      <c r="T425" s="5">
        <v>1</v>
      </c>
      <c r="U425" s="5">
        <v>14</v>
      </c>
      <c r="V425" s="5">
        <f t="shared" si="150"/>
        <v>15</v>
      </c>
      <c r="W425" s="4">
        <v>83</v>
      </c>
      <c r="AG425">
        <v>0</v>
      </c>
      <c r="AH425" s="14">
        <v>7.2888888888888896</v>
      </c>
      <c r="AI425" s="14">
        <v>8.4603174603174605</v>
      </c>
      <c r="AJ425" s="14">
        <v>15.74920634920635</v>
      </c>
      <c r="AK425" s="14">
        <v>102.95555555555556</v>
      </c>
      <c r="AL425" s="5" t="s">
        <v>600</v>
      </c>
    </row>
    <row r="426" spans="1:41">
      <c r="A426" t="s">
        <v>510</v>
      </c>
      <c r="B426" t="s">
        <v>513</v>
      </c>
      <c r="C426">
        <v>194</v>
      </c>
      <c r="D426" t="s">
        <v>35</v>
      </c>
      <c r="E426">
        <v>6</v>
      </c>
      <c r="F426">
        <v>2</v>
      </c>
      <c r="G426" s="1">
        <f t="shared" si="147"/>
        <v>74</v>
      </c>
      <c r="H426">
        <v>214</v>
      </c>
      <c r="I426">
        <v>1982</v>
      </c>
      <c r="J426">
        <v>2000</v>
      </c>
      <c r="K426" s="1">
        <f t="shared" si="148"/>
        <v>18</v>
      </c>
      <c r="L426" t="s">
        <v>42</v>
      </c>
      <c r="M426" t="s">
        <v>43</v>
      </c>
      <c r="N426" s="2">
        <v>55</v>
      </c>
      <c r="O426" s="5">
        <v>0</v>
      </c>
      <c r="P426" s="5">
        <v>5</v>
      </c>
      <c r="Q426" s="5">
        <f t="shared" si="149"/>
        <v>5</v>
      </c>
      <c r="R426" s="4">
        <v>62</v>
      </c>
      <c r="S426" s="2">
        <v>2</v>
      </c>
      <c r="T426" s="5">
        <v>0</v>
      </c>
      <c r="U426" s="5">
        <v>0</v>
      </c>
      <c r="V426" s="5">
        <f t="shared" si="150"/>
        <v>0</v>
      </c>
      <c r="W426" s="4">
        <v>0</v>
      </c>
      <c r="AG426">
        <v>0</v>
      </c>
      <c r="AH426" s="14">
        <v>3.6982892690513225</v>
      </c>
      <c r="AI426" s="14">
        <v>11.987558320373251</v>
      </c>
      <c r="AJ426" s="14">
        <v>15.685847589424574</v>
      </c>
      <c r="AK426" s="14">
        <v>71.415241057542772</v>
      </c>
      <c r="AL426" s="5" t="s">
        <v>599</v>
      </c>
      <c r="AM426" s="22">
        <v>-23</v>
      </c>
      <c r="AN426" s="22">
        <v>184</v>
      </c>
      <c r="AO426">
        <f t="shared" ref="AO426:AO428" si="157">AM426/AN426</f>
        <v>-0.125</v>
      </c>
    </row>
    <row r="427" spans="1:41">
      <c r="A427" s="6" t="s">
        <v>87</v>
      </c>
      <c r="B427" t="s">
        <v>93</v>
      </c>
      <c r="C427">
        <v>100</v>
      </c>
      <c r="D427" t="s">
        <v>35</v>
      </c>
      <c r="E427">
        <v>5</v>
      </c>
      <c r="F427">
        <v>9</v>
      </c>
      <c r="G427" s="1">
        <f t="shared" si="147"/>
        <v>69</v>
      </c>
      <c r="H427">
        <v>183</v>
      </c>
      <c r="I427">
        <v>1998</v>
      </c>
      <c r="J427">
        <v>2016</v>
      </c>
      <c r="K427" s="1">
        <f t="shared" si="148"/>
        <v>18</v>
      </c>
      <c r="L427" t="s">
        <v>42</v>
      </c>
      <c r="M427" t="s">
        <v>44</v>
      </c>
      <c r="N427" s="2">
        <v>58</v>
      </c>
      <c r="O427" s="5">
        <v>7</v>
      </c>
      <c r="P427" s="5">
        <v>16</v>
      </c>
      <c r="Q427" s="5">
        <f t="shared" si="149"/>
        <v>23</v>
      </c>
      <c r="R427" s="4">
        <v>14</v>
      </c>
      <c r="S427" s="2">
        <v>34</v>
      </c>
      <c r="T427" s="5">
        <v>12</v>
      </c>
      <c r="U427" s="5">
        <v>18</v>
      </c>
      <c r="V427" s="3">
        <f t="shared" si="150"/>
        <v>30</v>
      </c>
      <c r="W427" s="4">
        <v>10</v>
      </c>
      <c r="X427">
        <f>O427/N427</f>
        <v>0.1206896551724138</v>
      </c>
      <c r="Y427">
        <f>T427/S427</f>
        <v>0.35294117647058826</v>
      </c>
      <c r="Z427">
        <f>X427-Y427</f>
        <v>-0.23225152129817445</v>
      </c>
      <c r="AA427">
        <f>P427/N427</f>
        <v>0.27586206896551724</v>
      </c>
      <c r="AB427">
        <f>U427/S427</f>
        <v>0.52941176470588236</v>
      </c>
      <c r="AC427">
        <f>AA427-AB427</f>
        <v>-0.25354969574036512</v>
      </c>
      <c r="AD427">
        <f>Q427/N427</f>
        <v>0.39655172413793105</v>
      </c>
      <c r="AE427">
        <f>V427/S427</f>
        <v>0.88235294117647056</v>
      </c>
      <c r="AF427">
        <f>AD427-AE427</f>
        <v>-0.48580121703853951</v>
      </c>
      <c r="AG427">
        <v>0</v>
      </c>
      <c r="AH427" s="14">
        <v>1.732394366197183</v>
      </c>
      <c r="AI427" s="14">
        <v>13.28169014084507</v>
      </c>
      <c r="AJ427" s="14">
        <v>15.014084507042254</v>
      </c>
      <c r="AK427" s="14">
        <v>11.549295774647888</v>
      </c>
      <c r="AL427" s="5" t="s">
        <v>600</v>
      </c>
      <c r="AM427" s="22">
        <v>-23</v>
      </c>
      <c r="AN427" s="22">
        <v>471</v>
      </c>
      <c r="AO427">
        <f t="shared" si="157"/>
        <v>-4.8832271762208071E-2</v>
      </c>
    </row>
    <row r="428" spans="1:41">
      <c r="A428" t="s">
        <v>220</v>
      </c>
      <c r="B428" t="s">
        <v>224</v>
      </c>
      <c r="C428">
        <v>41</v>
      </c>
      <c r="D428" t="s">
        <v>65</v>
      </c>
      <c r="E428">
        <v>6</v>
      </c>
      <c r="F428">
        <v>2</v>
      </c>
      <c r="G428" s="1">
        <f t="shared" si="147"/>
        <v>74</v>
      </c>
      <c r="H428">
        <v>204</v>
      </c>
      <c r="I428">
        <v>1995</v>
      </c>
      <c r="J428">
        <v>2013</v>
      </c>
      <c r="K428" s="1">
        <f t="shared" si="148"/>
        <v>18</v>
      </c>
      <c r="L428" t="s">
        <v>42</v>
      </c>
      <c r="M428" t="s">
        <v>44</v>
      </c>
      <c r="N428" s="2">
        <f>24+27+5+5+4+28</f>
        <v>93</v>
      </c>
      <c r="O428" s="3">
        <f>7+1+1+3+11</f>
        <v>23</v>
      </c>
      <c r="P428" s="3">
        <f>11+1+1+3+2+13</f>
        <v>31</v>
      </c>
      <c r="Q428" s="5">
        <f t="shared" si="149"/>
        <v>54</v>
      </c>
      <c r="R428" s="4">
        <f>53+2+12+35+24</f>
        <v>126</v>
      </c>
      <c r="S428" s="2">
        <f>14+3+2+4+6+44</f>
        <v>73</v>
      </c>
      <c r="T428" s="3">
        <f>1+1+2+4</f>
        <v>8</v>
      </c>
      <c r="U428" s="3">
        <f>4+4+4+13</f>
        <v>25</v>
      </c>
      <c r="V428" s="5">
        <f t="shared" si="150"/>
        <v>33</v>
      </c>
      <c r="W428" s="4">
        <f>24+8+2+4+16+46</f>
        <v>100</v>
      </c>
      <c r="X428">
        <f>O428/N428</f>
        <v>0.24731182795698925</v>
      </c>
      <c r="Y428">
        <f>T428/S428</f>
        <v>0.1095890410958904</v>
      </c>
      <c r="Z428">
        <f>X428-Y428</f>
        <v>0.13772278686109884</v>
      </c>
      <c r="AA428">
        <f>P428/N428</f>
        <v>0.33333333333333331</v>
      </c>
      <c r="AB428">
        <f>U428/S428</f>
        <v>0.34246575342465752</v>
      </c>
      <c r="AC428">
        <f>AA428-AB428</f>
        <v>-9.1324200913242004E-3</v>
      </c>
      <c r="AD428">
        <f>Q428/N428</f>
        <v>0.58064516129032262</v>
      </c>
      <c r="AE428">
        <f>V428/S428</f>
        <v>0.45205479452054792</v>
      </c>
      <c r="AF428">
        <f>AD428-AE428</f>
        <v>0.1285903667697747</v>
      </c>
      <c r="AG428">
        <v>0</v>
      </c>
      <c r="AH428" s="14">
        <v>4</v>
      </c>
      <c r="AI428" s="14">
        <v>11</v>
      </c>
      <c r="AJ428" s="14">
        <v>15</v>
      </c>
      <c r="AK428" s="14">
        <v>50.5</v>
      </c>
      <c r="AL428" s="5" t="s">
        <v>65</v>
      </c>
      <c r="AM428" s="22">
        <v>-24</v>
      </c>
      <c r="AN428" s="22">
        <v>200</v>
      </c>
      <c r="AO428">
        <f t="shared" si="157"/>
        <v>-0.12</v>
      </c>
    </row>
    <row r="429" spans="1:41">
      <c r="A429" t="s">
        <v>283</v>
      </c>
      <c r="B429" t="s">
        <v>290</v>
      </c>
      <c r="C429">
        <v>74</v>
      </c>
      <c r="D429" t="s">
        <v>34</v>
      </c>
      <c r="E429">
        <v>6</v>
      </c>
      <c r="F429">
        <v>3</v>
      </c>
      <c r="G429" s="1">
        <f t="shared" si="147"/>
        <v>75</v>
      </c>
      <c r="H429">
        <v>215</v>
      </c>
      <c r="I429">
        <v>1995</v>
      </c>
      <c r="J429">
        <v>2013</v>
      </c>
      <c r="K429" s="1">
        <f t="shared" si="148"/>
        <v>18</v>
      </c>
      <c r="L429" t="s">
        <v>41</v>
      </c>
      <c r="M429" t="s">
        <v>43</v>
      </c>
      <c r="N429" s="2">
        <f>24+7+53</f>
        <v>84</v>
      </c>
      <c r="O429" s="3">
        <f>11+1+17</f>
        <v>29</v>
      </c>
      <c r="P429" s="3">
        <f>9+1+17</f>
        <v>27</v>
      </c>
      <c r="Q429" s="5">
        <f t="shared" si="149"/>
        <v>56</v>
      </c>
      <c r="R429" s="4">
        <f>51+6+80</f>
        <v>137</v>
      </c>
      <c r="S429" s="2">
        <f>36+5+55</f>
        <v>96</v>
      </c>
      <c r="T429" s="5">
        <v>19</v>
      </c>
      <c r="U429" s="5">
        <v>42</v>
      </c>
      <c r="V429" s="5">
        <f t="shared" si="150"/>
        <v>61</v>
      </c>
      <c r="W429" s="4">
        <f>51+65</f>
        <v>116</v>
      </c>
      <c r="X429">
        <f>O429/N429</f>
        <v>0.34523809523809523</v>
      </c>
      <c r="Y429">
        <f>T429/S429</f>
        <v>0.19791666666666666</v>
      </c>
      <c r="Z429">
        <f>X429-Y429</f>
        <v>0.14732142857142858</v>
      </c>
      <c r="AA429">
        <f>P429/N429</f>
        <v>0.32142857142857145</v>
      </c>
      <c r="AB429">
        <f>U429/S429</f>
        <v>0.4375</v>
      </c>
      <c r="AC429">
        <f>AA429-AB429</f>
        <v>-0.11607142857142855</v>
      </c>
      <c r="AD429">
        <f>Q429/N429</f>
        <v>0.66666666666666663</v>
      </c>
      <c r="AE429">
        <f>V429/S429</f>
        <v>0.63541666666666663</v>
      </c>
      <c r="AF429">
        <f>AD429-AE429</f>
        <v>3.125E-2</v>
      </c>
      <c r="AG429">
        <v>0</v>
      </c>
      <c r="AH429" s="14">
        <v>5.3770491803278686</v>
      </c>
      <c r="AI429" s="14">
        <v>9.4098360655737707</v>
      </c>
      <c r="AJ429" s="14">
        <v>14.786885245901638</v>
      </c>
      <c r="AK429" s="14">
        <v>58.475409836065573</v>
      </c>
      <c r="AL429" s="3" t="s">
        <v>608</v>
      </c>
    </row>
    <row r="430" spans="1:41">
      <c r="A430" t="s">
        <v>397</v>
      </c>
      <c r="B430" t="s">
        <v>408</v>
      </c>
      <c r="C430">
        <v>80</v>
      </c>
      <c r="D430" t="s">
        <v>37</v>
      </c>
      <c r="E430">
        <v>6</v>
      </c>
      <c r="F430">
        <v>2</v>
      </c>
      <c r="G430" s="1">
        <f t="shared" si="147"/>
        <v>74</v>
      </c>
      <c r="H430">
        <v>240</v>
      </c>
      <c r="I430">
        <v>1986</v>
      </c>
      <c r="J430">
        <v>2004</v>
      </c>
      <c r="K430" s="1">
        <f t="shared" si="148"/>
        <v>18</v>
      </c>
      <c r="L430" t="s">
        <v>42</v>
      </c>
      <c r="M430" t="s">
        <v>43</v>
      </c>
      <c r="N430" s="2">
        <v>59</v>
      </c>
      <c r="O430" s="5">
        <v>4</v>
      </c>
      <c r="P430" s="5">
        <v>8</v>
      </c>
      <c r="Q430" s="5">
        <f t="shared" si="149"/>
        <v>12</v>
      </c>
      <c r="R430" s="4">
        <v>56</v>
      </c>
      <c r="S430" s="2">
        <v>32</v>
      </c>
      <c r="T430" s="5">
        <v>3</v>
      </c>
      <c r="U430" s="5">
        <v>12</v>
      </c>
      <c r="V430" s="5">
        <f t="shared" si="150"/>
        <v>15</v>
      </c>
      <c r="W430" s="4">
        <v>34</v>
      </c>
      <c r="AG430">
        <v>0</v>
      </c>
      <c r="AH430" s="14">
        <v>2.7688311688311686</v>
      </c>
      <c r="AI430" s="14">
        <v>11.820779220779221</v>
      </c>
      <c r="AJ430" s="14">
        <v>14.589610389610389</v>
      </c>
      <c r="AK430" s="14">
        <v>65.919480519480516</v>
      </c>
      <c r="AL430" s="5" t="s">
        <v>607</v>
      </c>
      <c r="AM430" s="22">
        <v>-25</v>
      </c>
      <c r="AN430" s="22">
        <v>158</v>
      </c>
      <c r="AO430">
        <f>AM430/AN430</f>
        <v>-0.15822784810126583</v>
      </c>
    </row>
    <row r="431" spans="1:41">
      <c r="A431" s="6" t="s">
        <v>49</v>
      </c>
      <c r="B431" t="s">
        <v>52</v>
      </c>
      <c r="C431">
        <v>21</v>
      </c>
      <c r="D431" t="s">
        <v>35</v>
      </c>
      <c r="E431">
        <v>6</v>
      </c>
      <c r="F431">
        <v>5</v>
      </c>
      <c r="G431" s="1">
        <f t="shared" si="147"/>
        <v>77</v>
      </c>
      <c r="H431">
        <v>235</v>
      </c>
      <c r="I431">
        <v>1995</v>
      </c>
      <c r="J431">
        <v>2013</v>
      </c>
      <c r="K431" s="1">
        <f t="shared" si="148"/>
        <v>18</v>
      </c>
      <c r="L431" t="s">
        <v>41</v>
      </c>
      <c r="M431" t="s">
        <v>44</v>
      </c>
      <c r="N431" s="2">
        <v>69</v>
      </c>
      <c r="O431" s="3">
        <v>23</v>
      </c>
      <c r="P431" s="3">
        <v>41</v>
      </c>
      <c r="Q431" s="3">
        <f t="shared" si="149"/>
        <v>64</v>
      </c>
      <c r="R431" s="4">
        <v>28</v>
      </c>
      <c r="S431" s="2">
        <f>5+39+7</f>
        <v>51</v>
      </c>
      <c r="T431" s="3">
        <f>30</f>
        <v>30</v>
      </c>
      <c r="U431" s="3">
        <v>35</v>
      </c>
      <c r="V431" s="3">
        <f t="shared" si="150"/>
        <v>65</v>
      </c>
      <c r="W431" s="4">
        <v>30</v>
      </c>
      <c r="X431">
        <f>O431/N431</f>
        <v>0.33333333333333331</v>
      </c>
      <c r="Y431">
        <f>T431/S431</f>
        <v>0.58823529411764708</v>
      </c>
      <c r="Z431">
        <f>X431-Y431</f>
        <v>-0.25490196078431376</v>
      </c>
      <c r="AA431">
        <f>P431/N431</f>
        <v>0.59420289855072461</v>
      </c>
      <c r="AB431">
        <f>U431/S431</f>
        <v>0.68627450980392157</v>
      </c>
      <c r="AC431">
        <f>AA431-AB431</f>
        <v>-9.2071611253196961E-2</v>
      </c>
      <c r="AD431">
        <f>Q431/N431</f>
        <v>0.92753623188405798</v>
      </c>
      <c r="AE431">
        <f>V431/S431</f>
        <v>1.2745098039215685</v>
      </c>
      <c r="AF431">
        <f>AD431-AE431</f>
        <v>-0.34697357203751056</v>
      </c>
      <c r="AG431">
        <v>0</v>
      </c>
      <c r="AH431" s="14">
        <v>5.046153846153846</v>
      </c>
      <c r="AI431" s="14">
        <v>9.4615384615384617</v>
      </c>
      <c r="AJ431" s="14">
        <v>14.507692307692308</v>
      </c>
      <c r="AK431" s="14">
        <v>27.123076923076923</v>
      </c>
      <c r="AL431" s="5" t="s">
        <v>614</v>
      </c>
    </row>
    <row r="432" spans="1:41">
      <c r="A432" t="s">
        <v>510</v>
      </c>
      <c r="B432" t="s">
        <v>515</v>
      </c>
      <c r="C432">
        <v>34</v>
      </c>
      <c r="D432" t="s">
        <v>35</v>
      </c>
      <c r="E432">
        <v>6</v>
      </c>
      <c r="F432">
        <v>6</v>
      </c>
      <c r="G432" s="1">
        <f t="shared" si="147"/>
        <v>78</v>
      </c>
      <c r="H432">
        <v>215</v>
      </c>
      <c r="I432">
        <v>1998</v>
      </c>
      <c r="J432">
        <v>2017</v>
      </c>
      <c r="K432" s="1">
        <f t="shared" si="148"/>
        <v>19</v>
      </c>
      <c r="L432" t="s">
        <v>42</v>
      </c>
      <c r="M432" t="s">
        <v>44</v>
      </c>
      <c r="N432" s="2">
        <v>65</v>
      </c>
      <c r="O432" s="5">
        <v>18</v>
      </c>
      <c r="P432" s="5">
        <v>28</v>
      </c>
      <c r="Q432" s="5">
        <f t="shared" si="149"/>
        <v>46</v>
      </c>
      <c r="R432" s="4">
        <v>107</v>
      </c>
      <c r="S432" s="2">
        <v>73</v>
      </c>
      <c r="T432" s="5">
        <v>14</v>
      </c>
      <c r="U432" s="5">
        <v>12</v>
      </c>
      <c r="V432" s="5">
        <f t="shared" si="150"/>
        <v>26</v>
      </c>
      <c r="W432" s="4">
        <v>88</v>
      </c>
      <c r="AG432">
        <v>0</v>
      </c>
      <c r="AH432" s="14">
        <v>0</v>
      </c>
      <c r="AI432" s="14">
        <v>14.470588235294116</v>
      </c>
      <c r="AJ432" s="14">
        <v>14.470588235294116</v>
      </c>
      <c r="AK432" s="14">
        <v>77.17647058823529</v>
      </c>
      <c r="AL432" s="5" t="s">
        <v>600</v>
      </c>
      <c r="AM432" s="22">
        <v>-27</v>
      </c>
      <c r="AN432" s="22">
        <v>457</v>
      </c>
      <c r="AO432">
        <f>AM432/AN432</f>
        <v>-5.9080962800875277E-2</v>
      </c>
    </row>
    <row r="433" spans="1:41">
      <c r="A433" t="s">
        <v>525</v>
      </c>
      <c r="B433" t="s">
        <v>528</v>
      </c>
      <c r="C433">
        <v>56</v>
      </c>
      <c r="D433" t="s">
        <v>35</v>
      </c>
      <c r="E433">
        <v>5</v>
      </c>
      <c r="F433">
        <v>10</v>
      </c>
      <c r="G433" s="1">
        <f t="shared" si="147"/>
        <v>70</v>
      </c>
      <c r="H433">
        <v>183</v>
      </c>
      <c r="I433">
        <v>1998</v>
      </c>
      <c r="J433">
        <v>2016</v>
      </c>
      <c r="K433" s="1">
        <f t="shared" si="148"/>
        <v>18</v>
      </c>
      <c r="L433" t="s">
        <v>41</v>
      </c>
      <c r="M433" t="s">
        <v>44</v>
      </c>
      <c r="N433" s="2">
        <v>65</v>
      </c>
      <c r="O433" s="5">
        <v>26</v>
      </c>
      <c r="P433" s="5">
        <v>40</v>
      </c>
      <c r="Q433" s="5">
        <f t="shared" si="149"/>
        <v>66</v>
      </c>
      <c r="R433" s="4">
        <v>50</v>
      </c>
      <c r="S433" s="2">
        <v>45</v>
      </c>
      <c r="T433" s="5">
        <v>17</v>
      </c>
      <c r="U433" s="5">
        <v>10</v>
      </c>
      <c r="V433" s="5">
        <f t="shared" si="150"/>
        <v>27</v>
      </c>
      <c r="W433" s="4">
        <v>12</v>
      </c>
      <c r="AG433">
        <v>0</v>
      </c>
      <c r="AH433" s="14">
        <v>2.8275862068965516</v>
      </c>
      <c r="AI433" s="14">
        <v>11.310344827586206</v>
      </c>
      <c r="AJ433" s="14">
        <v>14.137931034482758</v>
      </c>
      <c r="AK433" s="14">
        <v>11.310344827586206</v>
      </c>
      <c r="AL433" s="3" t="s">
        <v>599</v>
      </c>
    </row>
    <row r="434" spans="1:41">
      <c r="A434" t="s">
        <v>576</v>
      </c>
      <c r="B434" t="s">
        <v>589</v>
      </c>
      <c r="C434">
        <v>198</v>
      </c>
      <c r="D434" t="s">
        <v>34</v>
      </c>
      <c r="E434">
        <v>5</v>
      </c>
      <c r="F434">
        <v>11</v>
      </c>
      <c r="G434" s="1">
        <f t="shared" si="147"/>
        <v>71</v>
      </c>
      <c r="H434">
        <v>185</v>
      </c>
      <c r="I434">
        <v>1993</v>
      </c>
      <c r="J434">
        <v>2012</v>
      </c>
      <c r="K434" s="1">
        <f t="shared" si="148"/>
        <v>19</v>
      </c>
      <c r="L434" t="s">
        <v>42</v>
      </c>
      <c r="M434" t="s">
        <v>44</v>
      </c>
      <c r="N434" s="2">
        <v>34</v>
      </c>
      <c r="O434" s="5">
        <v>7</v>
      </c>
      <c r="P434" s="5">
        <v>10</v>
      </c>
      <c r="Q434" s="5">
        <f t="shared" si="149"/>
        <v>17</v>
      </c>
      <c r="R434" s="4">
        <v>20</v>
      </c>
      <c r="S434" s="2">
        <v>53</v>
      </c>
      <c r="T434" s="5">
        <v>3</v>
      </c>
      <c r="U434" s="5">
        <v>29</v>
      </c>
      <c r="V434" s="5">
        <f t="shared" si="150"/>
        <v>32</v>
      </c>
      <c r="W434" s="4">
        <v>26</v>
      </c>
      <c r="AG434">
        <v>0</v>
      </c>
      <c r="AH434" s="14">
        <v>2.1206896551724137</v>
      </c>
      <c r="AI434" s="14">
        <v>12.017241379310345</v>
      </c>
      <c r="AJ434" s="14">
        <v>14.137931034482758</v>
      </c>
      <c r="AK434" s="14">
        <v>19.086206896551722</v>
      </c>
      <c r="AL434" s="3" t="s">
        <v>633</v>
      </c>
      <c r="AM434" s="22">
        <v>-28</v>
      </c>
      <c r="AN434" s="22">
        <v>380</v>
      </c>
      <c r="AO434">
        <f t="shared" ref="AO434:AO435" si="158">AM434/AN434</f>
        <v>-7.3684210526315783E-2</v>
      </c>
    </row>
    <row r="435" spans="1:41">
      <c r="A435" s="6" t="s">
        <v>135</v>
      </c>
      <c r="B435" t="s">
        <v>142</v>
      </c>
      <c r="C435">
        <v>37</v>
      </c>
      <c r="D435" t="s">
        <v>35</v>
      </c>
      <c r="E435">
        <v>6</v>
      </c>
      <c r="F435">
        <v>1</v>
      </c>
      <c r="G435" s="1">
        <f t="shared" si="147"/>
        <v>73</v>
      </c>
      <c r="H435">
        <v>200</v>
      </c>
      <c r="I435">
        <v>1989</v>
      </c>
      <c r="J435">
        <v>2008</v>
      </c>
      <c r="K435" s="1">
        <f t="shared" si="148"/>
        <v>19</v>
      </c>
      <c r="L435" t="s">
        <v>42</v>
      </c>
      <c r="M435" t="s">
        <v>43</v>
      </c>
      <c r="N435" s="2">
        <v>40</v>
      </c>
      <c r="O435" s="5">
        <v>4</v>
      </c>
      <c r="P435" s="5">
        <v>6</v>
      </c>
      <c r="Q435" s="5">
        <f t="shared" si="149"/>
        <v>10</v>
      </c>
      <c r="R435" s="4">
        <v>36</v>
      </c>
      <c r="S435" s="2">
        <v>9</v>
      </c>
      <c r="T435" s="5">
        <v>5</v>
      </c>
      <c r="U435" s="5">
        <v>5</v>
      </c>
      <c r="V435" s="5">
        <f t="shared" si="150"/>
        <v>10</v>
      </c>
      <c r="W435" s="4">
        <v>46</v>
      </c>
      <c r="X435">
        <f>O435/N435</f>
        <v>0.1</v>
      </c>
      <c r="Y435">
        <f>T435/S435</f>
        <v>0.55555555555555558</v>
      </c>
      <c r="Z435">
        <f>X435-Y435</f>
        <v>-0.4555555555555556</v>
      </c>
      <c r="AA435">
        <f>P435/N435</f>
        <v>0.15</v>
      </c>
      <c r="AB435">
        <f>U435/S435</f>
        <v>0.55555555555555558</v>
      </c>
      <c r="AC435">
        <f>AA435-AB435</f>
        <v>-0.40555555555555556</v>
      </c>
      <c r="AD435">
        <f>Q435/N435</f>
        <v>0.25</v>
      </c>
      <c r="AE435">
        <f>V435/S435</f>
        <v>1.1111111111111112</v>
      </c>
      <c r="AF435">
        <f>AD435-AE435</f>
        <v>-0.86111111111111116</v>
      </c>
      <c r="AG435">
        <v>0</v>
      </c>
      <c r="AH435" s="14">
        <v>1.197080291970803</v>
      </c>
      <c r="AI435" s="14">
        <v>12.569343065693431</v>
      </c>
      <c r="AJ435" s="14">
        <v>13.766423357664234</v>
      </c>
      <c r="AK435" s="14">
        <v>40.700729927007302</v>
      </c>
      <c r="AL435" s="3" t="s">
        <v>613</v>
      </c>
      <c r="AM435" s="22">
        <v>-30</v>
      </c>
      <c r="AN435" s="22">
        <v>626</v>
      </c>
      <c r="AO435">
        <f t="shared" si="158"/>
        <v>-4.7923322683706068E-2</v>
      </c>
    </row>
    <row r="436" spans="1:41">
      <c r="A436" t="s">
        <v>510</v>
      </c>
      <c r="B436" t="s">
        <v>511</v>
      </c>
      <c r="C436">
        <v>57</v>
      </c>
      <c r="D436" t="s">
        <v>35</v>
      </c>
      <c r="E436">
        <v>6</v>
      </c>
      <c r="F436">
        <v>2</v>
      </c>
      <c r="G436" s="1">
        <f t="shared" si="147"/>
        <v>74</v>
      </c>
      <c r="H436">
        <v>212</v>
      </c>
      <c r="I436">
        <v>1994</v>
      </c>
      <c r="J436">
        <v>2013</v>
      </c>
      <c r="K436" s="1">
        <f t="shared" si="148"/>
        <v>19</v>
      </c>
      <c r="L436" t="s">
        <v>41</v>
      </c>
      <c r="M436" t="s">
        <v>44</v>
      </c>
      <c r="N436" s="2">
        <v>36</v>
      </c>
      <c r="O436" s="5">
        <v>16</v>
      </c>
      <c r="P436" s="5">
        <v>26</v>
      </c>
      <c r="Q436" s="5">
        <f t="shared" si="149"/>
        <v>42</v>
      </c>
      <c r="R436" s="4">
        <v>41</v>
      </c>
      <c r="S436" s="2">
        <v>73</v>
      </c>
      <c r="T436" s="5">
        <v>27</v>
      </c>
      <c r="U436" s="5">
        <v>43</v>
      </c>
      <c r="V436" s="5">
        <f t="shared" si="150"/>
        <v>70</v>
      </c>
      <c r="W436" s="4">
        <v>65</v>
      </c>
      <c r="AG436">
        <v>0</v>
      </c>
      <c r="AH436" s="14">
        <v>8.8789808917197455</v>
      </c>
      <c r="AI436" s="14">
        <v>4.7006369426751595</v>
      </c>
      <c r="AJ436" s="14">
        <v>13.579617834394904</v>
      </c>
      <c r="AK436" s="14">
        <v>43.35031847133758</v>
      </c>
      <c r="AL436" s="5" t="s">
        <v>614</v>
      </c>
    </row>
    <row r="437" spans="1:41">
      <c r="A437" t="s">
        <v>413</v>
      </c>
      <c r="B437" t="s">
        <v>426</v>
      </c>
      <c r="C437">
        <v>76</v>
      </c>
      <c r="D437" t="s">
        <v>35</v>
      </c>
      <c r="E437">
        <v>6</v>
      </c>
      <c r="F437">
        <v>3</v>
      </c>
      <c r="G437" s="1">
        <f t="shared" si="147"/>
        <v>75</v>
      </c>
      <c r="H437">
        <v>208</v>
      </c>
      <c r="I437">
        <v>1992</v>
      </c>
      <c r="J437">
        <v>2011</v>
      </c>
      <c r="K437" s="1">
        <f t="shared" si="148"/>
        <v>19</v>
      </c>
      <c r="L437" t="s">
        <v>41</v>
      </c>
      <c r="M437" t="s">
        <v>43</v>
      </c>
      <c r="N437" s="2">
        <v>68</v>
      </c>
      <c r="O437" s="5">
        <v>26</v>
      </c>
      <c r="P437" s="5">
        <v>20</v>
      </c>
      <c r="Q437" s="5">
        <f t="shared" si="149"/>
        <v>46</v>
      </c>
      <c r="R437" s="4">
        <v>37</v>
      </c>
      <c r="S437" s="2">
        <v>67</v>
      </c>
      <c r="T437" s="5">
        <v>9</v>
      </c>
      <c r="U437" s="5">
        <v>15</v>
      </c>
      <c r="V437" s="5">
        <f t="shared" si="150"/>
        <v>24</v>
      </c>
      <c r="W437" s="4">
        <v>31</v>
      </c>
      <c r="AG437">
        <v>0</v>
      </c>
      <c r="AH437" s="14">
        <v>5.2063492063492056</v>
      </c>
      <c r="AI437" s="14">
        <v>8.2433862433862437</v>
      </c>
      <c r="AJ437" s="14">
        <v>13.449735449735449</v>
      </c>
      <c r="AK437" s="14">
        <v>15.185185185185185</v>
      </c>
      <c r="AL437" s="3" t="s">
        <v>614</v>
      </c>
    </row>
    <row r="438" spans="1:41">
      <c r="A438" t="s">
        <v>354</v>
      </c>
      <c r="B438" t="s">
        <v>349</v>
      </c>
      <c r="C438">
        <v>52</v>
      </c>
      <c r="D438" t="s">
        <v>38</v>
      </c>
      <c r="E438">
        <v>5</v>
      </c>
      <c r="F438">
        <v>11</v>
      </c>
      <c r="G438" s="1">
        <f t="shared" si="147"/>
        <v>71</v>
      </c>
      <c r="H438">
        <v>203</v>
      </c>
      <c r="I438">
        <v>1993</v>
      </c>
      <c r="J438">
        <v>2011</v>
      </c>
      <c r="K438" s="1">
        <f t="shared" si="148"/>
        <v>18</v>
      </c>
      <c r="L438" t="s">
        <v>41</v>
      </c>
      <c r="M438" t="s">
        <v>44</v>
      </c>
      <c r="N438" s="2">
        <v>40</v>
      </c>
      <c r="O438" s="5">
        <v>4</v>
      </c>
      <c r="P438" s="5">
        <v>6</v>
      </c>
      <c r="Q438" s="5">
        <f t="shared" si="149"/>
        <v>10</v>
      </c>
      <c r="R438" s="4">
        <v>53</v>
      </c>
      <c r="V438" s="5">
        <f t="shared" si="150"/>
        <v>0</v>
      </c>
      <c r="X438">
        <f>O438/N438</f>
        <v>0.1</v>
      </c>
      <c r="Y438" t="e">
        <f>T438/S438</f>
        <v>#DIV/0!</v>
      </c>
      <c r="Z438" t="e">
        <f>X438-Y438</f>
        <v>#DIV/0!</v>
      </c>
      <c r="AA438">
        <f>P438/N438</f>
        <v>0.15</v>
      </c>
      <c r="AB438" t="e">
        <f>U438/S438</f>
        <v>#DIV/0!</v>
      </c>
      <c r="AC438" t="e">
        <f>AA438-AB438</f>
        <v>#DIV/0!</v>
      </c>
      <c r="AD438">
        <f>Q438/N438</f>
        <v>0.25</v>
      </c>
      <c r="AE438" t="e">
        <f>V438/S438</f>
        <v>#DIV/0!</v>
      </c>
      <c r="AF438" t="e">
        <f>AD438-AE438</f>
        <v>#DIV/0!</v>
      </c>
      <c r="AG438">
        <v>0</v>
      </c>
      <c r="AH438" s="14">
        <v>5.8922155688622748</v>
      </c>
      <c r="AI438" s="14">
        <v>7.365269461077844</v>
      </c>
      <c r="AJ438" s="14">
        <v>13.257485029940119</v>
      </c>
      <c r="AK438" s="14">
        <v>37.317365269461078</v>
      </c>
      <c r="AL438" s="5" t="s">
        <v>615</v>
      </c>
    </row>
    <row r="439" spans="1:41">
      <c r="A439" t="s">
        <v>539</v>
      </c>
      <c r="B439" t="s">
        <v>543</v>
      </c>
      <c r="C439">
        <v>60</v>
      </c>
      <c r="D439" t="s">
        <v>34</v>
      </c>
      <c r="E439">
        <v>6</v>
      </c>
      <c r="F439">
        <v>0</v>
      </c>
      <c r="G439" s="1">
        <f t="shared" si="147"/>
        <v>72</v>
      </c>
      <c r="H439">
        <v>195</v>
      </c>
      <c r="I439">
        <v>1996</v>
      </c>
      <c r="J439">
        <v>2016</v>
      </c>
      <c r="K439" s="1">
        <f t="shared" si="148"/>
        <v>20</v>
      </c>
      <c r="L439" t="s">
        <v>41</v>
      </c>
      <c r="M439" t="s">
        <v>43</v>
      </c>
      <c r="N439" s="2">
        <v>41</v>
      </c>
      <c r="O439" s="5">
        <v>17</v>
      </c>
      <c r="P439" s="5">
        <v>30</v>
      </c>
      <c r="Q439" s="5">
        <f t="shared" si="149"/>
        <v>47</v>
      </c>
      <c r="R439" s="4">
        <v>19</v>
      </c>
      <c r="S439" s="2">
        <v>54</v>
      </c>
      <c r="T439" s="5">
        <v>16</v>
      </c>
      <c r="U439" s="5">
        <v>22</v>
      </c>
      <c r="V439" s="5">
        <f t="shared" si="150"/>
        <v>38</v>
      </c>
      <c r="W439" s="4">
        <v>74</v>
      </c>
      <c r="AG439">
        <v>0</v>
      </c>
      <c r="AH439" s="14">
        <v>2.6451612903225805</v>
      </c>
      <c r="AI439" s="14">
        <v>10.580645161290322</v>
      </c>
      <c r="AJ439" s="14">
        <v>13.225806451612902</v>
      </c>
      <c r="AK439" s="14">
        <v>23.806451612903224</v>
      </c>
      <c r="AL439" s="5" t="s">
        <v>637</v>
      </c>
    </row>
    <row r="440" spans="1:41">
      <c r="A440" s="6" t="s">
        <v>148</v>
      </c>
      <c r="B440" t="s">
        <v>161</v>
      </c>
      <c r="C440">
        <v>41</v>
      </c>
      <c r="D440" t="s">
        <v>65</v>
      </c>
      <c r="E440">
        <v>6</v>
      </c>
      <c r="F440">
        <v>3</v>
      </c>
      <c r="G440" s="1">
        <f t="shared" si="147"/>
        <v>75</v>
      </c>
      <c r="H440">
        <v>228</v>
      </c>
      <c r="I440">
        <v>1992</v>
      </c>
      <c r="J440">
        <v>2010</v>
      </c>
      <c r="K440" s="1">
        <f t="shared" si="148"/>
        <v>18</v>
      </c>
      <c r="L440" t="s">
        <v>42</v>
      </c>
      <c r="M440" t="s">
        <v>44</v>
      </c>
      <c r="N440" s="2">
        <v>16</v>
      </c>
      <c r="O440" s="5">
        <v>0</v>
      </c>
      <c r="P440" s="5">
        <v>3</v>
      </c>
      <c r="Q440" s="5">
        <f t="shared" si="149"/>
        <v>3</v>
      </c>
      <c r="R440" s="4">
        <v>8</v>
      </c>
      <c r="S440" s="2">
        <v>1</v>
      </c>
      <c r="T440" s="5">
        <v>0</v>
      </c>
      <c r="U440" s="5">
        <v>1</v>
      </c>
      <c r="V440" s="5">
        <f t="shared" si="150"/>
        <v>1</v>
      </c>
      <c r="W440" s="4">
        <v>0</v>
      </c>
      <c r="X440">
        <f>O440/N440</f>
        <v>0</v>
      </c>
      <c r="Y440">
        <f>T440/S440</f>
        <v>0</v>
      </c>
      <c r="Z440">
        <f>X440-Y440</f>
        <v>0</v>
      </c>
      <c r="AA440">
        <f>P440/N440</f>
        <v>0.1875</v>
      </c>
      <c r="AB440">
        <f>U440/S440</f>
        <v>1</v>
      </c>
      <c r="AC440">
        <f>AA440-AB440</f>
        <v>-0.8125</v>
      </c>
      <c r="AD440">
        <f>Q440/N440</f>
        <v>0.1875</v>
      </c>
      <c r="AE440">
        <f>V440/S440</f>
        <v>1</v>
      </c>
      <c r="AF440">
        <f>AD440-AE440</f>
        <v>-0.8125</v>
      </c>
      <c r="AG440">
        <v>0</v>
      </c>
      <c r="AH440" s="14">
        <v>1.524163568773234</v>
      </c>
      <c r="AI440" s="14">
        <v>11.583643122676579</v>
      </c>
      <c r="AJ440" s="14">
        <v>13.107806691449813</v>
      </c>
      <c r="AK440" s="14">
        <v>43.286245353159849</v>
      </c>
      <c r="AL440" s="3" t="s">
        <v>65</v>
      </c>
      <c r="AM440" s="22">
        <v>-31</v>
      </c>
      <c r="AN440" s="22">
        <v>1064</v>
      </c>
      <c r="AO440">
        <f t="shared" ref="AO440:AO448" si="159">AM440/AN440</f>
        <v>-2.913533834586466E-2</v>
      </c>
    </row>
    <row r="441" spans="1:41">
      <c r="A441" s="6" t="s">
        <v>17</v>
      </c>
      <c r="B441" t="s">
        <v>28</v>
      </c>
      <c r="C441">
        <v>93</v>
      </c>
      <c r="D441" t="s">
        <v>34</v>
      </c>
      <c r="E441">
        <v>5</v>
      </c>
      <c r="F441">
        <v>11</v>
      </c>
      <c r="G441" s="1">
        <f t="shared" si="147"/>
        <v>71</v>
      </c>
      <c r="H441">
        <v>198</v>
      </c>
      <c r="I441">
        <v>1988</v>
      </c>
      <c r="J441">
        <v>2007</v>
      </c>
      <c r="K441" s="1">
        <f t="shared" si="148"/>
        <v>19</v>
      </c>
      <c r="L441" t="s">
        <v>42</v>
      </c>
      <c r="M441" t="s">
        <v>43</v>
      </c>
      <c r="N441" s="2">
        <v>35</v>
      </c>
      <c r="O441" s="5">
        <v>1</v>
      </c>
      <c r="P441" s="5">
        <v>3</v>
      </c>
      <c r="Q441" s="3">
        <f t="shared" si="149"/>
        <v>4</v>
      </c>
      <c r="R441" s="4">
        <v>24</v>
      </c>
      <c r="S441" s="2">
        <v>56</v>
      </c>
      <c r="T441" s="5">
        <v>6</v>
      </c>
      <c r="U441" s="5">
        <v>10</v>
      </c>
      <c r="V441" s="3">
        <f t="shared" si="150"/>
        <v>16</v>
      </c>
      <c r="W441" s="4">
        <v>99</v>
      </c>
      <c r="X441">
        <f>O441/N441</f>
        <v>2.8571428571428571E-2</v>
      </c>
      <c r="Y441">
        <f>T441/S441</f>
        <v>0.10714285714285714</v>
      </c>
      <c r="Z441">
        <f>X441-Y441</f>
        <v>-7.857142857142857E-2</v>
      </c>
      <c r="AA441">
        <f>P441/N441</f>
        <v>8.5714285714285715E-2</v>
      </c>
      <c r="AB441">
        <f>U441/S441</f>
        <v>0.17857142857142858</v>
      </c>
      <c r="AC441">
        <f>AA441-AB441</f>
        <v>-9.285714285714286E-2</v>
      </c>
      <c r="AD441">
        <f>Q441/N441</f>
        <v>0.11428571428571428</v>
      </c>
      <c r="AE441">
        <f>V441/S441</f>
        <v>0.2857142857142857</v>
      </c>
      <c r="AF441">
        <f>AD441-AE441</f>
        <v>-0.17142857142857143</v>
      </c>
      <c r="AG441">
        <v>0</v>
      </c>
      <c r="AH441" s="14">
        <v>5.2512315270935961</v>
      </c>
      <c r="AI441" s="14">
        <v>7.6748768472906406</v>
      </c>
      <c r="AJ441" s="14">
        <v>12.926108374384237</v>
      </c>
      <c r="AK441" s="14">
        <v>42.817733990147786</v>
      </c>
      <c r="AL441" s="3" t="s">
        <v>601</v>
      </c>
      <c r="AM441" s="22">
        <v>-33</v>
      </c>
      <c r="AN441" s="22">
        <v>162</v>
      </c>
      <c r="AO441">
        <f t="shared" si="159"/>
        <v>-0.20370370370370369</v>
      </c>
    </row>
    <row r="442" spans="1:41">
      <c r="A442" s="6" t="s">
        <v>17</v>
      </c>
      <c r="B442" t="s">
        <v>21</v>
      </c>
      <c r="C442">
        <v>37</v>
      </c>
      <c r="D442" t="s">
        <v>34</v>
      </c>
      <c r="E442">
        <v>6</v>
      </c>
      <c r="F442">
        <v>5</v>
      </c>
      <c r="G442" s="1">
        <f t="shared" si="147"/>
        <v>77</v>
      </c>
      <c r="H442">
        <v>212</v>
      </c>
      <c r="I442">
        <v>1996</v>
      </c>
      <c r="J442">
        <v>2015</v>
      </c>
      <c r="K442" s="1">
        <f t="shared" si="148"/>
        <v>19</v>
      </c>
      <c r="L442" t="s">
        <v>42</v>
      </c>
      <c r="M442" t="s">
        <v>43</v>
      </c>
      <c r="N442" s="2">
        <f>68</f>
        <v>68</v>
      </c>
      <c r="O442" s="3">
        <v>4</v>
      </c>
      <c r="P442" s="3">
        <v>22</v>
      </c>
      <c r="Q442" s="3">
        <f t="shared" si="149"/>
        <v>26</v>
      </c>
      <c r="R442" s="4">
        <v>90</v>
      </c>
      <c r="S442" s="2">
        <v>76</v>
      </c>
      <c r="T442" s="5">
        <v>3</v>
      </c>
      <c r="U442" s="5">
        <v>10</v>
      </c>
      <c r="V442" s="3">
        <f t="shared" si="150"/>
        <v>13</v>
      </c>
      <c r="W442" s="4">
        <v>68</v>
      </c>
      <c r="X442">
        <f>O442/N442</f>
        <v>5.8823529411764705E-2</v>
      </c>
      <c r="Y442">
        <f>T442/S442</f>
        <v>3.9473684210526314E-2</v>
      </c>
      <c r="Z442">
        <f>X442-Y442</f>
        <v>1.9349845201238391E-2</v>
      </c>
      <c r="AA442">
        <f>P442/N442</f>
        <v>0.3235294117647059</v>
      </c>
      <c r="AB442">
        <f>U442/S442</f>
        <v>0.13157894736842105</v>
      </c>
      <c r="AC442">
        <f>AA442-AB442</f>
        <v>0.19195046439628485</v>
      </c>
      <c r="AD442">
        <f>Q442/N442</f>
        <v>0.38235294117647056</v>
      </c>
      <c r="AE442">
        <f>V442/S442</f>
        <v>0.17105263157894737</v>
      </c>
      <c r="AF442">
        <f>AD442-AE442</f>
        <v>0.21130030959752319</v>
      </c>
      <c r="AG442">
        <v>0</v>
      </c>
      <c r="AH442" s="14">
        <v>3.253968253968254</v>
      </c>
      <c r="AI442" s="14">
        <v>9.4365079365079367</v>
      </c>
      <c r="AJ442" s="14">
        <v>12.690476190476192</v>
      </c>
      <c r="AK442" s="14">
        <v>50.436507936507937</v>
      </c>
      <c r="AL442" s="3" t="s">
        <v>599</v>
      </c>
      <c r="AM442" s="22">
        <v>-34</v>
      </c>
      <c r="AN442" s="22">
        <v>708</v>
      </c>
      <c r="AO442">
        <f t="shared" si="159"/>
        <v>-4.8022598870056499E-2</v>
      </c>
    </row>
    <row r="443" spans="1:41">
      <c r="A443" t="s">
        <v>306</v>
      </c>
      <c r="B443" t="s">
        <v>308</v>
      </c>
      <c r="C443">
        <v>78</v>
      </c>
      <c r="D443" t="s">
        <v>35</v>
      </c>
      <c r="E443">
        <v>6</v>
      </c>
      <c r="F443">
        <v>4</v>
      </c>
      <c r="G443" s="1">
        <f t="shared" si="147"/>
        <v>76</v>
      </c>
      <c r="H443">
        <v>216</v>
      </c>
      <c r="I443">
        <v>1989</v>
      </c>
      <c r="J443">
        <v>2007</v>
      </c>
      <c r="K443" s="1">
        <f t="shared" si="148"/>
        <v>18</v>
      </c>
      <c r="L443" t="s">
        <v>42</v>
      </c>
      <c r="M443" t="s">
        <v>43</v>
      </c>
      <c r="N443" s="2">
        <v>63</v>
      </c>
      <c r="O443" s="5">
        <v>2</v>
      </c>
      <c r="P443" s="5">
        <v>12</v>
      </c>
      <c r="Q443" s="5">
        <f t="shared" si="149"/>
        <v>14</v>
      </c>
      <c r="R443" s="4">
        <v>67</v>
      </c>
      <c r="S443" s="2">
        <v>40</v>
      </c>
      <c r="T443" s="5">
        <v>4</v>
      </c>
      <c r="U443" s="5">
        <v>18</v>
      </c>
      <c r="V443" s="5">
        <f t="shared" si="150"/>
        <v>22</v>
      </c>
      <c r="W443" s="4">
        <v>0</v>
      </c>
      <c r="X443">
        <f>O443/N443</f>
        <v>3.1746031746031744E-2</v>
      </c>
      <c r="Y443">
        <f>T443/S443</f>
        <v>0.1</v>
      </c>
      <c r="Z443">
        <f>X443-Y443</f>
        <v>-6.8253968253968261E-2</v>
      </c>
      <c r="AA443">
        <f>P443/N443</f>
        <v>0.19047619047619047</v>
      </c>
      <c r="AB443">
        <f>U443/S443</f>
        <v>0.45</v>
      </c>
      <c r="AC443">
        <f>AA443-AB443</f>
        <v>-0.25952380952380955</v>
      </c>
      <c r="AD443">
        <f>Q443/N443</f>
        <v>0.22222222222222221</v>
      </c>
      <c r="AE443">
        <f>V443/S443</f>
        <v>0.55000000000000004</v>
      </c>
      <c r="AF443">
        <f>AD443-AE443</f>
        <v>-0.32777777777777783</v>
      </c>
      <c r="AG443">
        <v>0</v>
      </c>
      <c r="AH443" s="14">
        <v>3.327536231884058</v>
      </c>
      <c r="AI443" s="14">
        <v>9.269565217391305</v>
      </c>
      <c r="AJ443" s="14">
        <v>12.597101449275362</v>
      </c>
      <c r="AK443" s="14">
        <v>83.901449275362324</v>
      </c>
      <c r="AL443" s="5" t="s">
        <v>600</v>
      </c>
      <c r="AM443" s="22">
        <v>-39</v>
      </c>
      <c r="AN443" s="22">
        <v>79</v>
      </c>
      <c r="AO443">
        <f t="shared" si="159"/>
        <v>-0.49367088607594939</v>
      </c>
    </row>
    <row r="444" spans="1:41">
      <c r="A444" t="s">
        <v>413</v>
      </c>
      <c r="B444" t="s">
        <v>416</v>
      </c>
      <c r="C444">
        <v>51</v>
      </c>
      <c r="D444" t="s">
        <v>65</v>
      </c>
      <c r="E444">
        <v>6</v>
      </c>
      <c r="F444">
        <v>4</v>
      </c>
      <c r="G444" s="1">
        <f t="shared" si="147"/>
        <v>76</v>
      </c>
      <c r="H444">
        <v>231</v>
      </c>
      <c r="I444">
        <v>1995</v>
      </c>
      <c r="J444">
        <v>2013</v>
      </c>
      <c r="K444" s="1">
        <f t="shared" si="148"/>
        <v>18</v>
      </c>
      <c r="L444" t="s">
        <v>42</v>
      </c>
      <c r="M444" t="s">
        <v>44</v>
      </c>
      <c r="N444" s="2">
        <v>40</v>
      </c>
      <c r="O444" s="5">
        <v>7</v>
      </c>
      <c r="P444" s="5">
        <v>10</v>
      </c>
      <c r="Q444" s="5">
        <f t="shared" si="149"/>
        <v>17</v>
      </c>
      <c r="R444" s="4">
        <v>14</v>
      </c>
      <c r="S444" s="2">
        <v>37</v>
      </c>
      <c r="T444" s="5">
        <v>2</v>
      </c>
      <c r="U444" s="5">
        <v>13</v>
      </c>
      <c r="V444" s="5">
        <f t="shared" si="150"/>
        <v>15</v>
      </c>
      <c r="W444" s="4">
        <v>4</v>
      </c>
      <c r="AG444">
        <v>0</v>
      </c>
      <c r="AH444" s="14">
        <v>0</v>
      </c>
      <c r="AI444" s="14">
        <v>12.508474576271187</v>
      </c>
      <c r="AJ444" s="14">
        <v>12.508474576271187</v>
      </c>
      <c r="AK444" s="14">
        <v>13.898305084745763</v>
      </c>
      <c r="AL444" s="3" t="s">
        <v>65</v>
      </c>
      <c r="AM444" s="22">
        <v>-40</v>
      </c>
      <c r="AN444" s="22">
        <v>934</v>
      </c>
      <c r="AO444">
        <f t="shared" si="159"/>
        <v>-4.2826552462526764E-2</v>
      </c>
    </row>
    <row r="445" spans="1:41">
      <c r="A445" t="s">
        <v>251</v>
      </c>
      <c r="B445" t="s">
        <v>257</v>
      </c>
      <c r="C445">
        <v>159</v>
      </c>
      <c r="D445" t="s">
        <v>66</v>
      </c>
      <c r="E445">
        <v>6</v>
      </c>
      <c r="F445">
        <v>3</v>
      </c>
      <c r="G445" s="1">
        <f t="shared" si="147"/>
        <v>75</v>
      </c>
      <c r="H445">
        <v>213</v>
      </c>
      <c r="I445">
        <v>1995</v>
      </c>
      <c r="J445">
        <v>2015</v>
      </c>
      <c r="K445" s="1">
        <f t="shared" si="148"/>
        <v>20</v>
      </c>
      <c r="L445" t="s">
        <v>42</v>
      </c>
      <c r="M445" t="s">
        <v>44</v>
      </c>
      <c r="N445" s="2">
        <f>4+16+16+11+7+20</f>
        <v>74</v>
      </c>
      <c r="O445" s="3">
        <f>3</f>
        <v>3</v>
      </c>
      <c r="P445" s="5">
        <v>11</v>
      </c>
      <c r="Q445" s="5">
        <f t="shared" si="149"/>
        <v>14</v>
      </c>
      <c r="R445" s="4">
        <v>28</v>
      </c>
      <c r="S445" s="2">
        <v>45</v>
      </c>
      <c r="T445" s="5">
        <v>3</v>
      </c>
      <c r="U445" s="5">
        <v>9</v>
      </c>
      <c r="V445" s="5">
        <f t="shared" si="150"/>
        <v>12</v>
      </c>
      <c r="W445" s="4">
        <v>28</v>
      </c>
      <c r="X445">
        <f>O445/N445</f>
        <v>4.0540540540540543E-2</v>
      </c>
      <c r="Y445">
        <f>T445/S445</f>
        <v>6.6666666666666666E-2</v>
      </c>
      <c r="Z445">
        <f>X445-Y445</f>
        <v>-2.6126126126126123E-2</v>
      </c>
      <c r="AA445">
        <f>P445/N445</f>
        <v>0.14864864864864866</v>
      </c>
      <c r="AB445">
        <f>U445/S445</f>
        <v>0.2</v>
      </c>
      <c r="AC445">
        <f>AA445-AB445</f>
        <v>-5.1351351351351354E-2</v>
      </c>
      <c r="AD445">
        <f>Q445/N445</f>
        <v>0.1891891891891892</v>
      </c>
      <c r="AE445">
        <f>V445/S445</f>
        <v>0.26666666666666666</v>
      </c>
      <c r="AF445">
        <f>AD445-AE445</f>
        <v>-7.7477477477477463E-2</v>
      </c>
      <c r="AG445">
        <v>0</v>
      </c>
      <c r="AH445" s="14">
        <v>4.0999999999999996</v>
      </c>
      <c r="AI445" s="14">
        <v>8.1999999999999993</v>
      </c>
      <c r="AJ445" s="14">
        <v>12.299999999999999</v>
      </c>
      <c r="AK445" s="14">
        <v>32.799999999999997</v>
      </c>
      <c r="AL445" s="5" t="s">
        <v>624</v>
      </c>
      <c r="AM445" s="22">
        <v>-40</v>
      </c>
      <c r="AN445" s="22">
        <v>262</v>
      </c>
      <c r="AO445">
        <f t="shared" si="159"/>
        <v>-0.15267175572519084</v>
      </c>
    </row>
    <row r="446" spans="1:41">
      <c r="A446" t="s">
        <v>539</v>
      </c>
      <c r="B446" t="s">
        <v>552</v>
      </c>
      <c r="C446">
        <v>154</v>
      </c>
      <c r="D446" t="s">
        <v>35</v>
      </c>
      <c r="E446">
        <v>6</v>
      </c>
      <c r="F446">
        <v>3</v>
      </c>
      <c r="G446" s="1">
        <f t="shared" si="147"/>
        <v>75</v>
      </c>
      <c r="H446">
        <v>215</v>
      </c>
      <c r="I446">
        <v>1990</v>
      </c>
      <c r="J446">
        <v>2010</v>
      </c>
      <c r="K446" s="1">
        <f t="shared" si="148"/>
        <v>20</v>
      </c>
      <c r="L446" t="s">
        <v>42</v>
      </c>
      <c r="M446" t="s">
        <v>43</v>
      </c>
      <c r="N446" s="2">
        <v>63</v>
      </c>
      <c r="O446" s="5">
        <v>7</v>
      </c>
      <c r="P446" s="5">
        <v>14</v>
      </c>
      <c r="Q446" s="5">
        <f t="shared" si="149"/>
        <v>21</v>
      </c>
      <c r="R446" s="4">
        <v>121</v>
      </c>
      <c r="S446" s="2">
        <v>65</v>
      </c>
      <c r="T446" s="5">
        <v>0</v>
      </c>
      <c r="U446" s="5">
        <v>6</v>
      </c>
      <c r="V446" s="5">
        <f t="shared" si="150"/>
        <v>6</v>
      </c>
      <c r="W446" s="4">
        <v>98</v>
      </c>
      <c r="AG446">
        <v>0</v>
      </c>
      <c r="AH446" s="14">
        <v>2.1742424242424243</v>
      </c>
      <c r="AI446" s="14">
        <v>9.6287878787878789</v>
      </c>
      <c r="AJ446" s="14">
        <v>11.803030303030303</v>
      </c>
      <c r="AK446" s="14">
        <v>99.704545454545453</v>
      </c>
      <c r="AL446" s="5" t="s">
        <v>600</v>
      </c>
      <c r="AM446" s="22">
        <v>-42</v>
      </c>
      <c r="AN446" s="22">
        <v>740</v>
      </c>
      <c r="AO446">
        <f t="shared" si="159"/>
        <v>-5.675675675675676E-2</v>
      </c>
    </row>
    <row r="447" spans="1:41">
      <c r="A447" t="s">
        <v>539</v>
      </c>
      <c r="B447" t="s">
        <v>542</v>
      </c>
      <c r="C447">
        <v>49</v>
      </c>
      <c r="D447" t="s">
        <v>35</v>
      </c>
      <c r="E447">
        <v>5</v>
      </c>
      <c r="F447">
        <v>11</v>
      </c>
      <c r="G447" s="1">
        <f t="shared" si="147"/>
        <v>71</v>
      </c>
      <c r="H447">
        <v>185</v>
      </c>
      <c r="I447">
        <v>1998</v>
      </c>
      <c r="J447">
        <v>2017</v>
      </c>
      <c r="K447" s="1">
        <f t="shared" si="148"/>
        <v>19</v>
      </c>
      <c r="L447" t="s">
        <v>42</v>
      </c>
      <c r="M447" t="s">
        <v>44</v>
      </c>
      <c r="N447" s="2">
        <v>60</v>
      </c>
      <c r="O447" s="5">
        <v>8</v>
      </c>
      <c r="P447" s="5">
        <v>33</v>
      </c>
      <c r="Q447" s="5">
        <f t="shared" si="149"/>
        <v>41</v>
      </c>
      <c r="R447" s="4">
        <v>42</v>
      </c>
      <c r="S447" s="2">
        <v>51</v>
      </c>
      <c r="T447" s="5">
        <v>6</v>
      </c>
      <c r="U447" s="5">
        <v>34</v>
      </c>
      <c r="V447" s="5">
        <f t="shared" si="150"/>
        <v>40</v>
      </c>
      <c r="W447" s="4">
        <v>46</v>
      </c>
      <c r="AG447">
        <v>0</v>
      </c>
      <c r="AH447" s="14">
        <v>0</v>
      </c>
      <c r="AI447" s="14">
        <v>11.714285714285714</v>
      </c>
      <c r="AJ447" s="14">
        <v>11.714285714285714</v>
      </c>
      <c r="AK447" s="14">
        <v>46.857142857142854</v>
      </c>
      <c r="AL447" s="5" t="s">
        <v>608</v>
      </c>
      <c r="AM447" s="22">
        <v>-45</v>
      </c>
      <c r="AN447" s="22">
        <v>648</v>
      </c>
      <c r="AO447">
        <f t="shared" si="159"/>
        <v>-6.9444444444444448E-2</v>
      </c>
    </row>
    <row r="448" spans="1:41">
      <c r="A448" t="s">
        <v>169</v>
      </c>
      <c r="B448" t="s">
        <v>183</v>
      </c>
      <c r="C448">
        <v>57</v>
      </c>
      <c r="D448" t="s">
        <v>119</v>
      </c>
      <c r="E448">
        <v>6</v>
      </c>
      <c r="F448">
        <v>3</v>
      </c>
      <c r="G448" s="1">
        <f t="shared" si="147"/>
        <v>75</v>
      </c>
      <c r="H448">
        <v>206</v>
      </c>
      <c r="I448">
        <v>1997</v>
      </c>
      <c r="J448">
        <v>2015</v>
      </c>
      <c r="K448" s="1">
        <f t="shared" si="148"/>
        <v>18</v>
      </c>
      <c r="L448" t="s">
        <v>42</v>
      </c>
      <c r="M448" t="s">
        <v>44</v>
      </c>
      <c r="N448" s="2">
        <v>51</v>
      </c>
      <c r="O448" s="5">
        <v>1</v>
      </c>
      <c r="P448" s="5">
        <v>10</v>
      </c>
      <c r="Q448" s="5">
        <f t="shared" si="149"/>
        <v>11</v>
      </c>
      <c r="R448" s="4">
        <v>49</v>
      </c>
      <c r="S448" s="2">
        <v>46</v>
      </c>
      <c r="T448" s="5">
        <v>2</v>
      </c>
      <c r="U448" s="5">
        <v>6</v>
      </c>
      <c r="V448" s="5">
        <f t="shared" si="150"/>
        <v>8</v>
      </c>
      <c r="W448" s="4">
        <v>26</v>
      </c>
      <c r="X448">
        <f>O448/N448</f>
        <v>1.9607843137254902E-2</v>
      </c>
      <c r="Y448">
        <f>T448/S448</f>
        <v>4.3478260869565216E-2</v>
      </c>
      <c r="Z448">
        <f>X448-Y448</f>
        <v>-2.3870417732310314E-2</v>
      </c>
      <c r="AA448">
        <f>P448/N448</f>
        <v>0.19607843137254902</v>
      </c>
      <c r="AB448">
        <f>U448/S448</f>
        <v>0.13043478260869565</v>
      </c>
      <c r="AC448">
        <f>AA448-AB448</f>
        <v>6.5643648763853368E-2</v>
      </c>
      <c r="AD448">
        <f>Q448/N448</f>
        <v>0.21568627450980393</v>
      </c>
      <c r="AE448">
        <f>V448/S448</f>
        <v>0.17391304347826086</v>
      </c>
      <c r="AF448">
        <f>AD448-AE448</f>
        <v>4.1773231031543068E-2</v>
      </c>
      <c r="AG448">
        <v>0</v>
      </c>
      <c r="AH448" s="14">
        <v>1.64</v>
      </c>
      <c r="AI448" s="14">
        <v>9.84</v>
      </c>
      <c r="AJ448" s="14">
        <v>11.479999999999999</v>
      </c>
      <c r="AK448" s="14">
        <v>42.64</v>
      </c>
      <c r="AL448" s="5" t="s">
        <v>628</v>
      </c>
      <c r="AM448" s="22">
        <v>-46</v>
      </c>
      <c r="AN448" s="22">
        <v>841</v>
      </c>
      <c r="AO448">
        <f t="shared" si="159"/>
        <v>-5.4696789536266346E-2</v>
      </c>
    </row>
    <row r="449" spans="1:41">
      <c r="A449" t="s">
        <v>510</v>
      </c>
      <c r="B449" t="s">
        <v>519</v>
      </c>
      <c r="C449">
        <v>156</v>
      </c>
      <c r="D449" t="s">
        <v>35</v>
      </c>
      <c r="E449">
        <v>6</v>
      </c>
      <c r="F449">
        <v>1</v>
      </c>
      <c r="G449" s="1">
        <f t="shared" si="147"/>
        <v>73</v>
      </c>
      <c r="H449">
        <v>225</v>
      </c>
      <c r="I449">
        <v>1987</v>
      </c>
      <c r="J449">
        <v>2005</v>
      </c>
      <c r="K449" s="1">
        <f t="shared" si="148"/>
        <v>18</v>
      </c>
      <c r="L449" t="s">
        <v>41</v>
      </c>
      <c r="M449" t="s">
        <v>43</v>
      </c>
      <c r="N449" s="2">
        <v>64</v>
      </c>
      <c r="O449" s="5">
        <v>7</v>
      </c>
      <c r="P449" s="5">
        <v>9</v>
      </c>
      <c r="Q449" s="5">
        <f t="shared" si="149"/>
        <v>16</v>
      </c>
      <c r="R449" s="4">
        <v>79</v>
      </c>
      <c r="V449" s="5">
        <f t="shared" si="150"/>
        <v>0</v>
      </c>
      <c r="AG449">
        <v>0</v>
      </c>
      <c r="AH449" s="14">
        <v>5.7114427860696502</v>
      </c>
      <c r="AI449" s="14">
        <v>5.7114427860696511</v>
      </c>
      <c r="AJ449" s="14">
        <v>11.422885572139302</v>
      </c>
      <c r="AK449" s="14">
        <v>120.07628524046434</v>
      </c>
      <c r="AL449" s="5" t="s">
        <v>599</v>
      </c>
    </row>
    <row r="450" spans="1:41">
      <c r="A450" t="s">
        <v>266</v>
      </c>
      <c r="B450" t="s">
        <v>267</v>
      </c>
      <c r="C450">
        <v>7</v>
      </c>
      <c r="D450" t="s">
        <v>65</v>
      </c>
      <c r="E450">
        <v>5</v>
      </c>
      <c r="F450">
        <v>11</v>
      </c>
      <c r="G450" s="1">
        <f t="shared" ref="G450:G472" si="160">E450*12+F450</f>
        <v>71</v>
      </c>
      <c r="H450">
        <v>198</v>
      </c>
      <c r="I450">
        <v>1998</v>
      </c>
      <c r="J450">
        <v>2017</v>
      </c>
      <c r="K450" s="1">
        <f t="shared" ref="K450:K472" si="161">J450-I450</f>
        <v>19</v>
      </c>
      <c r="L450" t="s">
        <v>41</v>
      </c>
      <c r="M450" t="s">
        <v>44</v>
      </c>
      <c r="N450" s="2">
        <v>52</v>
      </c>
      <c r="O450" s="5">
        <v>14</v>
      </c>
      <c r="P450" s="5">
        <v>10</v>
      </c>
      <c r="Q450" s="5">
        <f t="shared" ref="Q450:Q472" si="162">O450+P450</f>
        <v>24</v>
      </c>
      <c r="R450" s="4">
        <v>26</v>
      </c>
      <c r="S450" s="2">
        <v>1</v>
      </c>
      <c r="T450" s="5">
        <v>1</v>
      </c>
      <c r="U450" s="5">
        <v>1</v>
      </c>
      <c r="V450" s="5">
        <f t="shared" si="150"/>
        <v>2</v>
      </c>
      <c r="W450" s="4">
        <v>0</v>
      </c>
      <c r="X450">
        <f>O450/N450</f>
        <v>0.26923076923076922</v>
      </c>
      <c r="Y450">
        <f>T450/S450</f>
        <v>1</v>
      </c>
      <c r="Z450">
        <f>X450-Y450</f>
        <v>-0.73076923076923084</v>
      </c>
      <c r="AA450">
        <f>P450/N450</f>
        <v>0.19230769230769232</v>
      </c>
      <c r="AB450">
        <f>U450/S450</f>
        <v>1</v>
      </c>
      <c r="AC450">
        <f>AA450-AB450</f>
        <v>-0.80769230769230771</v>
      </c>
      <c r="AD450">
        <f>Q450/N450</f>
        <v>0.46153846153846156</v>
      </c>
      <c r="AE450">
        <f>V450/S450</f>
        <v>2</v>
      </c>
      <c r="AF450">
        <f>AD450-AE450</f>
        <v>-1.5384615384615383</v>
      </c>
      <c r="AG450">
        <v>0</v>
      </c>
      <c r="AH450" s="14">
        <v>3.7272727272727275</v>
      </c>
      <c r="AI450" s="14">
        <v>7.454545454545455</v>
      </c>
      <c r="AJ450" s="14">
        <v>11.181818181818182</v>
      </c>
      <c r="AK450" s="14">
        <v>41</v>
      </c>
      <c r="AL450" s="3" t="s">
        <v>618</v>
      </c>
    </row>
    <row r="451" spans="1:41">
      <c r="A451" t="s">
        <v>556</v>
      </c>
      <c r="B451" t="s">
        <v>564</v>
      </c>
      <c r="C451">
        <v>111</v>
      </c>
      <c r="D451" t="s">
        <v>477</v>
      </c>
      <c r="E451">
        <v>6</v>
      </c>
      <c r="F451">
        <v>3</v>
      </c>
      <c r="G451" s="1">
        <f t="shared" si="160"/>
        <v>75</v>
      </c>
      <c r="H451">
        <v>206</v>
      </c>
      <c r="I451">
        <v>1988</v>
      </c>
      <c r="J451">
        <v>2006</v>
      </c>
      <c r="K451" s="1">
        <f t="shared" si="161"/>
        <v>18</v>
      </c>
      <c r="L451" t="s">
        <v>42</v>
      </c>
      <c r="M451" t="s">
        <v>43</v>
      </c>
      <c r="N451" s="2">
        <f>36+2+46</f>
        <v>84</v>
      </c>
      <c r="O451" s="5">
        <v>6</v>
      </c>
      <c r="P451" s="5">
        <v>7</v>
      </c>
      <c r="Q451" s="5">
        <f t="shared" si="162"/>
        <v>13</v>
      </c>
      <c r="R451" s="4">
        <v>100</v>
      </c>
      <c r="S451" s="2">
        <v>34</v>
      </c>
      <c r="T451" s="5">
        <v>7</v>
      </c>
      <c r="U451" s="5">
        <v>11</v>
      </c>
      <c r="V451" s="5">
        <f t="shared" ref="V451:V472" si="163">T451+U451</f>
        <v>18</v>
      </c>
      <c r="W451" s="4">
        <v>66</v>
      </c>
      <c r="AG451">
        <v>0</v>
      </c>
      <c r="AH451" s="14">
        <v>2.3163841807909606</v>
      </c>
      <c r="AI451" s="14">
        <v>8.8022598870056505</v>
      </c>
      <c r="AJ451" s="14">
        <v>11.118644067796611</v>
      </c>
      <c r="AK451" s="14">
        <v>56.983050847457626</v>
      </c>
      <c r="AL451" s="5" t="s">
        <v>641</v>
      </c>
      <c r="AM451" s="22">
        <v>-47</v>
      </c>
      <c r="AN451" s="22">
        <v>454</v>
      </c>
      <c r="AO451">
        <f t="shared" ref="AO451:AO455" si="164">AM451/AN451</f>
        <v>-0.10352422907488987</v>
      </c>
    </row>
    <row r="452" spans="1:41">
      <c r="A452" t="s">
        <v>556</v>
      </c>
      <c r="B452" t="s">
        <v>561</v>
      </c>
      <c r="C452">
        <v>3</v>
      </c>
      <c r="D452" t="s">
        <v>35</v>
      </c>
      <c r="E452">
        <v>6</v>
      </c>
      <c r="F452">
        <v>5</v>
      </c>
      <c r="G452" s="1">
        <f t="shared" si="160"/>
        <v>77</v>
      </c>
      <c r="H452">
        <v>217</v>
      </c>
      <c r="I452">
        <v>1992</v>
      </c>
      <c r="J452">
        <v>2010</v>
      </c>
      <c r="K452" s="1">
        <f t="shared" si="161"/>
        <v>18</v>
      </c>
      <c r="L452" t="s">
        <v>42</v>
      </c>
      <c r="M452" t="s">
        <v>43</v>
      </c>
      <c r="N452" s="2">
        <v>47</v>
      </c>
      <c r="O452" s="5">
        <v>2</v>
      </c>
      <c r="P452" s="5">
        <v>23</v>
      </c>
      <c r="Q452" s="5">
        <f t="shared" si="162"/>
        <v>25</v>
      </c>
      <c r="R452" s="4">
        <v>72</v>
      </c>
      <c r="S452" s="2">
        <v>69</v>
      </c>
      <c r="T452" s="5">
        <v>4</v>
      </c>
      <c r="U452" s="5">
        <v>22</v>
      </c>
      <c r="V452" s="5">
        <f t="shared" si="163"/>
        <v>26</v>
      </c>
      <c r="W452" s="4">
        <v>69</v>
      </c>
      <c r="AG452">
        <v>0</v>
      </c>
      <c r="AH452" s="14">
        <v>2.862422997946612</v>
      </c>
      <c r="AI452" s="14">
        <v>8.2505133470225864</v>
      </c>
      <c r="AJ452" s="14">
        <v>11.112936344969199</v>
      </c>
      <c r="AK452" s="14">
        <v>85.535934291581114</v>
      </c>
      <c r="AL452" s="3" t="s">
        <v>600</v>
      </c>
      <c r="AM452" s="22">
        <v>-49</v>
      </c>
      <c r="AN452" s="22">
        <v>348</v>
      </c>
      <c r="AO452">
        <f t="shared" si="164"/>
        <v>-0.14080459770114942</v>
      </c>
    </row>
    <row r="453" spans="1:41">
      <c r="A453" s="6" t="s">
        <v>69</v>
      </c>
      <c r="B453" t="s">
        <v>72</v>
      </c>
      <c r="C453">
        <v>198</v>
      </c>
      <c r="D453" t="s">
        <v>35</v>
      </c>
      <c r="E453">
        <v>6</v>
      </c>
      <c r="F453">
        <v>0</v>
      </c>
      <c r="G453" s="1">
        <f t="shared" si="160"/>
        <v>72</v>
      </c>
      <c r="H453">
        <v>195</v>
      </c>
      <c r="I453">
        <v>1993</v>
      </c>
      <c r="J453">
        <v>2013</v>
      </c>
      <c r="K453" s="1">
        <f t="shared" si="161"/>
        <v>20</v>
      </c>
      <c r="L453" t="s">
        <v>42</v>
      </c>
      <c r="M453" t="s">
        <v>44</v>
      </c>
      <c r="N453" s="2">
        <v>38</v>
      </c>
      <c r="O453" s="3">
        <v>4</v>
      </c>
      <c r="P453" s="5">
        <v>9</v>
      </c>
      <c r="Q453" s="3">
        <f t="shared" si="162"/>
        <v>13</v>
      </c>
      <c r="R453" s="4">
        <v>35</v>
      </c>
      <c r="S453" s="2">
        <v>58</v>
      </c>
      <c r="T453" s="5">
        <v>10</v>
      </c>
      <c r="U453" s="5">
        <v>14</v>
      </c>
      <c r="V453" s="3">
        <f t="shared" si="163"/>
        <v>24</v>
      </c>
      <c r="W453" s="4">
        <v>14</v>
      </c>
      <c r="X453">
        <f>O453/N453</f>
        <v>0.10526315789473684</v>
      </c>
      <c r="Y453">
        <f>T453/S453</f>
        <v>0.17241379310344829</v>
      </c>
      <c r="Z453">
        <f>X453-Y453</f>
        <v>-6.7150635208711451E-2</v>
      </c>
      <c r="AA453">
        <f>P453/N453</f>
        <v>0.23684210526315788</v>
      </c>
      <c r="AB453">
        <f>U453/S453</f>
        <v>0.2413793103448276</v>
      </c>
      <c r="AC453">
        <f>AA453-AB453</f>
        <v>-4.5372050816697151E-3</v>
      </c>
      <c r="AD453">
        <f>Q453/N453</f>
        <v>0.34210526315789475</v>
      </c>
      <c r="AE453">
        <f>V453/S453</f>
        <v>0.41379310344827586</v>
      </c>
      <c r="AF453">
        <f>AD453-AE453</f>
        <v>-7.1687840290381111E-2</v>
      </c>
      <c r="AG453">
        <v>0</v>
      </c>
      <c r="AH453" s="14">
        <v>4.4324324324324325</v>
      </c>
      <c r="AI453" s="14">
        <v>6.6486486486486491</v>
      </c>
      <c r="AJ453" s="14">
        <v>11.081081081081081</v>
      </c>
      <c r="AK453" s="14">
        <v>39.891891891891895</v>
      </c>
      <c r="AL453" s="3" t="s">
        <v>611</v>
      </c>
      <c r="AM453" s="22">
        <v>-52</v>
      </c>
      <c r="AN453" s="22">
        <v>651</v>
      </c>
      <c r="AO453">
        <f t="shared" si="164"/>
        <v>-7.9877112135176648E-2</v>
      </c>
    </row>
    <row r="454" spans="1:41">
      <c r="A454" t="s">
        <v>234</v>
      </c>
      <c r="B454" t="s">
        <v>238</v>
      </c>
      <c r="C454">
        <v>7</v>
      </c>
      <c r="D454" t="s">
        <v>35</v>
      </c>
      <c r="E454">
        <v>6</v>
      </c>
      <c r="F454">
        <v>3</v>
      </c>
      <c r="G454" s="1">
        <f t="shared" si="160"/>
        <v>75</v>
      </c>
      <c r="H454">
        <v>221</v>
      </c>
      <c r="I454">
        <v>1996</v>
      </c>
      <c r="J454">
        <v>2014</v>
      </c>
      <c r="K454" s="1">
        <f t="shared" si="161"/>
        <v>18</v>
      </c>
      <c r="L454" t="s">
        <v>42</v>
      </c>
      <c r="M454" t="s">
        <v>44</v>
      </c>
      <c r="N454" s="2">
        <v>77</v>
      </c>
      <c r="O454" s="5">
        <v>8</v>
      </c>
      <c r="P454" s="5">
        <v>39</v>
      </c>
      <c r="Q454" s="5">
        <f t="shared" si="162"/>
        <v>47</v>
      </c>
      <c r="R454" s="4">
        <v>50</v>
      </c>
      <c r="S454" s="2">
        <v>66</v>
      </c>
      <c r="T454" s="5">
        <v>4</v>
      </c>
      <c r="U454" s="5">
        <v>15</v>
      </c>
      <c r="V454" s="5">
        <f t="shared" si="163"/>
        <v>19</v>
      </c>
      <c r="W454" s="4">
        <v>21</v>
      </c>
      <c r="X454">
        <f>O454/N454</f>
        <v>0.1038961038961039</v>
      </c>
      <c r="Y454">
        <f>T454/S454</f>
        <v>6.0606060606060608E-2</v>
      </c>
      <c r="Z454">
        <f>X454-Y454</f>
        <v>4.3290043290043295E-2</v>
      </c>
      <c r="AA454">
        <f>P454/N454</f>
        <v>0.50649350649350644</v>
      </c>
      <c r="AB454">
        <f>U454/S454</f>
        <v>0.22727272727272727</v>
      </c>
      <c r="AC454">
        <f>AA454-AB454</f>
        <v>0.27922077922077915</v>
      </c>
      <c r="AD454">
        <f>Q454/N454</f>
        <v>0.61038961038961037</v>
      </c>
      <c r="AE454">
        <f>V454/S454</f>
        <v>0.2878787878787879</v>
      </c>
      <c r="AF454">
        <f>AD454-AE454</f>
        <v>0.32251082251082247</v>
      </c>
      <c r="AG454">
        <v>0</v>
      </c>
      <c r="AH454" s="14">
        <v>1.64</v>
      </c>
      <c r="AI454" s="14">
        <v>9.02</v>
      </c>
      <c r="AJ454" s="14">
        <v>10.66</v>
      </c>
      <c r="AK454" s="14">
        <v>14.76</v>
      </c>
      <c r="AL454" s="3" t="s">
        <v>599</v>
      </c>
      <c r="AM454" s="22">
        <v>-58</v>
      </c>
      <c r="AN454" s="22">
        <v>345</v>
      </c>
      <c r="AO454">
        <f t="shared" si="164"/>
        <v>-0.1681159420289855</v>
      </c>
    </row>
    <row r="455" spans="1:41">
      <c r="A455" s="6" t="s">
        <v>135</v>
      </c>
      <c r="B455" t="s">
        <v>137</v>
      </c>
      <c r="C455">
        <v>139</v>
      </c>
      <c r="D455" t="s">
        <v>35</v>
      </c>
      <c r="E455">
        <v>6</v>
      </c>
      <c r="F455">
        <v>1</v>
      </c>
      <c r="G455" s="1">
        <f t="shared" si="160"/>
        <v>73</v>
      </c>
      <c r="H455">
        <v>207</v>
      </c>
      <c r="I455">
        <v>1989</v>
      </c>
      <c r="J455">
        <v>2008</v>
      </c>
      <c r="K455" s="1">
        <f t="shared" si="161"/>
        <v>19</v>
      </c>
      <c r="L455" t="s">
        <v>42</v>
      </c>
      <c r="M455" t="s">
        <v>44</v>
      </c>
      <c r="N455" s="2">
        <v>46</v>
      </c>
      <c r="O455" s="5">
        <v>2</v>
      </c>
      <c r="P455" s="5">
        <v>24</v>
      </c>
      <c r="Q455" s="5">
        <f t="shared" si="162"/>
        <v>26</v>
      </c>
      <c r="R455" s="4">
        <v>80</v>
      </c>
      <c r="S455" s="2">
        <v>53</v>
      </c>
      <c r="T455" s="5">
        <v>3</v>
      </c>
      <c r="U455" s="5">
        <v>25</v>
      </c>
      <c r="V455" s="5">
        <f t="shared" si="163"/>
        <v>28</v>
      </c>
      <c r="W455" s="4">
        <v>85</v>
      </c>
      <c r="X455">
        <f>O455/N455</f>
        <v>4.3478260869565216E-2</v>
      </c>
      <c r="Y455">
        <f>T455/S455</f>
        <v>5.6603773584905662E-2</v>
      </c>
      <c r="Z455">
        <f>X455-Y455</f>
        <v>-1.3125512715340446E-2</v>
      </c>
      <c r="AA455">
        <f>P455/N455</f>
        <v>0.52173913043478259</v>
      </c>
      <c r="AB455">
        <f>U455/S455</f>
        <v>0.47169811320754718</v>
      </c>
      <c r="AC455">
        <f>AA455-AB455</f>
        <v>5.0041017227235418E-2</v>
      </c>
      <c r="AD455">
        <f>Q455/N455</f>
        <v>0.56521739130434778</v>
      </c>
      <c r="AE455">
        <f>V455/S455</f>
        <v>0.52830188679245282</v>
      </c>
      <c r="AF455">
        <f>AD455-AE455</f>
        <v>3.6915504511894959E-2</v>
      </c>
      <c r="AG455">
        <v>0</v>
      </c>
      <c r="AH455" s="14">
        <v>2.3837209302325584</v>
      </c>
      <c r="AI455" s="14">
        <v>7.6279069767441863</v>
      </c>
      <c r="AJ455" s="14">
        <v>10.011627906976745</v>
      </c>
      <c r="AK455" s="14">
        <v>147.31395348837211</v>
      </c>
      <c r="AL455" s="5" t="s">
        <v>635</v>
      </c>
      <c r="AM455" s="22">
        <v>-58</v>
      </c>
      <c r="AN455" s="22">
        <v>745</v>
      </c>
      <c r="AO455">
        <f t="shared" si="164"/>
        <v>-7.7852348993288592E-2</v>
      </c>
    </row>
    <row r="456" spans="1:41">
      <c r="A456" s="6" t="s">
        <v>148</v>
      </c>
      <c r="B456" t="s">
        <v>154</v>
      </c>
      <c r="C456">
        <v>106</v>
      </c>
      <c r="D456" t="s">
        <v>65</v>
      </c>
      <c r="E456">
        <v>6</v>
      </c>
      <c r="F456">
        <v>3</v>
      </c>
      <c r="G456" s="1">
        <f t="shared" si="160"/>
        <v>75</v>
      </c>
      <c r="H456">
        <v>195</v>
      </c>
      <c r="I456">
        <v>1996</v>
      </c>
      <c r="J456">
        <v>2014</v>
      </c>
      <c r="K456" s="1">
        <f t="shared" si="161"/>
        <v>18</v>
      </c>
      <c r="L456" t="s">
        <v>41</v>
      </c>
      <c r="M456" t="s">
        <v>44</v>
      </c>
      <c r="N456" s="2">
        <v>69</v>
      </c>
      <c r="O456" s="5">
        <v>12</v>
      </c>
      <c r="P456" s="5">
        <v>20</v>
      </c>
      <c r="Q456" s="5">
        <f t="shared" si="162"/>
        <v>32</v>
      </c>
      <c r="R456" s="4">
        <v>18</v>
      </c>
      <c r="S456" s="2">
        <v>33</v>
      </c>
      <c r="T456" s="5">
        <v>9</v>
      </c>
      <c r="U456" s="5">
        <v>22</v>
      </c>
      <c r="V456" s="5">
        <f t="shared" si="163"/>
        <v>31</v>
      </c>
      <c r="W456" s="4">
        <v>16</v>
      </c>
      <c r="X456">
        <f>O456/N456</f>
        <v>0.17391304347826086</v>
      </c>
      <c r="Y456">
        <f>T456/S456</f>
        <v>0.27272727272727271</v>
      </c>
      <c r="Z456">
        <f>X456-Y456</f>
        <v>-9.8814229249011842E-2</v>
      </c>
      <c r="AA456">
        <f>P456/N456</f>
        <v>0.28985507246376813</v>
      </c>
      <c r="AB456">
        <f>U456/S456</f>
        <v>0.66666666666666663</v>
      </c>
      <c r="AC456">
        <f>AA456-AB456</f>
        <v>-0.3768115942028985</v>
      </c>
      <c r="AD456">
        <f>Q456/N456</f>
        <v>0.46376811594202899</v>
      </c>
      <c r="AE456">
        <f>V456/S456</f>
        <v>0.93939393939393945</v>
      </c>
      <c r="AF456">
        <f>AD456-AE456</f>
        <v>-0.47562582345191046</v>
      </c>
      <c r="AG456">
        <v>0</v>
      </c>
      <c r="AH456" s="14">
        <v>3.3243243243243246</v>
      </c>
      <c r="AI456" s="14">
        <v>6.6486486486486491</v>
      </c>
      <c r="AJ456" s="14">
        <v>9.9729729729729737</v>
      </c>
      <c r="AK456" s="14">
        <v>8.8648648648648649</v>
      </c>
      <c r="AL456" s="3" t="s">
        <v>609</v>
      </c>
    </row>
    <row r="457" spans="1:41">
      <c r="A457" t="s">
        <v>478</v>
      </c>
      <c r="B457" t="s">
        <v>492</v>
      </c>
      <c r="C457">
        <v>40</v>
      </c>
      <c r="D457" t="s">
        <v>34</v>
      </c>
      <c r="E457">
        <v>5</v>
      </c>
      <c r="F457">
        <v>10</v>
      </c>
      <c r="G457" s="1">
        <f t="shared" si="160"/>
        <v>70</v>
      </c>
      <c r="H457">
        <v>184</v>
      </c>
      <c r="I457">
        <v>1990</v>
      </c>
      <c r="J457">
        <v>2008</v>
      </c>
      <c r="K457" s="1">
        <f t="shared" si="161"/>
        <v>18</v>
      </c>
      <c r="L457" t="s">
        <v>42</v>
      </c>
      <c r="M457" t="s">
        <v>44</v>
      </c>
      <c r="N457" s="2">
        <f>31+11+7</f>
        <v>49</v>
      </c>
      <c r="O457" s="5">
        <v>30</v>
      </c>
      <c r="P457" s="5">
        <v>61</v>
      </c>
      <c r="Q457" s="5">
        <f t="shared" si="162"/>
        <v>91</v>
      </c>
      <c r="R457" s="4">
        <v>18</v>
      </c>
      <c r="S457" s="2">
        <v>42</v>
      </c>
      <c r="T457" s="5">
        <v>13</v>
      </c>
      <c r="U457" s="5">
        <v>46</v>
      </c>
      <c r="V457" s="5">
        <f t="shared" si="163"/>
        <v>59</v>
      </c>
      <c r="W457" s="4">
        <v>12</v>
      </c>
      <c r="AG457">
        <v>0</v>
      </c>
      <c r="AH457" s="14">
        <v>1.3898305084745763</v>
      </c>
      <c r="AI457" s="14">
        <v>8.3389830508474585</v>
      </c>
      <c r="AJ457" s="14">
        <v>9.7288135593220346</v>
      </c>
      <c r="AK457" s="14">
        <v>30.576271186440678</v>
      </c>
      <c r="AL457" s="5" t="s">
        <v>613</v>
      </c>
      <c r="AM457" s="22">
        <v>-69</v>
      </c>
      <c r="AN457" s="22">
        <v>513</v>
      </c>
      <c r="AO457">
        <f t="shared" ref="AO457:AO459" si="165">AM457/AN457</f>
        <v>-0.13450292397660818</v>
      </c>
    </row>
    <row r="458" spans="1:41">
      <c r="A458" t="s">
        <v>445</v>
      </c>
      <c r="B458" t="s">
        <v>453</v>
      </c>
      <c r="C458">
        <v>131</v>
      </c>
      <c r="D458" t="s">
        <v>34</v>
      </c>
      <c r="E458">
        <v>6</v>
      </c>
      <c r="F458">
        <v>2</v>
      </c>
      <c r="G458" s="1">
        <f t="shared" si="160"/>
        <v>74</v>
      </c>
      <c r="H458">
        <v>198</v>
      </c>
      <c r="I458">
        <v>1993</v>
      </c>
      <c r="J458">
        <v>2011</v>
      </c>
      <c r="K458" s="1">
        <f t="shared" si="161"/>
        <v>18</v>
      </c>
      <c r="L458" t="s">
        <v>42</v>
      </c>
      <c r="M458" t="s">
        <v>44</v>
      </c>
      <c r="N458" s="2">
        <v>43</v>
      </c>
      <c r="O458" s="5">
        <v>10</v>
      </c>
      <c r="P458" s="5">
        <v>34</v>
      </c>
      <c r="Q458" s="5">
        <f t="shared" si="162"/>
        <v>44</v>
      </c>
      <c r="R458" s="4">
        <v>70</v>
      </c>
      <c r="S458" s="2">
        <v>25</v>
      </c>
      <c r="T458" s="5">
        <v>3</v>
      </c>
      <c r="U458" s="5">
        <v>14</v>
      </c>
      <c r="V458" s="5">
        <f t="shared" si="163"/>
        <v>17</v>
      </c>
      <c r="W458" s="4">
        <v>12</v>
      </c>
      <c r="AG458">
        <v>0</v>
      </c>
      <c r="AH458" s="14">
        <v>1.6907216494845361</v>
      </c>
      <c r="AI458" s="14">
        <v>7.608247422680412</v>
      </c>
      <c r="AJ458" s="14">
        <v>9.2989690721649492</v>
      </c>
      <c r="AK458" s="14">
        <v>76.927835051546396</v>
      </c>
      <c r="AL458" s="5" t="s">
        <v>603</v>
      </c>
      <c r="AM458" s="22">
        <v>-84</v>
      </c>
      <c r="AN458" s="22">
        <v>491</v>
      </c>
      <c r="AO458">
        <f t="shared" si="165"/>
        <v>-0.17107942973523421</v>
      </c>
    </row>
    <row r="459" spans="1:41">
      <c r="A459" t="s">
        <v>556</v>
      </c>
      <c r="B459" t="s">
        <v>575</v>
      </c>
      <c r="C459">
        <v>27</v>
      </c>
      <c r="D459" t="s">
        <v>65</v>
      </c>
      <c r="E459">
        <v>6</v>
      </c>
      <c r="F459">
        <v>2</v>
      </c>
      <c r="G459" s="1">
        <f t="shared" si="160"/>
        <v>74</v>
      </c>
      <c r="H459">
        <v>197</v>
      </c>
      <c r="I459">
        <v>1997</v>
      </c>
      <c r="J459">
        <v>2015</v>
      </c>
      <c r="K459" s="1">
        <f t="shared" si="161"/>
        <v>18</v>
      </c>
      <c r="L459" t="s">
        <v>42</v>
      </c>
      <c r="M459" t="s">
        <v>44</v>
      </c>
      <c r="N459" s="2">
        <f>5+5+30+1+2+20+5+20</f>
        <v>88</v>
      </c>
      <c r="O459" s="3">
        <f>8+1+1</f>
        <v>10</v>
      </c>
      <c r="P459" s="3">
        <f>3+1+11+1+2+9</f>
        <v>27</v>
      </c>
      <c r="Q459" s="5">
        <f t="shared" si="162"/>
        <v>37</v>
      </c>
      <c r="R459" s="4">
        <f>2+49+6+2+14</f>
        <v>73</v>
      </c>
      <c r="S459" s="2">
        <f>5+13+21+17+13</f>
        <v>69</v>
      </c>
      <c r="T459" s="3">
        <f>5+4+1</f>
        <v>10</v>
      </c>
      <c r="U459" s="3">
        <f>8+8+2</f>
        <v>18</v>
      </c>
      <c r="V459" s="5">
        <f t="shared" si="163"/>
        <v>28</v>
      </c>
      <c r="W459" s="4">
        <f>4+49+6+12</f>
        <v>71</v>
      </c>
      <c r="AG459">
        <v>0</v>
      </c>
      <c r="AH459" s="14">
        <v>1.0933333333333333</v>
      </c>
      <c r="AI459" s="14">
        <v>7.6533333333333324</v>
      </c>
      <c r="AJ459" s="14">
        <v>8.7466666666666661</v>
      </c>
      <c r="AK459" s="14">
        <v>28.426666666666666</v>
      </c>
      <c r="AL459" s="3" t="s">
        <v>65</v>
      </c>
      <c r="AM459" s="22">
        <v>-89</v>
      </c>
      <c r="AN459" s="22">
        <v>686</v>
      </c>
      <c r="AO459">
        <f t="shared" si="165"/>
        <v>-0.12973760932944606</v>
      </c>
    </row>
    <row r="460" spans="1:41">
      <c r="A460" t="s">
        <v>525</v>
      </c>
      <c r="B460" t="s">
        <v>536</v>
      </c>
      <c r="C460">
        <v>178</v>
      </c>
      <c r="D460" t="s">
        <v>35</v>
      </c>
      <c r="E460">
        <v>5</v>
      </c>
      <c r="F460">
        <v>10</v>
      </c>
      <c r="G460" s="1">
        <f t="shared" si="160"/>
        <v>70</v>
      </c>
      <c r="H460">
        <v>192</v>
      </c>
      <c r="I460">
        <v>1990</v>
      </c>
      <c r="J460">
        <v>2008</v>
      </c>
      <c r="K460" s="1">
        <f t="shared" si="161"/>
        <v>18</v>
      </c>
      <c r="L460" t="s">
        <v>41</v>
      </c>
      <c r="M460" t="s">
        <v>44</v>
      </c>
      <c r="N460" s="2">
        <v>63</v>
      </c>
      <c r="O460" s="5">
        <v>7</v>
      </c>
      <c r="P460" s="5">
        <v>7</v>
      </c>
      <c r="Q460" s="5">
        <f t="shared" si="162"/>
        <v>14</v>
      </c>
      <c r="R460" s="4">
        <v>191</v>
      </c>
      <c r="S460" s="2">
        <v>50</v>
      </c>
      <c r="T460" s="5">
        <v>16</v>
      </c>
      <c r="U460" s="5">
        <v>16</v>
      </c>
      <c r="V460" s="5">
        <f t="shared" si="163"/>
        <v>32</v>
      </c>
      <c r="W460" s="4">
        <v>195</v>
      </c>
      <c r="AG460">
        <v>0</v>
      </c>
      <c r="AH460" s="14">
        <v>3.4745762711864407</v>
      </c>
      <c r="AI460" s="14">
        <v>5.0960451977401133</v>
      </c>
      <c r="AJ460" s="14">
        <v>8.5706214689265536</v>
      </c>
      <c r="AK460" s="14">
        <v>167.47457627118644</v>
      </c>
      <c r="AL460" s="5" t="s">
        <v>600</v>
      </c>
    </row>
    <row r="461" spans="1:41">
      <c r="A461" s="6" t="s">
        <v>102</v>
      </c>
      <c r="B461" t="s">
        <v>115</v>
      </c>
      <c r="C461">
        <v>126</v>
      </c>
      <c r="D461" t="s">
        <v>34</v>
      </c>
      <c r="E461">
        <v>6</v>
      </c>
      <c r="F461">
        <v>2</v>
      </c>
      <c r="G461" s="1">
        <f t="shared" si="160"/>
        <v>74</v>
      </c>
      <c r="H461">
        <v>200</v>
      </c>
      <c r="I461">
        <v>1994</v>
      </c>
      <c r="J461">
        <v>2012</v>
      </c>
      <c r="K461" s="1">
        <f t="shared" si="161"/>
        <v>18</v>
      </c>
      <c r="L461" t="s">
        <v>41</v>
      </c>
      <c r="M461" t="s">
        <v>44</v>
      </c>
      <c r="N461" s="2">
        <v>59</v>
      </c>
      <c r="O461" s="5">
        <v>44</v>
      </c>
      <c r="P461" s="5">
        <v>55</v>
      </c>
      <c r="Q461" s="5">
        <f t="shared" si="162"/>
        <v>99</v>
      </c>
      <c r="R461" s="4">
        <v>64</v>
      </c>
      <c r="S461" s="2">
        <v>53</v>
      </c>
      <c r="T461" s="5">
        <v>39</v>
      </c>
      <c r="U461" s="5">
        <v>41</v>
      </c>
      <c r="V461" s="5">
        <f t="shared" si="163"/>
        <v>80</v>
      </c>
      <c r="W461" s="4">
        <v>24</v>
      </c>
      <c r="X461">
        <f>O461/N461</f>
        <v>0.74576271186440679</v>
      </c>
      <c r="Y461">
        <f>T461/S461</f>
        <v>0.73584905660377353</v>
      </c>
      <c r="Z461">
        <f>X461-Y461</f>
        <v>9.9136552606332584E-3</v>
      </c>
      <c r="AA461">
        <f>P461/N461</f>
        <v>0.93220338983050843</v>
      </c>
      <c r="AB461">
        <f>U461/S461</f>
        <v>0.77358490566037741</v>
      </c>
      <c r="AC461">
        <f>AA461-AB461</f>
        <v>0.15861848417013102</v>
      </c>
      <c r="AD461">
        <f>Q461/N461</f>
        <v>1.6779661016949152</v>
      </c>
      <c r="AE461">
        <f>V461/S461</f>
        <v>1.5094339622641511</v>
      </c>
      <c r="AF461">
        <f>AD461-AE461</f>
        <v>0.16853213943076417</v>
      </c>
      <c r="AG461">
        <v>0</v>
      </c>
      <c r="AH461" s="14">
        <v>3.8139534883720931</v>
      </c>
      <c r="AI461" s="14">
        <v>3.8139534883720931</v>
      </c>
      <c r="AJ461" s="14">
        <v>7.6279069767441863</v>
      </c>
      <c r="AK461" s="14">
        <v>36.232558139534888</v>
      </c>
      <c r="AL461" s="5" t="s">
        <v>637</v>
      </c>
    </row>
    <row r="462" spans="1:41">
      <c r="A462" t="s">
        <v>445</v>
      </c>
      <c r="B462" t="s">
        <v>454</v>
      </c>
      <c r="C462">
        <v>137</v>
      </c>
      <c r="D462" t="s">
        <v>35</v>
      </c>
      <c r="E462">
        <v>6</v>
      </c>
      <c r="F462">
        <v>4</v>
      </c>
      <c r="G462" s="1">
        <f t="shared" si="160"/>
        <v>76</v>
      </c>
      <c r="H462">
        <v>190</v>
      </c>
      <c r="I462">
        <v>1994</v>
      </c>
      <c r="J462">
        <v>2013</v>
      </c>
      <c r="K462" s="1">
        <f t="shared" si="161"/>
        <v>19</v>
      </c>
      <c r="L462" t="s">
        <v>42</v>
      </c>
      <c r="M462" t="s">
        <v>44</v>
      </c>
      <c r="N462" s="2">
        <v>35</v>
      </c>
      <c r="O462" s="5">
        <v>5</v>
      </c>
      <c r="P462" s="5">
        <v>10</v>
      </c>
      <c r="Q462" s="5">
        <f t="shared" si="162"/>
        <v>15</v>
      </c>
      <c r="R462" s="4">
        <v>71</v>
      </c>
      <c r="S462" s="2">
        <v>37</v>
      </c>
      <c r="T462" s="5">
        <v>9</v>
      </c>
      <c r="U462" s="5">
        <v>20</v>
      </c>
      <c r="V462" s="5">
        <f t="shared" si="163"/>
        <v>29</v>
      </c>
      <c r="W462" s="4">
        <v>104</v>
      </c>
      <c r="AG462">
        <v>0</v>
      </c>
      <c r="AH462" s="14">
        <v>3.7272727272727271</v>
      </c>
      <c r="AI462" s="14">
        <v>3.7272727272727271</v>
      </c>
      <c r="AJ462" s="14">
        <v>7.4545454545454541</v>
      </c>
      <c r="AK462" s="14">
        <v>22.363636363636363</v>
      </c>
      <c r="AL462" s="3" t="s">
        <v>620</v>
      </c>
      <c r="AM462" s="22">
        <v>-102</v>
      </c>
      <c r="AN462" s="22">
        <v>588</v>
      </c>
      <c r="AO462">
        <f t="shared" ref="AO462:AO464" si="166">AM462/AN462</f>
        <v>-0.17346938775510204</v>
      </c>
    </row>
    <row r="463" spans="1:41">
      <c r="A463" s="6" t="s">
        <v>102</v>
      </c>
      <c r="B463" t="s">
        <v>104</v>
      </c>
      <c r="C463">
        <v>152</v>
      </c>
      <c r="D463" t="s">
        <v>35</v>
      </c>
      <c r="E463">
        <v>6</v>
      </c>
      <c r="F463">
        <v>5</v>
      </c>
      <c r="G463" s="1">
        <f t="shared" si="160"/>
        <v>77</v>
      </c>
      <c r="H463">
        <v>225</v>
      </c>
      <c r="I463">
        <v>1994</v>
      </c>
      <c r="J463">
        <v>2013</v>
      </c>
      <c r="K463" s="1">
        <f t="shared" si="161"/>
        <v>19</v>
      </c>
      <c r="L463" t="s">
        <v>42</v>
      </c>
      <c r="M463" t="s">
        <v>43</v>
      </c>
      <c r="N463" s="2">
        <v>68</v>
      </c>
      <c r="O463" s="5">
        <v>0</v>
      </c>
      <c r="P463" s="5">
        <v>16</v>
      </c>
      <c r="Q463" s="5">
        <f t="shared" si="162"/>
        <v>16</v>
      </c>
      <c r="R463" s="4">
        <v>79</v>
      </c>
      <c r="S463" s="2">
        <v>46</v>
      </c>
      <c r="T463" s="5">
        <v>0</v>
      </c>
      <c r="U463" s="5">
        <v>4</v>
      </c>
      <c r="V463" s="5">
        <f t="shared" si="163"/>
        <v>4</v>
      </c>
      <c r="W463" s="4">
        <v>49</v>
      </c>
      <c r="X463">
        <f t="shared" ref="X463:X470" si="167">O463/N463</f>
        <v>0</v>
      </c>
      <c r="Y463">
        <f t="shared" ref="Y463:Y470" si="168">T463/S463</f>
        <v>0</v>
      </c>
      <c r="Z463">
        <f t="shared" ref="Z463:Z470" si="169">X463-Y463</f>
        <v>0</v>
      </c>
      <c r="AA463">
        <f t="shared" ref="AA463:AA470" si="170">P463/N463</f>
        <v>0.23529411764705882</v>
      </c>
      <c r="AB463">
        <f t="shared" ref="AB463:AB470" si="171">U463/S463</f>
        <v>8.6956521739130432E-2</v>
      </c>
      <c r="AC463">
        <f t="shared" ref="AC463:AC470" si="172">AA463-AB463</f>
        <v>0.14833759590792839</v>
      </c>
      <c r="AD463">
        <f t="shared" ref="AD463:AD470" si="173">Q463/N463</f>
        <v>0.23529411764705882</v>
      </c>
      <c r="AE463">
        <f t="shared" ref="AE463:AE470" si="174">V463/S463</f>
        <v>8.6956521739130432E-2</v>
      </c>
      <c r="AF463">
        <f t="shared" ref="AF463:AF470" si="175">AD463-AE463</f>
        <v>0.14833759590792839</v>
      </c>
      <c r="AG463">
        <v>0</v>
      </c>
      <c r="AH463" s="14">
        <v>2.9285714285714284</v>
      </c>
      <c r="AI463" s="14">
        <v>4.3928571428571423</v>
      </c>
      <c r="AJ463" s="14">
        <v>7.3214285714285712</v>
      </c>
      <c r="AK463" s="14">
        <v>57.107142857142854</v>
      </c>
      <c r="AL463" s="3" t="s">
        <v>600</v>
      </c>
      <c r="AM463" s="22">
        <v>-106</v>
      </c>
      <c r="AN463" s="22">
        <v>896</v>
      </c>
      <c r="AO463">
        <f t="shared" si="166"/>
        <v>-0.11830357142857142</v>
      </c>
    </row>
    <row r="464" spans="1:41">
      <c r="A464" s="6" t="s">
        <v>17</v>
      </c>
      <c r="B464" t="s">
        <v>24</v>
      </c>
      <c r="C464">
        <v>133</v>
      </c>
      <c r="D464" t="s">
        <v>34</v>
      </c>
      <c r="E464">
        <v>5</v>
      </c>
      <c r="F464">
        <v>11</v>
      </c>
      <c r="G464" s="1">
        <f t="shared" si="160"/>
        <v>71</v>
      </c>
      <c r="H464">
        <v>175</v>
      </c>
      <c r="I464">
        <v>1995</v>
      </c>
      <c r="J464">
        <v>2013</v>
      </c>
      <c r="K464" s="1">
        <f t="shared" si="161"/>
        <v>18</v>
      </c>
      <c r="L464" t="s">
        <v>42</v>
      </c>
      <c r="M464" t="s">
        <v>43</v>
      </c>
      <c r="N464" s="2">
        <f>25+41+7</f>
        <v>73</v>
      </c>
      <c r="O464" s="3">
        <v>9</v>
      </c>
      <c r="P464" s="5">
        <v>15</v>
      </c>
      <c r="Q464" s="3">
        <f t="shared" si="162"/>
        <v>24</v>
      </c>
      <c r="R464" s="4">
        <v>116</v>
      </c>
      <c r="S464" s="2">
        <f>8+4+4+28</f>
        <v>44</v>
      </c>
      <c r="T464" s="5">
        <v>2</v>
      </c>
      <c r="U464" s="5">
        <v>13</v>
      </c>
      <c r="V464" s="3">
        <f t="shared" si="163"/>
        <v>15</v>
      </c>
      <c r="W464" s="4">
        <f>16+8+26+46</f>
        <v>96</v>
      </c>
      <c r="X464">
        <f t="shared" si="167"/>
        <v>0.12328767123287671</v>
      </c>
      <c r="Y464">
        <f t="shared" si="168"/>
        <v>4.5454545454545456E-2</v>
      </c>
      <c r="Z464">
        <f t="shared" si="169"/>
        <v>7.783312577833125E-2</v>
      </c>
      <c r="AA464">
        <f t="shared" si="170"/>
        <v>0.20547945205479451</v>
      </c>
      <c r="AB464">
        <f t="shared" si="171"/>
        <v>0.29545454545454547</v>
      </c>
      <c r="AC464">
        <f t="shared" si="172"/>
        <v>-8.9975093399750961E-2</v>
      </c>
      <c r="AD464">
        <f t="shared" si="173"/>
        <v>0.32876712328767121</v>
      </c>
      <c r="AE464">
        <f t="shared" si="174"/>
        <v>0.34090909090909088</v>
      </c>
      <c r="AF464">
        <f t="shared" si="175"/>
        <v>-1.2141967621419669E-2</v>
      </c>
      <c r="AG464">
        <v>0</v>
      </c>
      <c r="AH464" s="14">
        <v>4.2051282051282053</v>
      </c>
      <c r="AI464" s="14">
        <v>2.1025641025641026</v>
      </c>
      <c r="AJ464" s="14">
        <v>6.3076923076923084</v>
      </c>
      <c r="AK464" s="14">
        <v>35.743589743589745</v>
      </c>
      <c r="AL464" s="5" t="s">
        <v>608</v>
      </c>
      <c r="AM464" s="22">
        <v>-109</v>
      </c>
      <c r="AN464" s="22">
        <v>637</v>
      </c>
      <c r="AO464">
        <f t="shared" si="166"/>
        <v>-0.17111459968602827</v>
      </c>
    </row>
    <row r="465" spans="1:41">
      <c r="A465" s="6" t="s">
        <v>121</v>
      </c>
      <c r="B465" t="s">
        <v>134</v>
      </c>
      <c r="C465">
        <v>82</v>
      </c>
      <c r="D465" t="s">
        <v>35</v>
      </c>
      <c r="E465">
        <v>6</v>
      </c>
      <c r="F465">
        <v>1</v>
      </c>
      <c r="G465" s="1">
        <f t="shared" si="160"/>
        <v>73</v>
      </c>
      <c r="H465">
        <v>181</v>
      </c>
      <c r="I465">
        <v>1995</v>
      </c>
      <c r="J465">
        <v>2013</v>
      </c>
      <c r="K465" s="1">
        <f t="shared" si="161"/>
        <v>18</v>
      </c>
      <c r="L465" t="s">
        <v>41</v>
      </c>
      <c r="M465" t="s">
        <v>44</v>
      </c>
      <c r="N465" s="2">
        <v>74</v>
      </c>
      <c r="O465" s="5">
        <v>18</v>
      </c>
      <c r="P465" s="5">
        <v>30</v>
      </c>
      <c r="Q465" s="5">
        <f t="shared" si="162"/>
        <v>48</v>
      </c>
      <c r="R465" s="4">
        <v>26</v>
      </c>
      <c r="S465" s="2">
        <v>62</v>
      </c>
      <c r="T465" s="5">
        <v>4</v>
      </c>
      <c r="U465" s="5">
        <v>12</v>
      </c>
      <c r="V465" s="5">
        <f t="shared" si="163"/>
        <v>16</v>
      </c>
      <c r="W465" s="4">
        <v>10</v>
      </c>
      <c r="X465">
        <f t="shared" si="167"/>
        <v>0.24324324324324326</v>
      </c>
      <c r="Y465">
        <f t="shared" si="168"/>
        <v>6.4516129032258063E-2</v>
      </c>
      <c r="Z465">
        <f t="shared" si="169"/>
        <v>0.17872711421098519</v>
      </c>
      <c r="AA465">
        <f t="shared" si="170"/>
        <v>0.40540540540540543</v>
      </c>
      <c r="AB465">
        <f t="shared" si="171"/>
        <v>0.19354838709677419</v>
      </c>
      <c r="AC465">
        <f t="shared" si="172"/>
        <v>0.21185701830863124</v>
      </c>
      <c r="AD465">
        <f t="shared" si="173"/>
        <v>0.64864864864864868</v>
      </c>
      <c r="AE465">
        <f t="shared" si="174"/>
        <v>0.25806451612903225</v>
      </c>
      <c r="AF465">
        <f t="shared" si="175"/>
        <v>0.39058413251961643</v>
      </c>
      <c r="AG465">
        <v>0</v>
      </c>
      <c r="AH465" s="14">
        <v>0</v>
      </c>
      <c r="AI465" s="14">
        <v>6.3076923076923075</v>
      </c>
      <c r="AJ465" s="14">
        <v>6.3076923076923075</v>
      </c>
      <c r="AK465" s="14">
        <v>12.615384615384615</v>
      </c>
      <c r="AL465" s="5" t="s">
        <v>600</v>
      </c>
    </row>
    <row r="466" spans="1:41">
      <c r="A466" t="s">
        <v>220</v>
      </c>
      <c r="B466" t="s">
        <v>231</v>
      </c>
      <c r="C466">
        <v>82</v>
      </c>
      <c r="D466" t="s">
        <v>35</v>
      </c>
      <c r="E466">
        <v>6</v>
      </c>
      <c r="F466">
        <v>2</v>
      </c>
      <c r="G466" s="1">
        <f t="shared" si="160"/>
        <v>74</v>
      </c>
      <c r="H466">
        <v>198</v>
      </c>
      <c r="I466">
        <v>1997</v>
      </c>
      <c r="J466">
        <v>2016</v>
      </c>
      <c r="K466" s="1">
        <f t="shared" si="161"/>
        <v>19</v>
      </c>
      <c r="L466" t="s">
        <v>41</v>
      </c>
      <c r="M466" t="s">
        <v>44</v>
      </c>
      <c r="N466" s="2">
        <v>67</v>
      </c>
      <c r="O466" s="5">
        <v>20</v>
      </c>
      <c r="P466" s="5">
        <v>25</v>
      </c>
      <c r="Q466" s="5">
        <f t="shared" si="162"/>
        <v>45</v>
      </c>
      <c r="R466" s="4">
        <v>42</v>
      </c>
      <c r="S466" s="2">
        <v>58</v>
      </c>
      <c r="T466" s="5">
        <v>6</v>
      </c>
      <c r="U466" s="5">
        <v>16</v>
      </c>
      <c r="V466" s="5">
        <f t="shared" si="163"/>
        <v>22</v>
      </c>
      <c r="W466" s="4">
        <v>22</v>
      </c>
      <c r="X466">
        <f t="shared" si="167"/>
        <v>0.29850746268656714</v>
      </c>
      <c r="Y466">
        <f t="shared" si="168"/>
        <v>0.10344827586206896</v>
      </c>
      <c r="Z466">
        <f t="shared" si="169"/>
        <v>0.19505918682449819</v>
      </c>
      <c r="AA466">
        <f t="shared" si="170"/>
        <v>0.37313432835820898</v>
      </c>
      <c r="AB466">
        <f t="shared" si="171"/>
        <v>0.27586206896551724</v>
      </c>
      <c r="AC466">
        <f t="shared" si="172"/>
        <v>9.727225939269174E-2</v>
      </c>
      <c r="AD466">
        <f t="shared" si="173"/>
        <v>0.67164179104477617</v>
      </c>
      <c r="AE466">
        <f t="shared" si="174"/>
        <v>0.37931034482758619</v>
      </c>
      <c r="AF466">
        <f t="shared" si="175"/>
        <v>0.29233144621718998</v>
      </c>
      <c r="AG466">
        <v>0</v>
      </c>
      <c r="AH466" s="14">
        <v>5.8571428571428568</v>
      </c>
      <c r="AI466" s="14">
        <v>0</v>
      </c>
      <c r="AJ466" s="14">
        <v>5.8571428571428568</v>
      </c>
      <c r="AK466" s="14">
        <v>23.428571428571427</v>
      </c>
      <c r="AL466" s="3" t="s">
        <v>599</v>
      </c>
    </row>
    <row r="467" spans="1:41">
      <c r="A467" s="6" t="s">
        <v>87</v>
      </c>
      <c r="B467" t="s">
        <v>90</v>
      </c>
      <c r="C467">
        <v>87</v>
      </c>
      <c r="D467" t="s">
        <v>35</v>
      </c>
      <c r="E467">
        <v>6</v>
      </c>
      <c r="F467">
        <v>1</v>
      </c>
      <c r="G467" s="1">
        <f t="shared" si="160"/>
        <v>73</v>
      </c>
      <c r="H467">
        <v>201</v>
      </c>
      <c r="I467">
        <v>1998</v>
      </c>
      <c r="J467">
        <v>2017</v>
      </c>
      <c r="K467" s="1">
        <f t="shared" si="161"/>
        <v>19</v>
      </c>
      <c r="L467" t="s">
        <v>42</v>
      </c>
      <c r="M467" t="s">
        <v>43</v>
      </c>
      <c r="N467" s="2">
        <v>70</v>
      </c>
      <c r="O467" s="5">
        <v>11</v>
      </c>
      <c r="P467" s="5">
        <v>27</v>
      </c>
      <c r="Q467" s="5">
        <f t="shared" si="162"/>
        <v>38</v>
      </c>
      <c r="R467" s="4">
        <v>67</v>
      </c>
      <c r="S467" s="2">
        <v>61</v>
      </c>
      <c r="T467" s="5">
        <v>8</v>
      </c>
      <c r="U467" s="5">
        <v>17</v>
      </c>
      <c r="V467" s="3">
        <f t="shared" si="163"/>
        <v>25</v>
      </c>
      <c r="W467" s="4">
        <v>45</v>
      </c>
      <c r="X467">
        <f t="shared" si="167"/>
        <v>0.15714285714285714</v>
      </c>
      <c r="Y467">
        <f t="shared" si="168"/>
        <v>0.13114754098360656</v>
      </c>
      <c r="Z467">
        <f t="shared" si="169"/>
        <v>2.5995316159250575E-2</v>
      </c>
      <c r="AA467">
        <f t="shared" si="170"/>
        <v>0.38571428571428573</v>
      </c>
      <c r="AB467">
        <f t="shared" si="171"/>
        <v>0.27868852459016391</v>
      </c>
      <c r="AC467">
        <f t="shared" si="172"/>
        <v>0.10702576112412182</v>
      </c>
      <c r="AD467">
        <f t="shared" si="173"/>
        <v>0.54285714285714282</v>
      </c>
      <c r="AE467">
        <f t="shared" si="174"/>
        <v>0.4098360655737705</v>
      </c>
      <c r="AF467">
        <f t="shared" si="175"/>
        <v>0.13302107728337231</v>
      </c>
      <c r="AG467">
        <v>0</v>
      </c>
      <c r="AH467" s="14">
        <v>4.8235294117647056</v>
      </c>
      <c r="AI467" s="14">
        <v>0</v>
      </c>
      <c r="AJ467" s="14">
        <v>4.8235294117647056</v>
      </c>
      <c r="AK467" s="14">
        <v>9.6470588235294112</v>
      </c>
      <c r="AL467" s="5" t="s">
        <v>599</v>
      </c>
      <c r="AM467" s="22">
        <v>-141</v>
      </c>
      <c r="AN467" s="22">
        <v>452</v>
      </c>
      <c r="AO467">
        <f>AM467/AN467</f>
        <v>-0.31194690265486724</v>
      </c>
    </row>
    <row r="468" spans="1:41">
      <c r="A468" t="s">
        <v>283</v>
      </c>
      <c r="B468" t="s">
        <v>284</v>
      </c>
      <c r="C468">
        <v>36</v>
      </c>
      <c r="D468" t="s">
        <v>65</v>
      </c>
      <c r="E468">
        <v>6</v>
      </c>
      <c r="F468">
        <v>0</v>
      </c>
      <c r="G468" s="1">
        <f t="shared" si="160"/>
        <v>72</v>
      </c>
      <c r="H468">
        <v>179</v>
      </c>
      <c r="I468">
        <v>1998</v>
      </c>
      <c r="J468">
        <v>2017</v>
      </c>
      <c r="K468" s="1">
        <f t="shared" si="161"/>
        <v>19</v>
      </c>
      <c r="L468" t="s">
        <v>41</v>
      </c>
      <c r="M468" t="s">
        <v>44</v>
      </c>
      <c r="N468" s="2">
        <f>4+15+16+19</f>
        <v>54</v>
      </c>
      <c r="O468" s="3">
        <f>4+10+3</f>
        <v>17</v>
      </c>
      <c r="P468" s="3">
        <f>4+5+6+9</f>
        <v>24</v>
      </c>
      <c r="Q468" s="5">
        <f t="shared" si="162"/>
        <v>41</v>
      </c>
      <c r="R468" s="4">
        <v>8</v>
      </c>
      <c r="S468" s="2">
        <f>8+7+16+38+5</f>
        <v>74</v>
      </c>
      <c r="T468" s="3">
        <f>2+2+23+2</f>
        <v>29</v>
      </c>
      <c r="U468" s="3">
        <f>1+1+2+35+2+2</f>
        <v>43</v>
      </c>
      <c r="V468" s="5">
        <f t="shared" si="163"/>
        <v>72</v>
      </c>
      <c r="W468" s="4">
        <f>2+2+6+8+2+2</f>
        <v>22</v>
      </c>
      <c r="X468">
        <f t="shared" si="167"/>
        <v>0.31481481481481483</v>
      </c>
      <c r="Y468">
        <f t="shared" si="168"/>
        <v>0.39189189189189189</v>
      </c>
      <c r="Z468">
        <f t="shared" si="169"/>
        <v>-7.7077077077077061E-2</v>
      </c>
      <c r="AA468">
        <f t="shared" si="170"/>
        <v>0.44444444444444442</v>
      </c>
      <c r="AB468">
        <f t="shared" si="171"/>
        <v>0.58108108108108103</v>
      </c>
      <c r="AC468">
        <f t="shared" si="172"/>
        <v>-0.13663663663663661</v>
      </c>
      <c r="AD468">
        <f t="shared" si="173"/>
        <v>0.7592592592592593</v>
      </c>
      <c r="AE468">
        <f t="shared" si="174"/>
        <v>0.97297297297297303</v>
      </c>
      <c r="AF468">
        <f t="shared" si="175"/>
        <v>-0.21371371371371373</v>
      </c>
      <c r="AG468">
        <v>0</v>
      </c>
      <c r="AH468" s="14">
        <v>0</v>
      </c>
      <c r="AI468" s="14">
        <v>0</v>
      </c>
      <c r="AJ468" s="14">
        <v>0</v>
      </c>
      <c r="AK468" s="14">
        <v>46.857142857142854</v>
      </c>
      <c r="AL468" s="3" t="s">
        <v>618</v>
      </c>
    </row>
    <row r="469" spans="1:41">
      <c r="A469" t="s">
        <v>322</v>
      </c>
      <c r="B469" t="s">
        <v>336</v>
      </c>
      <c r="C469">
        <v>66</v>
      </c>
      <c r="D469" t="s">
        <v>34</v>
      </c>
      <c r="E469">
        <v>5</v>
      </c>
      <c r="F469">
        <v>8</v>
      </c>
      <c r="G469" s="1">
        <f t="shared" si="160"/>
        <v>68</v>
      </c>
      <c r="H469">
        <v>165</v>
      </c>
      <c r="I469">
        <v>1992</v>
      </c>
      <c r="J469">
        <v>2011</v>
      </c>
      <c r="K469" s="1">
        <f t="shared" si="161"/>
        <v>19</v>
      </c>
      <c r="L469" t="s">
        <v>41</v>
      </c>
      <c r="M469" t="s">
        <v>43</v>
      </c>
      <c r="N469" s="2">
        <v>44</v>
      </c>
      <c r="O469" s="5">
        <v>23</v>
      </c>
      <c r="P469" s="5">
        <v>31</v>
      </c>
      <c r="Q469" s="5">
        <f t="shared" si="162"/>
        <v>54</v>
      </c>
      <c r="R469" s="4">
        <v>36</v>
      </c>
      <c r="S469" s="2">
        <v>60</v>
      </c>
      <c r="T469" s="5">
        <v>17</v>
      </c>
      <c r="U469" s="5">
        <v>55</v>
      </c>
      <c r="V469" s="5">
        <f t="shared" si="163"/>
        <v>72</v>
      </c>
      <c r="W469" s="4">
        <v>55</v>
      </c>
      <c r="X469">
        <f t="shared" si="167"/>
        <v>0.52272727272727271</v>
      </c>
      <c r="Y469">
        <f t="shared" si="168"/>
        <v>0.28333333333333333</v>
      </c>
      <c r="Z469">
        <f t="shared" si="169"/>
        <v>0.23939393939393938</v>
      </c>
      <c r="AA469">
        <f t="shared" si="170"/>
        <v>0.70454545454545459</v>
      </c>
      <c r="AB469">
        <f t="shared" si="171"/>
        <v>0.91666666666666663</v>
      </c>
      <c r="AC469">
        <f t="shared" si="172"/>
        <v>-0.21212121212121204</v>
      </c>
      <c r="AD469">
        <f t="shared" si="173"/>
        <v>1.2272727272727273</v>
      </c>
      <c r="AE469">
        <f t="shared" si="174"/>
        <v>1.2</v>
      </c>
      <c r="AF469">
        <f t="shared" si="175"/>
        <v>2.7272727272727337E-2</v>
      </c>
      <c r="AG469">
        <v>0</v>
      </c>
      <c r="AH469" s="14">
        <v>0</v>
      </c>
      <c r="AI469" s="14">
        <v>0</v>
      </c>
      <c r="AJ469" s="14">
        <v>0</v>
      </c>
      <c r="AK469" s="14">
        <v>16.399999999999999</v>
      </c>
      <c r="AL469" s="5" t="s">
        <v>611</v>
      </c>
    </row>
    <row r="470" spans="1:41">
      <c r="A470" t="s">
        <v>354</v>
      </c>
      <c r="B470" t="s">
        <v>348</v>
      </c>
      <c r="C470">
        <v>100</v>
      </c>
      <c r="D470" t="s">
        <v>35</v>
      </c>
      <c r="E470">
        <v>5</v>
      </c>
      <c r="F470">
        <v>10</v>
      </c>
      <c r="G470" s="1">
        <f t="shared" si="160"/>
        <v>70</v>
      </c>
      <c r="H470">
        <v>163</v>
      </c>
      <c r="I470">
        <v>1996</v>
      </c>
      <c r="J470">
        <v>2015</v>
      </c>
      <c r="K470" s="1">
        <f t="shared" si="161"/>
        <v>19</v>
      </c>
      <c r="L470" t="s">
        <v>41</v>
      </c>
      <c r="M470" t="s">
        <v>44</v>
      </c>
      <c r="N470" s="2">
        <v>66</v>
      </c>
      <c r="O470" s="5">
        <v>43</v>
      </c>
      <c r="P470" s="5">
        <v>48</v>
      </c>
      <c r="Q470" s="5">
        <f t="shared" si="162"/>
        <v>91</v>
      </c>
      <c r="R470" s="4">
        <v>78</v>
      </c>
      <c r="S470" s="2">
        <v>66</v>
      </c>
      <c r="T470" s="5">
        <v>25</v>
      </c>
      <c r="U470" s="5">
        <v>27</v>
      </c>
      <c r="V470" s="5">
        <f t="shared" si="163"/>
        <v>52</v>
      </c>
      <c r="W470" s="4">
        <v>49</v>
      </c>
      <c r="X470">
        <f t="shared" si="167"/>
        <v>0.65151515151515149</v>
      </c>
      <c r="Y470">
        <f t="shared" si="168"/>
        <v>0.37878787878787878</v>
      </c>
      <c r="Z470">
        <f t="shared" si="169"/>
        <v>0.27272727272727271</v>
      </c>
      <c r="AA470">
        <f t="shared" si="170"/>
        <v>0.72727272727272729</v>
      </c>
      <c r="AB470">
        <f t="shared" si="171"/>
        <v>0.40909090909090912</v>
      </c>
      <c r="AC470">
        <f t="shared" si="172"/>
        <v>0.31818181818181818</v>
      </c>
      <c r="AD470">
        <f t="shared" si="173"/>
        <v>1.3787878787878789</v>
      </c>
      <c r="AE470">
        <f t="shared" si="174"/>
        <v>0.78787878787878785</v>
      </c>
      <c r="AF470">
        <f t="shared" si="175"/>
        <v>0.59090909090909105</v>
      </c>
      <c r="AG470">
        <v>0</v>
      </c>
      <c r="AH470" s="14">
        <v>0</v>
      </c>
      <c r="AI470" s="14">
        <v>0</v>
      </c>
      <c r="AJ470" s="14">
        <v>0</v>
      </c>
      <c r="AK470" s="14">
        <v>0</v>
      </c>
      <c r="AL470" s="5" t="s">
        <v>614</v>
      </c>
    </row>
    <row r="471" spans="1:41">
      <c r="A471" t="s">
        <v>413</v>
      </c>
      <c r="B471" t="s">
        <v>418</v>
      </c>
      <c r="C471">
        <v>60</v>
      </c>
      <c r="D471" t="s">
        <v>65</v>
      </c>
      <c r="E471">
        <v>6</v>
      </c>
      <c r="F471">
        <v>2</v>
      </c>
      <c r="G471" s="1">
        <f t="shared" si="160"/>
        <v>74</v>
      </c>
      <c r="H471">
        <v>196</v>
      </c>
      <c r="I471">
        <v>2000</v>
      </c>
      <c r="J471">
        <v>2018</v>
      </c>
      <c r="K471" s="1">
        <f t="shared" si="161"/>
        <v>18</v>
      </c>
      <c r="L471" t="s">
        <v>41</v>
      </c>
      <c r="M471" t="s">
        <v>44</v>
      </c>
      <c r="N471" s="2">
        <f>4+7+17+4+1+45</f>
        <v>78</v>
      </c>
      <c r="O471" s="3">
        <f>2+5+1+2+6</f>
        <v>16</v>
      </c>
      <c r="P471" s="3">
        <f>5+8+4+2+6</f>
        <v>25</v>
      </c>
      <c r="Q471" s="5">
        <f t="shared" si="162"/>
        <v>41</v>
      </c>
      <c r="R471" s="4">
        <f>2+16+26+2+2+8</f>
        <v>56</v>
      </c>
      <c r="S471" s="2">
        <f>11+6+10+32+14+4+7</f>
        <v>84</v>
      </c>
      <c r="T471" s="3">
        <f>2+2+1+5+6+2+2</f>
        <v>20</v>
      </c>
      <c r="U471" s="3">
        <f>3+6+7+12+5</f>
        <v>33</v>
      </c>
      <c r="V471" s="5">
        <f t="shared" si="163"/>
        <v>53</v>
      </c>
      <c r="W471" s="4">
        <f>4+4+10+10+22+2+4</f>
        <v>56</v>
      </c>
      <c r="AG471">
        <v>0</v>
      </c>
      <c r="AH471" s="14">
        <v>0</v>
      </c>
      <c r="AI471" s="14">
        <v>0</v>
      </c>
      <c r="AJ471" s="14">
        <v>0</v>
      </c>
      <c r="AK471" s="14">
        <v>0</v>
      </c>
      <c r="AL471" s="3" t="s">
        <v>639</v>
      </c>
    </row>
    <row r="472" spans="1:41">
      <c r="A472" t="s">
        <v>539</v>
      </c>
      <c r="B472" t="s">
        <v>544</v>
      </c>
      <c r="C472">
        <v>111</v>
      </c>
      <c r="D472" t="s">
        <v>35</v>
      </c>
      <c r="E472">
        <v>6</v>
      </c>
      <c r="F472">
        <v>0</v>
      </c>
      <c r="G472" s="1">
        <f t="shared" si="160"/>
        <v>72</v>
      </c>
      <c r="H472">
        <v>185</v>
      </c>
      <c r="I472">
        <v>1998</v>
      </c>
      <c r="J472">
        <v>2016</v>
      </c>
      <c r="K472" s="1">
        <f t="shared" si="161"/>
        <v>18</v>
      </c>
      <c r="L472" t="s">
        <v>41</v>
      </c>
      <c r="M472" t="s">
        <v>44</v>
      </c>
      <c r="N472" s="2">
        <v>77</v>
      </c>
      <c r="O472" s="5">
        <v>28</v>
      </c>
      <c r="P472" s="5">
        <v>47</v>
      </c>
      <c r="Q472" s="5">
        <f t="shared" si="162"/>
        <v>75</v>
      </c>
      <c r="R472" s="4">
        <v>35</v>
      </c>
      <c r="S472" s="2">
        <v>10</v>
      </c>
      <c r="T472" s="5">
        <v>2</v>
      </c>
      <c r="U472" s="5">
        <v>4</v>
      </c>
      <c r="V472" s="5">
        <f t="shared" si="163"/>
        <v>6</v>
      </c>
      <c r="W472" s="4">
        <v>0</v>
      </c>
      <c r="AG472">
        <v>0</v>
      </c>
      <c r="AH472" s="14">
        <v>0</v>
      </c>
      <c r="AI472" s="14">
        <v>0</v>
      </c>
      <c r="AJ472" s="14">
        <v>0</v>
      </c>
      <c r="AK472" s="14">
        <v>16.399999999999999</v>
      </c>
      <c r="AL472" s="3" t="s">
        <v>599</v>
      </c>
    </row>
  </sheetData>
  <sortState ref="A2:X124">
    <sortCondition descending="1" ref="X2:X124"/>
  </sortState>
  <phoneticPr fontId="1" type="noConversion"/>
  <conditionalFormatting sqref="AA1:AH1 Z1:Z318 AC1:AC318 AF1:AF318 Z320:Z1048576 AC320:AC1048576 AF320:AF1048576">
    <cfRule type="cellIs" dxfId="1" priority="3" operator="lessThan">
      <formula>0</formula>
    </cfRule>
  </conditionalFormatting>
  <conditionalFormatting sqref="AD1:AH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B75A-4FD2-407A-8E3B-F2689E3C157D}">
  <dimension ref="A1:AK5"/>
  <sheetViews>
    <sheetView workbookViewId="0">
      <selection activeCell="H4" sqref="H4"/>
    </sheetView>
  </sheetViews>
  <sheetFormatPr defaultRowHeight="15"/>
  <cols>
    <col min="1" max="4" width="8.5703125" customWidth="1"/>
  </cols>
  <sheetData>
    <row r="1" spans="1:37" ht="15.75" thickBot="1">
      <c r="A1" t="s">
        <v>356</v>
      </c>
      <c r="B1" t="s">
        <v>357</v>
      </c>
      <c r="C1" t="s">
        <v>358</v>
      </c>
      <c r="D1" t="s">
        <v>359</v>
      </c>
    </row>
    <row r="2" spans="1:37" ht="15.75" thickBot="1">
      <c r="A2" s="14">
        <f>M4*$L$5</f>
        <v>14.17283950617284</v>
      </c>
      <c r="B2" s="14">
        <f t="shared" ref="B2:C2" si="0">N4*$L$5</f>
        <v>11.135802469135804</v>
      </c>
      <c r="C2" s="14">
        <f t="shared" si="0"/>
        <v>25.308641975308642</v>
      </c>
      <c r="D2" s="14">
        <f>Q4*$L$5</f>
        <v>29.358024691358025</v>
      </c>
      <c r="H2" s="33"/>
      <c r="I2" s="34"/>
      <c r="J2" s="34"/>
      <c r="K2" s="32"/>
      <c r="L2" s="7"/>
      <c r="M2" s="31" t="s">
        <v>362</v>
      </c>
      <c r="N2" s="34"/>
      <c r="O2" s="32"/>
      <c r="P2" s="7"/>
      <c r="Q2" s="7"/>
      <c r="R2" s="31" t="s">
        <v>363</v>
      </c>
      <c r="S2" s="34"/>
      <c r="T2" s="34"/>
      <c r="U2" s="32"/>
      <c r="V2" s="31" t="s">
        <v>364</v>
      </c>
      <c r="W2" s="34"/>
      <c r="X2" s="32"/>
      <c r="Y2" s="31" t="s">
        <v>365</v>
      </c>
      <c r="Z2" s="34"/>
      <c r="AA2" s="32"/>
      <c r="AB2" s="31" t="s">
        <v>366</v>
      </c>
      <c r="AC2" s="32"/>
      <c r="AD2" s="7"/>
      <c r="AE2" s="7"/>
      <c r="AF2" s="7"/>
      <c r="AG2" s="7"/>
      <c r="AH2" s="7"/>
      <c r="AI2" s="7"/>
      <c r="AJ2" s="7"/>
      <c r="AK2" s="8"/>
    </row>
    <row r="3" spans="1:37" ht="15.75" thickBot="1">
      <c r="H3" s="9" t="s">
        <v>367</v>
      </c>
      <c r="I3" s="10" t="s">
        <v>45</v>
      </c>
      <c r="J3" s="11" t="s">
        <v>368</v>
      </c>
      <c r="K3" s="11" t="s">
        <v>369</v>
      </c>
      <c r="L3" s="10" t="s">
        <v>370</v>
      </c>
      <c r="M3" s="10" t="s">
        <v>371</v>
      </c>
      <c r="N3" s="10" t="s">
        <v>372</v>
      </c>
      <c r="O3" s="10" t="s">
        <v>373</v>
      </c>
      <c r="P3" s="10" t="s">
        <v>374</v>
      </c>
      <c r="Q3" s="10" t="s">
        <v>375</v>
      </c>
      <c r="R3" s="10" t="s">
        <v>376</v>
      </c>
      <c r="S3" s="10" t="s">
        <v>377</v>
      </c>
      <c r="T3" s="10" t="s">
        <v>378</v>
      </c>
      <c r="U3" s="10" t="s">
        <v>379</v>
      </c>
      <c r="V3" s="10" t="s">
        <v>376</v>
      </c>
      <c r="W3" s="10" t="s">
        <v>377</v>
      </c>
      <c r="X3" s="10" t="s">
        <v>378</v>
      </c>
      <c r="Y3" s="10" t="s">
        <v>380</v>
      </c>
      <c r="Z3" s="10" t="s">
        <v>381</v>
      </c>
      <c r="AA3" s="10" t="s">
        <v>382</v>
      </c>
      <c r="AB3" s="10" t="s">
        <v>383</v>
      </c>
      <c r="AC3" s="10" t="s">
        <v>384</v>
      </c>
      <c r="AD3" s="12" t="s">
        <v>385</v>
      </c>
      <c r="AE3" s="12" t="s">
        <v>386</v>
      </c>
      <c r="AF3" s="10" t="s">
        <v>387</v>
      </c>
      <c r="AG3" s="12" t="s">
        <v>388</v>
      </c>
      <c r="AH3" s="12" t="s">
        <v>389</v>
      </c>
      <c r="AI3" s="10" t="s">
        <v>390</v>
      </c>
      <c r="AJ3" s="10" t="s">
        <v>391</v>
      </c>
      <c r="AK3" s="13"/>
    </row>
    <row r="4" spans="1:37" ht="15.75" thickBot="1">
      <c r="H4" s="15" t="s">
        <v>360</v>
      </c>
      <c r="I4" s="16"/>
      <c r="J4" s="17" t="s">
        <v>574</v>
      </c>
      <c r="K4" s="17" t="s">
        <v>361</v>
      </c>
      <c r="L4" s="18">
        <v>81</v>
      </c>
      <c r="M4" s="18">
        <v>14</v>
      </c>
      <c r="N4" s="18">
        <v>11</v>
      </c>
      <c r="O4" s="18">
        <v>25</v>
      </c>
      <c r="P4" s="18">
        <v>1</v>
      </c>
      <c r="Q4" s="18">
        <v>29</v>
      </c>
      <c r="R4" s="18">
        <v>14</v>
      </c>
      <c r="S4" s="18">
        <v>0</v>
      </c>
      <c r="T4" s="18">
        <v>0</v>
      </c>
      <c r="U4" s="18">
        <v>0</v>
      </c>
      <c r="V4" s="18">
        <v>11</v>
      </c>
      <c r="W4" s="18">
        <v>0</v>
      </c>
      <c r="X4" s="18">
        <v>0</v>
      </c>
      <c r="Y4" s="18">
        <v>104</v>
      </c>
      <c r="Z4" s="18">
        <v>13.5</v>
      </c>
      <c r="AA4" s="18">
        <v>171</v>
      </c>
      <c r="AB4" s="18">
        <v>768</v>
      </c>
      <c r="AC4" s="19">
        <v>0.39513888888888887</v>
      </c>
      <c r="AD4" s="18">
        <v>2</v>
      </c>
      <c r="AE4" s="18">
        <v>8</v>
      </c>
      <c r="AF4" s="16">
        <v>20</v>
      </c>
      <c r="AG4" s="18">
        <v>13</v>
      </c>
      <c r="AH4" s="18">
        <v>179</v>
      </c>
      <c r="AI4" s="18">
        <v>11</v>
      </c>
      <c r="AJ4" s="18">
        <v>26</v>
      </c>
      <c r="AK4" s="20"/>
    </row>
    <row r="5" spans="1:37">
      <c r="J5" t="str">
        <f>LEFT(J4,SUM(LEN(J4)-LEN(SUBSTITUTE(J4,{"0","1","2","3","4","5","6","7","8","9"},""))))</f>
        <v>2</v>
      </c>
      <c r="L5">
        <f>82/L4</f>
        <v>1.0123456790123457</v>
      </c>
    </row>
  </sheetData>
  <mergeCells count="6">
    <mergeCell ref="AB2:AC2"/>
    <mergeCell ref="H2:K2"/>
    <mergeCell ref="M2:O2"/>
    <mergeCell ref="R2:U2"/>
    <mergeCell ref="V2:X2"/>
    <mergeCell ref="Y2:A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More Data</vt:lpstr>
      <vt:lpstr>Sheet1</vt:lpstr>
      <vt:lpstr>Standardize NHL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Joshua</dc:creator>
  <cp:lastModifiedBy>Zhang, Joshua</cp:lastModifiedBy>
  <dcterms:created xsi:type="dcterms:W3CDTF">2019-11-09T19:00:41Z</dcterms:created>
  <dcterms:modified xsi:type="dcterms:W3CDTF">2019-12-06T02:29:57Z</dcterms:modified>
</cp:coreProperties>
</file>